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K15" i="183" l="1"/>
  <c r="J15" i="183"/>
  <c r="I15" i="183"/>
  <c r="H15" i="183"/>
  <c r="G15" i="183"/>
  <c r="F15" i="183"/>
  <c r="E15" i="183"/>
  <c r="L22" i="179"/>
  <c r="L18" i="179"/>
  <c r="L17" i="179"/>
  <c r="L13" i="183"/>
  <c r="L20" i="183"/>
  <c r="L21" i="183"/>
  <c r="E23" i="183"/>
  <c r="F23" i="183"/>
  <c r="G23" i="183"/>
  <c r="H23" i="183"/>
  <c r="I23" i="183"/>
  <c r="J23" i="183"/>
  <c r="K23" i="183"/>
  <c r="L23" i="183"/>
  <c r="F25" i="183" l="1"/>
  <c r="D35" i="171" s="1"/>
  <c r="K25" i="183"/>
  <c r="J25" i="183"/>
  <c r="E25" i="183"/>
  <c r="I25" i="183"/>
  <c r="H25" i="183"/>
  <c r="G25" i="183"/>
  <c r="J31" i="8"/>
  <c r="E6" i="7"/>
  <c r="C6" i="7"/>
  <c r="H88" i="28"/>
  <c r="G88" i="28"/>
  <c r="F88" i="28"/>
  <c r="E88" i="28"/>
  <c r="J85" i="28"/>
  <c r="J88" i="28" s="1"/>
  <c r="J90" i="28" s="1"/>
  <c r="B4" i="183" l="1"/>
  <c r="L16" i="179"/>
  <c r="L15" i="179"/>
  <c r="L14" i="179"/>
  <c r="L13" i="179"/>
  <c r="L15" i="183" l="1"/>
  <c r="L25" i="183" s="1"/>
  <c r="L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E47" i="181"/>
  <c r="F47" i="181" s="1"/>
  <c r="G47" i="181" s="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E38" i="181"/>
  <c r="F38" i="181" s="1"/>
  <c r="G38" i="181" s="1"/>
  <c r="F37" i="181"/>
  <c r="G37" i="181" s="1"/>
  <c r="E37" i="181"/>
  <c r="F36" i="181"/>
  <c r="G36" i="181" s="1"/>
  <c r="E36" i="181"/>
  <c r="F35" i="181"/>
  <c r="G35" i="181" s="1"/>
  <c r="E35" i="181"/>
  <c r="E34" i="181"/>
  <c r="F34" i="181" s="1"/>
  <c r="G34" i="181" s="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B2" i="177"/>
  <c r="A2" i="173"/>
  <c r="A1" i="171"/>
  <c r="B1" i="179"/>
  <c r="B2" i="176"/>
  <c r="B1" i="175"/>
  <c r="B1" i="177"/>
  <c r="A1" i="170"/>
  <c r="A2" i="171"/>
  <c r="A1" i="173"/>
  <c r="B1" i="174"/>
  <c r="B2" i="175"/>
  <c r="B1" i="176"/>
  <c r="B7773" i="106" l="1"/>
  <c r="D12" i="171" l="1"/>
  <c r="D17" i="171"/>
  <c r="B61" i="106"/>
  <c r="B52" i="106"/>
  <c r="K356" i="29" l="1"/>
  <c r="K357" i="29" s="1"/>
  <c r="K15" i="4" s="1"/>
  <c r="H357" i="29"/>
  <c r="D285" i="29"/>
  <c r="E137" i="29"/>
  <c r="E139" i="29" s="1"/>
  <c r="H137" i="29"/>
  <c r="L285" i="29"/>
  <c r="L137" i="29"/>
  <c r="L357" i="29"/>
  <c r="B51" i="106"/>
  <c r="B49" i="106"/>
  <c r="B48" i="106"/>
  <c r="B47" i="106"/>
  <c r="B46" i="106"/>
  <c r="B45" i="106"/>
  <c r="B44" i="106"/>
  <c r="B43" i="106"/>
  <c r="B42" i="106"/>
  <c r="B41" i="106"/>
  <c r="B50" i="106"/>
  <c r="F163" i="34" l="1"/>
  <c r="B7769" i="106"/>
  <c r="B7768" i="106"/>
  <c r="B7766" i="106"/>
  <c r="D7766" i="106" s="1"/>
  <c r="B7765" i="106"/>
  <c r="D7765" i="106" s="1"/>
  <c r="B7764" i="106"/>
  <c r="D7764" i="106" s="1"/>
  <c r="B7758" i="106"/>
  <c r="D7758" i="106" s="1"/>
  <c r="K6" i="29"/>
  <c r="B7763" i="106" s="1"/>
  <c r="D7763" i="106" s="1"/>
  <c r="B7762" i="106"/>
  <c r="K12" i="12"/>
  <c r="B7719" i="106" s="1"/>
  <c r="D7719" i="106" s="1"/>
  <c r="K23" i="12"/>
  <c r="J12" i="12"/>
  <c r="B7718" i="106" s="1"/>
  <c r="D7718" i="106" s="1"/>
  <c r="J21" i="12"/>
  <c r="J23" i="12"/>
  <c r="B7729" i="106"/>
  <c r="D7729" i="106" s="1"/>
  <c r="B7734" i="106"/>
  <c r="D7734" i="106" s="1"/>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G33" i="108" s="1"/>
  <c r="K64" i="29"/>
  <c r="F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0" i="127"/>
  <c r="B71" i="127"/>
  <c r="D26" i="108"/>
  <c r="F26" i="108"/>
  <c r="E27" i="108"/>
  <c r="F27" i="108"/>
  <c r="G27" i="108"/>
  <c r="G28" i="108"/>
  <c r="E30" i="108"/>
  <c r="G30" i="108"/>
  <c r="E31" i="108"/>
  <c r="G31" i="108"/>
  <c r="E33"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0" i="7"/>
  <c r="B1749" i="106" s="1"/>
  <c r="D1749" i="106" s="1"/>
  <c r="B11" i="7"/>
  <c r="B1752" i="106" s="1"/>
  <c r="D1752" i="106" s="1"/>
  <c r="B12" i="7"/>
  <c r="B1753" i="106" s="1"/>
  <c r="D1753" i="106" s="1"/>
  <c r="B13" i="7"/>
  <c r="B3725" i="106" s="1"/>
  <c r="D3725" i="106" s="1"/>
  <c r="B1754" i="106"/>
  <c r="D1754" i="106" s="1"/>
  <c r="B15" i="7"/>
  <c r="B1756" i="106" s="1"/>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G35" i="108" l="1"/>
  <c r="D36" i="108"/>
  <c r="D31" i="108"/>
  <c r="F38" i="34"/>
  <c r="B2029" i="106"/>
  <c r="D2029" i="106" s="1"/>
  <c r="B276" i="106"/>
  <c r="D276" i="106" s="1"/>
  <c r="D6103" i="106"/>
  <c r="B2028" i="106"/>
  <c r="D2028" i="106" s="1"/>
  <c r="B275" i="106"/>
  <c r="D275" i="106" s="1"/>
  <c r="B2027" i="106"/>
  <c r="D2027" i="106" s="1"/>
  <c r="B274" i="106"/>
  <c r="D274" i="106" s="1"/>
  <c r="B2026" i="106"/>
  <c r="D2026" i="106" s="1"/>
  <c r="L13" i="11"/>
  <c r="B2060" i="106" s="1"/>
  <c r="D2060" i="106" s="1"/>
  <c r="B1746" i="106"/>
  <c r="D1746" i="106" s="1"/>
  <c r="D5" i="4"/>
  <c r="B3406" i="106" s="1"/>
  <c r="D3406" i="106" s="1"/>
  <c r="B6995" i="106"/>
  <c r="D6995" i="106" s="1"/>
  <c r="B2805" i="106"/>
  <c r="D2805" i="106" s="1"/>
  <c r="B7076" i="106"/>
  <c r="D7076" i="106" s="1"/>
  <c r="E15" i="145"/>
  <c r="D69" i="36"/>
  <c r="L22" i="37"/>
  <c r="L5" i="11"/>
  <c r="B2056" i="106" s="1"/>
  <c r="D2056" i="106" s="1"/>
  <c r="D31" i="36"/>
  <c r="F72" i="34"/>
  <c r="G14" i="4"/>
  <c r="B2609" i="106" s="1"/>
  <c r="D2609" i="106" s="1"/>
  <c r="F41" i="34"/>
  <c r="F49" i="34"/>
  <c r="H342" i="29"/>
  <c r="B7221" i="106" s="1"/>
  <c r="D7221"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D41" i="108" l="1"/>
  <c r="E43" i="108" s="1"/>
  <c r="B1328" i="106"/>
  <c r="D1328" i="106" s="1"/>
  <c r="H77" i="4"/>
  <c r="B3299" i="106" s="1"/>
  <c r="D3299" i="106" s="1"/>
  <c r="B7235" i="106"/>
  <c r="D7235" i="106" s="1"/>
  <c r="B1266" i="106"/>
  <c r="D1266" i="106" s="1"/>
  <c r="B273" i="106"/>
  <c r="D273" i="106" s="1"/>
  <c r="M23" i="3"/>
  <c r="G6" i="4"/>
  <c r="B2604" i="106" s="1"/>
  <c r="D2604" i="106" s="1"/>
  <c r="B5770" i="106"/>
  <c r="D5770" i="106" s="1"/>
  <c r="C4" i="4"/>
  <c r="B2551" i="106" s="1"/>
  <c r="D2551" i="106" s="1"/>
  <c r="F41" i="108"/>
  <c r="G43" i="108" s="1"/>
  <c r="F66" i="34"/>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B7243" i="106" s="1"/>
  <c r="D7243" i="106"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16" i="4"/>
  <c r="B3574" i="106" s="1"/>
  <c r="D3574" i="106" s="1"/>
  <c r="B279" i="106"/>
  <c r="D279" i="106" s="1"/>
  <c r="M40" i="3"/>
  <c r="B7051" i="106"/>
  <c r="D7051" i="106" s="1"/>
  <c r="F24" i="37"/>
  <c r="J17" i="4"/>
  <c r="B6227" i="106" s="1"/>
  <c r="D6227" i="106" s="1"/>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J20" i="4" l="1"/>
  <c r="B280" i="106"/>
  <c r="D280" i="106" s="1"/>
  <c r="M41" i="3"/>
  <c r="F8" i="4"/>
  <c r="D8" i="146" s="1"/>
  <c r="D8" i="4"/>
  <c r="C8" i="146" s="1"/>
  <c r="B6223" i="106"/>
  <c r="D6223" i="106" s="1"/>
  <c r="K17" i="4"/>
  <c r="B3575" i="106" s="1"/>
  <c r="D3575" i="106"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H13" i="118" l="1"/>
  <c r="B2568" i="106"/>
  <c r="D2568" i="106" s="1"/>
  <c r="B2595" i="106"/>
  <c r="D2595" i="106" s="1"/>
  <c r="D10" i="4"/>
  <c r="B4123" i="106" s="1"/>
  <c r="D4123" i="106" s="1"/>
  <c r="D20" i="4"/>
  <c r="B2574" i="106" s="1"/>
  <c r="D2574" i="106" s="1"/>
  <c r="D54" i="36"/>
  <c r="B281" i="106"/>
  <c r="D281" i="106" s="1"/>
  <c r="F10" i="4"/>
  <c r="B4125" i="106" s="1"/>
  <c r="D4125" i="106" s="1"/>
  <c r="K20" i="4"/>
  <c r="B3576" i="106" s="1"/>
  <c r="D3576" i="106" s="1"/>
  <c r="K19" i="4"/>
  <c r="B4144" i="106" s="1"/>
  <c r="D414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D78" i="4"/>
  <c r="K78" i="4" l="1"/>
  <c r="F179" i="34"/>
  <c r="F79" i="34"/>
  <c r="J41" i="3"/>
  <c r="B6215" i="106"/>
  <c r="D6215" i="106" s="1"/>
  <c r="B3588" i="106"/>
  <c r="D3588" i="106" s="1"/>
  <c r="K81" i="4"/>
  <c r="K39" i="3"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<sst xmlns="http://schemas.openxmlformats.org/spreadsheetml/2006/main" count="5316" uniqueCount="2246">
  <si>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</si>
  <si>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</si>
  <si>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</si>
  <si>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</si>
  <si>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</si>
  <si>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</si>
  <si>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</si>
  <si>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</si>
  <si>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</si>
  <si>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</si>
  <si>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</si>
  <si>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</si>
  <si>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</si>
  <si>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</si>
  <si>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</si>
  <si>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</si>
  <si>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</si>
  <si>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</si>
  <si>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</si>
  <si>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</si>
  <si>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</si>
  <si>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</si>
  <si>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</si>
  <si>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</si>
  <si>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</si>
  <si>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</si>
  <si>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</si>
  <si>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</si>
  <si>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</si>
  <si>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</si>
  <si>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</si>
  <si>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</si>
  <si>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</si>
  <si>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</si>
  <si>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</si>
  <si>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</si>
  <si>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</si>
  <si>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</si>
  <si>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</si>
  <si>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</si>
  <si>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</si>
  <si>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</si>
  <si>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</si>
  <si>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</si>
  <si>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</si>
  <si>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</si>
  <si>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</si>
  <si>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</si>
  <si>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</si>
  <si>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</si>
  <si>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</si>
  <si>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</si>
  <si>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</si>
  <si>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</si>
  <si>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</si>
  <si>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</si>
  <si>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</si>
  <si>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</si>
  <si>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</si>
  <si>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</si>
  <si>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</si>
  <si>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</si>
  <si>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</si>
  <si>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</si>
  <si>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</si>
  <si>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</si>
  <si>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</si>
  <si>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</si>
  <si>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</si>
  <si>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</si>
  <si>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</si>
  <si>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</si>
  <si>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</si>
  <si>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</si>
  <si>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</si>
  <si>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</si>
  <si>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</si>
  <si>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</si>
  <si>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</si>
  <si>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</si>
  <si>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</si>
  <si>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</si>
  <si>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</si>
  <si>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</si>
  <si>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</si>
  <si>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</si>
  <si>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</si>
  <si>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</si>
  <si>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</si>
  <si>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</si>
  <si>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</si>
  <si>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</si>
  <si>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</si>
  <si>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</si>
  <si>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</si>
  <si>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</si>
  <si>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</si>
  <si>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</si>
  <si>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</si>
  <si>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</si>
  <si>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</si>
  <si>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</si>
  <si>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</si>
  <si>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</si>
  <si>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</si>
  <si>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</si>
  <si>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</si>
  <si>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</si>
  <si>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</si>
  <si>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</si>
  <si>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</si>
  <si>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</si>
  <si>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</si>
  <si>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</si>
  <si>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</si>
  <si>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</si>
  <si>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</si>
  <si>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</si>
  <si>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</si>
  <si>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</si>
  <si>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</si>
  <si>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</si>
  <si>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</si>
  <si>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</si>
  <si>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</si>
  <si>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</si>
  <si>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</si>
  <si>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</si>
  <si>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</si>
  <si>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</si>
  <si>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</si>
  <si>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</si>
  <si>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</si>
  <si>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</si>
  <si>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</si>
  <si>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</si>
  <si>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</si>
  <si>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</si>
  <si>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</si>
  <si>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</si>
  <si>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</si>
  <si>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</si>
  <si>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</si>
  <si>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</si>
  <si>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</si>
  <si>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</si>
  <si>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</si>
  <si>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</si>
  <si>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</si>
  <si>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</si>
  <si>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</si>
  <si>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</si>
  <si>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</si>
  <si>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</si>
  <si>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</si>
  <si>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</si>
  <si>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</si>
  <si>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</si>
  <si>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</si>
  <si>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</si>
  <si>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</si>
  <si>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</si>
  <si>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</si>
  <si>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</si>
  <si>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</si>
  <si>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</si>
  <si>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</si>
  <si>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</si>
  <si>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</si>
  <si>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</si>
  <si>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</si>
  <si>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</si>
  <si>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</si>
  <si>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</si>
  <si>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</si>
  <si>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</si>
  <si>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</si>
  <si>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</si>
  <si>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</si>
  <si>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</si>
  <si>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</si>
  <si>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</si>
  <si>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</si>
  <si>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</si>
  <si>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</si>
  <si>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</si>
  <si>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</si>
  <si>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</si>
  <si>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</si>
  <si>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</si>
  <si>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</si>
  <si>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</si>
  <si>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</si>
  <si>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</si>
  <si>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</si>
  <si>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</si>
  <si>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</si>
  <si>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</si>
  <si>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</si>
  <si>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</si>
  <si>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</si>
  <si>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</si>
  <si>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</si>
  <si>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</si>
  <si>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</si>
  <si>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</si>
  <si>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</si>
  <si>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</si>
  <si>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</si>
  <si>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</si>
  <si>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</si>
  <si>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</si>
  <si>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</si>
  <si>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</si>
  <si>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</si>
  <si>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</si>
  <si>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</si>
  <si>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</si>
  <si>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</si>
  <si>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</si>
  <si>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</si>
  <si>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</si>
  <si>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</si>
  <si>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</si>
  <si>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</si>
  <si>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</si>
  <si>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</si>
  <si>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</si>
  <si>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</si>
  <si>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</si>
  <si>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</si>
  <si>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</si>
  <si>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</si>
  <si>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</si>
  <si>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</si>
  <si>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</si>
  <si>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</si>
  <si>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</si>
  <si>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</si>
  <si>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</si>
  <si>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</si>
  <si>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</si>
  <si>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</si>
  <si>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</si>
  <si>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</si>
  <si>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</si>
  <si>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</si>
  <si>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</si>
  <si>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</si>
  <si>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</si>
  <si>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</si>
  <si>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</si>
  <si>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</si>
  <si>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</si>
  <si>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</si>
  <si>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</si>
  <si>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</si>
  <si>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</si>
  <si>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</si>
  <si>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</si>
  <si>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</si>
  <si>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</si>
  <si>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</si>
  <si>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</si>
  <si>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</si>
  <si>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</si>
  <si>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</si>
  <si>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</si>
  <si>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</si>
  <si>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</si>
  <si>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</si>
  <si>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</si>
  <si>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</si>
  <si>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</si>
  <si>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</si>
  <si>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</si>
  <si>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</si>
  <si>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</si>
  <si>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</si>
  <si>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</si>
  <si>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</si>
  <si>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</si>
  <si>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</si>
  <si>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</si>
  <si>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</si>
  <si>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</si>
  <si>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</si>
  <si>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</si>
  <si>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</si>
  <si>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</si>
  <si>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</si>
  <si>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</si>
  <si>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</si>
  <si>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</si>
  <si>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</si>
  <si>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</si>
  <si>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</si>
  <si>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</si>
  <si>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</si>
  <si>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</si>
  <si>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</si>
  <si>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</si>
  <si>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</si>
  <si>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</si>
  <si>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</si>
  <si>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</si>
  <si>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</si>
  <si>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</si>
  <si>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</si>
  <si>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</si>
  <si>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</si>
  <si>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</si>
  <si>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</si>
  <si>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</si>
  <si>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</si>
  <si>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</si>
  <si>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</si>
  <si>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</si>
  <si>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</si>
  <si>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</si>
  <si>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</si>
  <si>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</si>
  <si>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</si>
  <si>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</si>
  <si>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</si>
  <si>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</si>
  <si>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</si>
  <si>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</si>
  <si>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</si>
  <si>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</si>
  <si>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</si>
  <si>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</si>
  <si>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</si>
  <si>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</si>
  <si>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</si>
  <si>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</si>
  <si>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</si>
  <si>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</si>
  <si>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</si>
  <si>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</si>
  <si>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</si>
  <si>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</si>
  <si>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</si>
  <si>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</si>
  <si>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</si>
  <si>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</si>
  <si>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</si>
  <si>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</si>
  <si>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</si>
  <si>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</si>
  <si>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</si>
  <si>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</si>
  <si>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</si>
  <si>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</si>
  <si>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</si>
  <si>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</si>
  <si>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</si>
  <si>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</si>
  <si>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</si>
  <si>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</si>
  <si>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</si>
  <si>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</si>
  <si>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</si>
  <si>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</si>
  <si>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</si>
  <si>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</si>
  <si>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</si>
  <si>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</si>
  <si>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</si>
  <si>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</si>
  <si>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</si>
  <si>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</si>
  <si>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</si>
  <si>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</si>
  <si>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</si>
  <si>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</si>
  <si>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</si>
  <si>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</si>
  <si>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</si>
  <si>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</si>
  <si>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</si>
  <si>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</si>
  <si>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</si>
  <si>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</si>
  <si>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</si>
  <si>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</si>
  <si>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</si>
  <si>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</si>
  <si>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</si>
  <si>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</si>
  <si>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</si>
  <si>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</si>
  <si>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</si>
  <si>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</si>
  <si>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</si>
  <si>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</si>
  <si>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</si>
  <si>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</si>
  <si>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</si>
  <si>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</si>
  <si>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</si>
  <si>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</si>
  <si>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</si>
  <si>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</si>
  <si>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</si>
  <si>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</si>
  <si>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</si>
  <si>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</si>
  <si>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</si>
  <si>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</si>
  <si>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</si>
  <si>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</si>
  <si>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</si>
  <si>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</si>
  <si>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</si>
  <si>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</si>
  <si>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</si>
  <si>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</si>
  <si>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</si>
  <si>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</si>
  <si>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</si>
  <si>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</si>
  <si>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</si>
  <si>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</si>
  <si>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</si>
  <si>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</si>
  <si>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</si>
  <si>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</si>
  <si>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</si>
  <si>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</si>
  <si>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</si>
  <si>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</si>
  <si>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</si>
  <si>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</si>
  <si>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</si>
  <si>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</si>
  <si>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</si>
  <si>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</si>
  <si>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</si>
  <si>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</si>
  <si>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</si>
  <si>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</si>
  <si>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</si>
  <si>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</si>
  <si>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</si>
  <si>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</si>
  <si>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</si>
  <si>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</si>
  <si>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</si>
  <si>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</si>
  <si>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</si>
  <si>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</si>
  <si>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</si>
  <si>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</si>
  <si>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</si>
  <si>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</si>
  <si>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</si>
  <si>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</si>
  <si>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</si>
  <si>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</si>
  <si>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</si>
  <si>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</si>
  <si>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</si>
  <si>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</si>
  <si>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</si>
  <si>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</si>
  <si>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</si>
  <si>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</si>
  <si>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</si>
  <si>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</si>
  <si>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</si>
  <si>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</si>
  <si>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</si>
  <si>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</si>
  <si>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</si>
  <si>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</si>
  <si>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</si>
  <si>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</si>
  <si>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</si>
  <si>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</si>
  <si>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</si>
  <si>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</si>
  <si>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</si>
  <si>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</si>
  <si>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</si>
  <si>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</si>
  <si>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</si>
  <si>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</si>
  <si>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</si>
  <si>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</si>
  <si>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</si>
  <si>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</si>
  <si>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</si>
  <si>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</si>
  <si>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</si>
  <si>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</si>
  <si>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</si>
  <si>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</si>
  <si>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</si>
  <si>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</si>
  <si>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</si>
  <si>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</si>
  <si>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</si>
  <si>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</si>
  <si>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</si>
  <si>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</si>
  <si>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</si>
  <si>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</si>
  <si>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</si>
  <si>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</si>
  <si>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</si>
  <si>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</si>
  <si>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</si>
  <si>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</si>
  <si>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</si>
  <si>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</si>
  <si>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</si>
  <si>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</si>
  <si>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</si>
  <si>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</si>
  <si>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</si>
  <si>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</si>
  <si>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</si>
  <si>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</si>
  <si>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</si>
  <si>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</si>
  <si>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</si>
  <si>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</si>
  <si>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</si>
  <si>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</si>
  <si>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</si>
  <si>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</si>
  <si>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</si>
  <si>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</si>
  <si>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</si>
  <si>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</si>
  <si>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</si>
  <si>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</si>
  <si>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</si>
  <si>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</si>
  <si>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</si>
  <si>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</si>
  <si>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</si>
  <si>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</si>
  <si>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</si>
  <si>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</si>
  <si>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</si>
  <si>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</si>
  <si>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</si>
  <si>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</si>
  <si>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</si>
  <si>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</si>
  <si>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</si>
  <si>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</si>
  <si>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</si>
  <si>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</si>
  <si>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</si>
  <si>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</si>
  <si>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</si>
  <si>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</si>
  <si>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</si>
  <si>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</si>
  <si>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</si>
  <si>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</si>
  <si>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</si>
  <si>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</si>
  <si>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</si>
  <si>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</si>
  <si>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</si>
  <si>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</si>
  <si>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</si>
  <si>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</si>
  <si>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</si>
  <si>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</si>
  <si>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</si>
  <si>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</si>
  <si>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</si>
  <si>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</si>
  <si>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</si>
  <si>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</si>
  <si>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</si>
  <si>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</si>
  <si>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</si>
  <si>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</si>
  <si>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</si>
  <si>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</si>
  <si>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</si>
  <si>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</si>
  <si>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</si>
  <si>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</si>
  <si>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</si>
  <si>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</si>
  <si>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</si>
  <si>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</si>
  <si>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</si>
  <si>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</si>
  <si>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</si>
  <si>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</si>
  <si>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</si>
  <si>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</si>
  <si>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</si>
  <si>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</si>
  <si>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</si>
  <si>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</si>
  <si>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</si>
  <si>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</si>
  <si>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</si>
  <si>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</si>
  <si>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</si>
  <si>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</si>
  <si>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</si>
  <si>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</si>
  <si>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</si>
  <si>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</si>
  <si>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</si>
  <si>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</si>
  <si>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</si>
  <si>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</si>
  <si>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</si>
  <si>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</si>
  <si>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</si>
  <si>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</si>
  <si>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</si>
  <si>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</si>
  <si>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</si>
  <si>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</si>
  <si>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</si>
  <si>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</si>
  <si>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</si>
  <si>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</si>
  <si>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</si>
  <si>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</si>
  <si>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</si>
  <si>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</si>
  <si>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</si>
  <si>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</si>
  <si>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</si>
  <si>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</si>
  <si>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</si>
  <si>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</si>
  <si>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</si>
  <si>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</si>
  <si>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</si>
  <si>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</si>
  <si>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</si>
  <si>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</si>
  <si>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</si>
  <si>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</si>
  <si>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</si>
  <si>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</si>
  <si>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</si>
  <si>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</si>
  <si>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</si>
  <si>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</si>
  <si>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</si>
  <si>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</si>
  <si>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</si>
  <si>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</si>
  <si>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</si>
  <si>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</si>
  <si>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</si>
  <si>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</si>
  <si>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</si>
  <si>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</si>
  <si>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</si>
  <si>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</si>
  <si>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</si>
  <si>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</si>
  <si>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</si>
  <si>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</si>
  <si>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</si>
  <si>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</si>
  <si>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</si>
  <si>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</si>
  <si>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</si>
  <si>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</si>
  <si>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</si>
  <si>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</si>
  <si>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</si>
  <si>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</si>
  <si>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</si>
  <si>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</si>
  <si>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</si>
  <si>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</si>
  <si>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</si>
  <si>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</si>
  <si>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</si>
  <si>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</si>
  <si>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</si>
  <si>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</si>
  <si>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</si>
  <si>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</si>
  <si>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</si>
  <si>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</si>
  <si>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</si>
  <si>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</si>
  <si>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</si>
  <si>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</si>
  <si>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</si>
  <si>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</si>
  <si>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</si>
  <si>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</si>
  <si>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</si>
  <si>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</si>
  <si>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</si>
  <si>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</si>
  <si>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</si>
  <si>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</si>
  <si>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</si>
  <si>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</si>
  <si>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</si>
  <si>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</si>
  <si>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</si>
  <si>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</si>
  <si>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</si>
  <si>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</si>
  <si>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</si>
  <si>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</si>
  <si>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</si>
  <si>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</si>
  <si>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</si>
  <si>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</si>
  <si>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</si>
  <si>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</si>
  <si>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</si>
  <si>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</si>
  <si>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</si>
  <si>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</si>
  <si>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</si>
  <si>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</si>
  <si>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</si>
  <si>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</si>
  <si>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</si>
  <si>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</si>
  <si>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</si>
  <si>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</si>
  <si>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</si>
  <si>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</si>
  <si>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</si>
  <si>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</si>
  <si>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</si>
  <si>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</si>
  <si>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</si>
  <si>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</si>
  <si>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</si>
  <si>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</si>
  <si>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</si>
  <si>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</si>
  <si>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</si>
  <si>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</si>
  <si>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</si>
  <si>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</si>
  <si>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</si>
  <si>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</si>
  <si>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</si>
  <si>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</si>
  <si>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</si>
  <si>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</si>
  <si>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</si>
  <si>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</si>
  <si>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</si>
  <si>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</si>
  <si>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</si>
  <si>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</si>
  <si>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</si>
  <si>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</si>
  <si>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</si>
  <si>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</si>
  <si>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</si>
  <si>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</si>
  <si>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</si>
  <si>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</si>
  <si>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</si>
  <si>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</si>
  <si>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</si>
  <si>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</si>
  <si>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</si>
  <si>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</si>
  <si>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</si>
  <si>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</si>
  <si>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</si>
  <si>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</si>
  <si>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</si>
  <si>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</si>
  <si>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</si>
  <si>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</si>
  <si>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</si>
  <si>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</si>
  <si>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</si>
  <si>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</si>
  <si>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</si>
  <si>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</si>
  <si>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</si>
  <si>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</si>
  <si>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</si>
  <si>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</si>
  <si>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</si>
  <si>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</si>
  <si>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</si>
  <si>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</si>
  <si>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</si>
  <si>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</si>
  <si>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</si>
  <si>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</si>
  <si>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</si>
  <si>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</si>
  <si>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</si>
  <si>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</si>
  <si>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</si>
  <si>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</si>
  <si>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</si>
  <si>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</si>
  <si>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</si>
  <si>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</si>
  <si>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</si>
  <si>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</si>
  <si>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</si>
  <si>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</si>
  <si>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</si>
  <si>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</si>
  <si>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</si>
  <si>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</si>
  <si>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</si>
  <si>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</si>
  <si>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</si>
  <si>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</si>
  <si>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</si>
  <si>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</si>
  <si>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</si>
  <si>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</si>
  <si>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</si>
  <si>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</si>
  <si>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</si>
  <si>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</si>
  <si>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</si>
  <si>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</si>
  <si>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</si>
  <si>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</si>
  <si>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</si>
  <si>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</si>
  <si>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</si>
  <si>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</si>
  <si>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</si>
  <si>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</si>
  <si>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</si>
  <si>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</si>
  <si>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</si>
  <si>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</si>
  <si>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</si>
  <si>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</si>
  <si>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</si>
  <si>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</si>
  <si>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</si>
  <si>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</si>
  <si>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</si>
  <si>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</si>
  <si>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</si>
  <si>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</si>
  <si>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</si>
  <si>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</si>
  <si>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</si>
  <si>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</si>
  <si>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</si>
  <si>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</si>
  <si>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</si>
  <si>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</si>
  <si>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</si>
  <si>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</si>
  <si>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</si>
  <si>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</si>
  <si>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</si>
  <si>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</si>
  <si>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</si>
  <si>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</si>
  <si>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</si>
  <si>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</si>
  <si>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</si>
  <si>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</si>
  <si>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</si>
  <si>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</si>
  <si>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</si>
  <si>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</si>
  <si>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</si>
  <si>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</si>
  <si>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</si>
  <si>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</si>
  <si>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</si>
  <si>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</si>
  <si>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</si>
  <si>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</si>
  <si>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</si>
  <si>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</si>
  <si>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</si>
  <si>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</si>
  <si>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</si>
  <si>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</si>
  <si>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</si>
  <si>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</si>
  <si>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</si>
  <si>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</si>
  <si>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</si>
  <si>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</si>
  <si>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</si>
  <si>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</si>
  <si>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</si>
  <si>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</si>
  <si>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</si>
  <si>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</si>
  <si>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</si>
  <si>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</si>
  <si>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</si>
  <si>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</si>
  <si>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</si>
  <si>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</si>
  <si>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</si>
  <si>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</si>
  <si>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</si>
  <si>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</si>
  <si>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</si>
  <si>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</si>
  <si>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</si>
  <si>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</si>
  <si>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</si>
  <si>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</si>
  <si>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</si>
  <si>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</si>
  <si>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</si>
  <si>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</si>
  <si>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</si>
  <si>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</si>
  <si>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</si>
  <si>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</si>
  <si>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</si>
  <si>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</si>
  <si>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</si>
  <si>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</si>
  <si>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</si>
  <si>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</si>
  <si>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</si>
  <si>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</si>
  <si>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</si>
  <si>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</si>
  <si>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</si>
  <si>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</si>
  <si>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</si>
  <si>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</si>
  <si>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</si>
  <si>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</si>
  <si>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</si>
  <si>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</si>
  <si>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</si>
  <si>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</si>
  <si>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</si>
  <si>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</si>
  <si>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</si>
  <si>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</si>
  <si>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</si>
  <si>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</si>
  <si>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</si>
  <si>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</si>
  <si>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</si>
  <si>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</si>
  <si>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</si>
  <si>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</si>
  <si>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</si>
  <si>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</si>
  <si>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</si>
  <si>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</si>
  <si>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</si>
  <si>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</si>
  <si>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</si>
  <si>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</si>
  <si>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</si>
  <si>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</si>
  <si>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</si>
  <si>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</si>
  <si>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</si>
  <si>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</si>
  <si>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</si>
  <si>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</si>
  <si>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</si>
  <si>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</si>
  <si>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</si>
  <si>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</si>
  <si>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</si>
  <si>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</si>
  <si>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</si>
  <si>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</si>
  <si>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</si>
  <si>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</si>
  <si>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</si>
  <si>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</si>
  <si>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</si>
  <si>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</si>
  <si>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</si>
  <si>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</si>
  <si>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</si>
  <si>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</si>
  <si>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</si>
  <si>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</si>
  <si>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</si>
  <si>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</si>
  <si>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</si>
  <si>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</si>
  <si>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</si>
  <si>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</si>
  <si>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</si>
  <si>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</si>
  <si>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</si>
  <si>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</si>
  <si>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</si>
  <si>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</si>
  <si>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</si>
  <si>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</si>
  <si>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</si>
  <si>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</si>
  <si>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</si>
  <si>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</si>
  <si>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</si>
  <si>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</si>
  <si>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</si>
  <si>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</si>
  <si>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</si>
  <si>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</si>
  <si>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</si>
  <si>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</si>
  <si>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</si>
  <si>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</si>
  <si>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</si>
  <si>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</si>
  <si>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</si>
  <si>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</si>
  <si>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</si>
  <si>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</si>
  <si>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</si>
  <si>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</si>
  <si>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</si>
  <si>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</si>
  <si>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</si>
  <si>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</si>
  <si>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</si>
  <si>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</si>
  <si>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</si>
  <si>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</si>
  <si>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</si>
  <si>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</si>
  <si>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</si>
  <si>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</si>
  <si>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</si>
  <si>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</si>
  <si>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</si>
  <si>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</si>
  <si>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</si>
  <si>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</si>
  <si>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</si>
  <si>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</si>
  <si>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</si>
  <si>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</si>
  <si>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</si>
  <si>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</si>
  <si>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</si>
  <si>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</si>
  <si>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</si>
  <si>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</si>
  <si>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</si>
  <si>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</si>
  <si>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</si>
  <si>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</si>
  <si>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</si>
  <si>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</si>
  <si>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</si>
  <si>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</si>
  <si>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</si>
  <si>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</si>
  <si>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</si>
  <si>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</si>
  <si>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</si>
  <si>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</si>
  <si>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</si>
  <si>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</si>
  <si>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</si>
  <si>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</si>
  <si>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</si>
  <si>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</si>
  <si>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</si>
  <si>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</si>
  <si>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</si>
  <si>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</si>
  <si>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</si>
  <si>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</si>
  <si>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</si>
  <si>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</si>
  <si>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</si>
  <si>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</si>
  <si>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</si>
  <si>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</si>
  <si>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</si>
  <si>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</si>
  <si>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</si>
  <si>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</si>
  <si>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</si>
  <si>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</si>
  <si>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</si>
  <si>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</si>
  <si>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</si>
  <si>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</si>
  <si>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</si>
  <si>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</si>
  <si>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</si>
  <si>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</si>
  <si>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</si>
  <si>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</si>
  <si>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</si>
  <si>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</si>
  <si>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</si>
  <si>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</si>
  <si>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</si>
  <si>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</si>
  <si>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</si>
  <si>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</si>
  <si>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</si>
  <si>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</si>
  <si>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</si>
  <si>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</si>
  <si>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</si>
  <si>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</si>
  <si>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</si>
  <si>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</si>
  <si>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</si>
  <si>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</si>
  <si>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</si>
  <si>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</si>
  <si>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</si>
  <si>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</si>
  <si>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</si>
  <si>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</si>
  <si>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</si>
  <si>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</si>
  <si>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</si>
  <si>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</si>
  <si>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</si>
  <si>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</si>
  <si>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</si>
  <si>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</si>
  <si>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</si>
  <si>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</si>
  <si>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</si>
  <si>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</si>
  <si>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</si>
  <si>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</si>
  <si>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</si>
  <si>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</si>
  <si>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</si>
  <si>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</si>
  <si>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</si>
  <si>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</si>
  <si>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</si>
  <si>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</si>
  <si>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</si>
  <si>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</si>
  <si>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</si>
  <si>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</si>
  <si>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</si>
  <si>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</si>
  <si>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</si>
  <si>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</si>
  <si>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</si>
  <si>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</si>
  <si>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</si>
  <si>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</si>
  <si>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</si>
  <si>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</si>
  <si>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</si>
  <si>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</si>
  <si>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</si>
  <si>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</si>
  <si>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</si>
  <si>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</si>
  <si>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</si>
  <si>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</si>
  <si>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</si>
  <si>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</si>
  <si>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</si>
  <si>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</si>
  <si>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</si>
  <si>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</si>
  <si>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</si>
  <si>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</si>
  <si>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</si>
  <si>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</si>
  <si>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</si>
  <si>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</si>
  <si>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</si>
  <si>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</si>
  <si>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</si>
  <si>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</si>
  <si>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</si>
  <si>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</si>
  <si>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</si>
  <si>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</si>
  <si>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</si>
  <si>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</si>
  <si>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</si>
  <si>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</si>
  <si>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</si>
  <si>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</si>
  <si>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</si>
  <si>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</si>
  <si>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</si>
  <si>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</si>
  <si>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</si>
  <si>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</si>
  <si>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</si>
  <si>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</si>
  <si>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</si>
  <si>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</si>
  <si>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</si>
  <si>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</si>
  <si>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</si>
  <si>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</si>
  <si>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</si>
  <si>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</si>
  <si>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</si>
  <si>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</si>
  <si>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</si>
  <si>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</si>
  <si>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</si>
  <si>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</si>
  <si>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</si>
  <si>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</si>
  <si>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</si>
  <si>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</si>
  <si>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</si>
  <si>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</si>
  <si>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</si>
  <si>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</si>
  <si>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</si>
  <si>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</si>
  <si>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</si>
  <si>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</si>
  <si>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</si>
  <si>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</si>
  <si>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</si>
  <si>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</si>
  <si>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</si>
  <si>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</si>
  <si>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</si>
  <si>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</si>
  <si>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</si>
  <si>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</si>
  <si>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</si>
  <si>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</si>
  <si>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</si>
  <si>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</si>
  <si>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</si>
  <si>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</si>
  <si>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</si>
  <si>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</si>
  <si>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</si>
  <si>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</si>
  <si>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</si>
  <si>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</si>
  <si>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</si>
  <si>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</si>
  <si>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</si>
  <si>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</si>
  <si>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</si>
  <si>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</si>
  <si>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</si>
  <si>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</si>
  <si>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</si>
  <si>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</si>
  <si>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</si>
  <si>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</si>
  <si>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</si>
  <si>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</si>
  <si>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</si>
  <si>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</si>
  <si>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</si>
  <si>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</si>
  <si>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</si>
  <si>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</si>
  <si>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</si>
  <si>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</si>
  <si>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</si>
  <si>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</si>
  <si>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</si>
  <si>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</si>
  <si>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</si>
  <si>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</si>
  <si>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</si>
  <si>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</si>
  <si>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</si>
  <si>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</si>
  <si>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</si>
  <si>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</si>
  <si>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</si>
  <si>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</si>
  <si>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</si>
  <si>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</si>
  <si>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</si>
  <si>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</si>
  <si>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</si>
  <si>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</si>
  <si>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</si>
  <si>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</si>
  <si>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</si>
  <si>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</si>
  <si>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</si>
  <si>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</si>
  <si>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</si>
  <si>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</si>
  <si>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</si>
  <si>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</si>
  <si>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</si>
  <si>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</si>
  <si>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</si>
  <si>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</si>
  <si>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</si>
  <si>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</si>
  <si>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</si>
  <si>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</si>
  <si>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</si>
  <si>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</si>
  <si>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</si>
  <si>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</si>
  <si>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</si>
  <si>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</si>
  <si>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</si>
  <si>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</si>
  <si>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</si>
  <si>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</si>
  <si>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</si>
  <si>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</si>
  <si>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</si>
  <si>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</si>
  <si>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</si>
  <si>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</si>
  <si>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</si>
  <si>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</si>
  <si>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</si>
  <si>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</si>
  <si>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</si>
  <si>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</si>
  <si>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</si>
  <si>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</si>
  <si>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</si>
  <si>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</si>
  <si>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</si>
  <si>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</si>
  <si>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</si>
  <si>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</si>
  <si>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</si>
  <si>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</si>
  <si>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</si>
  <si>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</si>
  <si>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</si>
  <si>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</si>
  <si>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</si>
  <si>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</si>
  <si>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</si>
  <si>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</si>
  <si>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</si>
  <si>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</si>
  <si>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</si>
  <si>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</si>
  <si>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</si>
  <si>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</si>
  <si>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</si>
  <si>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</si>
  <si>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</si>
  <si>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</si>
  <si>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</si>
  <si>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</si>
  <si>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</si>
  <si>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</si>
  <si>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</si>
  <si>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</si>
  <si>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</si>
  <si>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</si>
  <si>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</si>
  <si>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</si>
  <si>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</si>
  <si>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</si>
  <si>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</si>
  <si>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</si>
  <si>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</si>
  <si>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</si>
  <si>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</si>
  <si>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</si>
  <si>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</si>
  <si>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</si>
  <si>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</si>
  <si>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</si>
  <si>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</si>
  <si>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</si>
  <si>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</si>
  <si>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</si>
  <si>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</si>
  <si>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</si>
  <si>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</si>
  <si>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</si>
  <si>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</si>
  <si>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</si>
  <si>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</si>
  <si>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</si>
  <si>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</si>
  <si>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</si>
  <si>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</si>
  <si>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</si>
  <si>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</si>
  <si>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</si>
  <si>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</si>
  <si>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</si>
  <si>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</si>
  <si>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</si>
  <si>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</si>
  <si>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</si>
  <si>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</si>
  <si>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</si>
  <si>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</si>
  <si>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</si>
  <si>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</si>
  <si>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</si>
  <si>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</si>
  <si>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</si>
  <si>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</si>
  <si>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</si>
  <si>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</si>
  <si>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</si>
  <si>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</si>
  <si>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</si>
  <si>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</si>
  <si>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</si>
  <si>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</si>
  <si>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</si>
  <si>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</si>
  <si>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</si>
  <si>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</si>
  <si>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</si>
  <si>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</si>
  <si>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</si>
  <si>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</si>
  <si>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</si>
  <si>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</si>
  <si>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</si>
  <si>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</si>
  <si>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</si>
  <si>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</si>
  <si>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</si>
  <si>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</si>
  <si>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</si>
  <si>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</si>
  <si>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</si>
  <si>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</si>
  <si>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</si>
  <si>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</si>
  <si>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</si>
  <si>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</si>
  <si>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</si>
  <si>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</si>
  <si>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</si>
  <si>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</si>
  <si>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</si>
  <si>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</si>
  <si>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</si>
  <si>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</si>
  <si>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</si>
  <si>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</si>
  <si>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</si>
  <si>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</si>
  <si>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</si>
  <si>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</si>
  <si>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</si>
  <si>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</si>
  <si>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</si>
  <si>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</si>
  <si>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</si>
  <si>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</si>
  <si>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</si>
  <si>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</si>
  <si>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</si>
  <si>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</si>
  <si>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</si>
  <si>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</si>
  <si>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</si>
  <si>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</si>
  <si>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</si>
  <si>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</si>
  <si>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</si>
  <si>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</si>
  <si>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</si>
  <si>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</si>
  <si>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</si>
  <si>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</si>
  <si>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</si>
  <si>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</si>
  <si>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</si>
  <si>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</si>
  <si>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</si>
  <si>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</si>
  <si>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</si>
  <si>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</si>
  <si>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</si>
  <si>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</si>
  <si>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</si>
  <si>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</si>
  <si>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</si>
  <si>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</si>
  <si>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</si>
  <si>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</si>
  <si>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</si>
  <si>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</si>
  <si>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</si>
  <si>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</si>
  <si>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</si>
  <si>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</si>
  <si>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</si>
  <si>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</si>
  <si>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</si>
  <si>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</si>
  <si>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</si>
  <si>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</si>
  <si>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</si>
  <si>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</si>
  <si>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</si>
  <si>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</si>
  <si>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</si>
  <si>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</si>
  <si>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</si>
  <si>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</si>
  <si>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</si>
  <si>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</si>
  <si>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</si>
  <si>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</si>
  <si>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</si>
  <si>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</si>
  <si>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</si>
  <si>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</si>
  <si>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</si>
  <si>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</si>
  <si>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</si>
  <si>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</si>
  <si>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</si>
  <si>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</si>
  <si>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</si>
  <si>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</si>
  <si>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</si>
  <si>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</si>
  <si>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</si>
  <si>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</si>
  <si>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</si>
  <si>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</si>
  <si>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</si>
  <si>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</si>
  <si>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</si>
  <si>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</si>
  <si>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</si>
  <si>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</si>
  <si>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</si>
  <si>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</si>
  <si>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</si>
  <si>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</si>
  <si>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</si>
  <si>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</si>
  <si>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</si>
  <si>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</si>
  <si>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</si>
  <si>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</si>
  <si>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</si>
  <si>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</si>
  <si>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</si>
  <si>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</si>
  <si>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</si>
  <si>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</si>
  <si>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</si>
  <si>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</si>
  <si>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</si>
  <si>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</si>
  <si>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</si>
  <si>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</si>
  <si>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</si>
  <si>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</si>
  <si>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</si>
  <si>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</si>
  <si>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</si>
  <si>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</si>
  <si>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</si>
  <si>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</si>
  <si>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</si>
  <si>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</si>
  <si>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</si>
  <si>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</si>
  <si>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</si>
  <si>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</si>
  <si>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</si>
  <si>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</si>
  <si>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</si>
  <si>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</si>
  <si>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</si>
  <si>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</si>
  <si>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</si>
  <si>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</si>
  <si>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</si>
  <si>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</si>
  <si>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</si>
  <si>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</si>
  <si>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</si>
  <si>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</si>
  <si>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</si>
  <si>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</si>
  <si>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</si>
  <si>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</si>
  <si>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</si>
  <si>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</si>
  <si>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</si>
  <si>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</si>
  <si>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</si>
  <si>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</si>
  <si>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</si>
  <si>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</si>
  <si>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</si>
  <si>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</si>
  <si>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</si>
  <si>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</si>
  <si>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</si>
  <si>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</si>
  <si>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</si>
  <si>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</si>
  <si>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</si>
  <si>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</si>
  <si>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</si>
  <si>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</si>
  <si>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</si>
  <si>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</si>
  <si>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</si>
  <si>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</si>
  <si>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</si>
  <si>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</si>
  <si>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</si>
  <si>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</si>
  <si>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</si>
  <si>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</si>
  <si>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</si>
  <si>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</si>
  <si>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</si>
  <si>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</si>
  <si>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</si>
  <si>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</si>
  <si>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</si>
  <si>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</si>
  <si>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</si>
  <si>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</si>
  <si>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</si>
  <si>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</si>
  <si>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</si>
  <si>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</si>
  <si>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</si>
  <si>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</si>
  <si>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</si>
  <si>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</si>
  <si>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</si>
  <si>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</si>
  <si>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</si>
  <si>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</si>
  <si>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</si>
  <si>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</si>
  <si>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</si>
  <si>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</si>
  <si>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</si>
  <si>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</si>
  <si>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</si>
  <si>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</si>
  <si>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</si>
  <si>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</si>
  <si>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</si>
  <si>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</si>
  <si>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</si>
  <si>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</si>
  <si>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</si>
  <si>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</si>
  <si>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</si>
  <si>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</si>
  <si>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</si>
  <si>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</si>
  <si>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</si>
  <si>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</si>
  <si>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</si>
  <si>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</si>
  <si>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</si>
  <si>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</si>
  <si>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</si>
  <si>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</si>
  <si>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</si>
  <si>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</si>
  <si>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</si>
  <si>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</si>
  <si>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</si>
  <si>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</si>
  <si>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</si>
  <si>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</si>
  <si>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</si>
  <si>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</si>
  <si>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</si>
  <si>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</si>
  <si>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</si>
  <si>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</si>
  <si>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</si>
  <si>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</si>
  <si>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</si>
  <si>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</si>
  <si>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</si>
  <si>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</si>
  <si>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</si>
  <si>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</si>
  <si>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</si>
  <si>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</si>
  <si>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</si>
  <si>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</si>
  <si>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</si>
  <si>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</si>
  <si>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</si>
  <si>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</si>
  <si>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</si>
  <si>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</si>
  <si>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</si>
  <si>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</si>
  <si>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</si>
  <si>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</si>
  <si>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</si>
  <si>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</si>
  <si>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</si>
  <si>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</si>
  <si>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</si>
  <si>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</si>
  <si>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</si>
  <si>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</si>
  <si>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</si>
  <si>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</si>
  <si>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</si>
  <si>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</si>
  <si>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</si>
  <si>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</si>
  <si>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</si>
  <si>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</si>
  <si>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</si>
  <si>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</si>
  <si>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</si>
  <si>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</si>
  <si>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</si>
  <si>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</si>
  <si>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</si>
  <si>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</si>
  <si>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</si>
  <si>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</si>
  <si>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</si>
  <si>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</si>
  <si>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</si>
  <si>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</si>
  <si>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</si>
  <si>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</si>
  <si>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</si>
  <si>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</si>
  <si>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</si>
  <si>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</si>
  <si>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</si>
  <si>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</si>
  <si>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</si>
  <si>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</si>
  <si>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</si>
  <si>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</si>
  <si>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</si>
  <si>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</si>
  <si>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</si>
  <si>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</si>
  <si>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</si>
  <si>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</si>
  <si>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</si>
  <si>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</si>
  <si>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</si>
  <si>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</si>
  <si>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</si>
  <si>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</si>
  <si>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</si>
  <si>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</si>
  <si>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</si>
  <si>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</si>
  <si>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</si>
  <si>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</si>
  <si>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</si>
  <si>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</si>
  <si>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</si>
  <si>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</si>
  <si>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</si>
  <si>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</si>
  <si>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</si>
  <si>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</si>
  <si>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</si>
  <si>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</si>
  <si>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</si>
  <si>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</si>
  <si>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</si>
  <si>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</si>
  <si>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</si>
  <si>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</si>
  <si>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</si>
  <si>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</si>
  <si>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</si>
  <si>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</si>
  <si>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</si>
  <si>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</si>
  <si>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</si>
  <si>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</si>
  <si>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</si>
  <si>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</si>
  <si>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</si>
  <si>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</si>
  <si>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</si>
  <si>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</si>
  <si>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</si>
  <si>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</si>
  <si>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</si>
  <si>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</si>
  <si>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</si>
  <si>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</si>
  <si>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</si>
  <si>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</si>
  <si>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</si>
  <si>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</si>
  <si>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</si>
  <si>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</si>
  <si>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</si>
  <si>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</si>
  <si>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</si>
  <si>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</si>
  <si>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</si>
  <si>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</si>
  <si>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</si>
  <si>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</si>
  <si>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</si>
  <si>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</si>
  <si>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</si>
  <si>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</si>
  <si>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</si>
  <si>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</si>
  <si>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</si>
  <si>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</si>
  <si>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</si>
  <si>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</si>
  <si>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</si>
  <si>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</si>
  <si>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</si>
  <si>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</si>
  <si>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</si>
  <si>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</si>
  <si>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</si>
  <si>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</si>
  <si>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</si>
  <si>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</si>
  <si>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</si>
  <si>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</si>
  <si>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</si>
  <si>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</si>
  <si>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</si>
  <si>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</si>
  <si>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</si>
  <si>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</si>
  <si>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</si>
  <si>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</si>
  <si>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</si>
  <si>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</si>
  <si>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</si>
  <si>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</si>
  <si>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</si>
  <si>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</si>
  <si>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</si>
  <si>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</si>
  <si>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</si>
  <si>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</si>
  <si>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</si>
  <si>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</si>
  <si>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</si>
  <si>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</si>
  <si>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</si>
  <si>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</si>
  <si>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</si>
  <si>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</si>
  <si>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</si>
  <si>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</si>
  <si>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</si>
  <si>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</si>
  <si>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</si>
  <si>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</si>
  <si>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</si>
  <si>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</si>
  <si>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</si>
  <si>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</si>
  <si>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</si>
  <si>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</si>
  <si>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</si>
  <si>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</si>
  <si>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</si>
  <si>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</si>
  <si>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</si>
  <si>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</si>
  <si>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</si>
  <si>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</si>
  <si>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</si>
  <si>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</si>
  <si>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</si>
  <si>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</si>
  <si>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</si>
  <si>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</si>
  <si>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</si>
  <si>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</si>
  <si>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</si>
  <si>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</si>
  <si>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</si>
  <si>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</si>
  <si>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</si>
  <si>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</si>
  <si>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</si>
  <si>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</si>
  <si>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</si>
  <si>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</si>
  <si>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</si>
  <si>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</si>
  <si>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</si>
  <si>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</si>
  <si>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</si>
  <si>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</si>
  <si>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</si>
  <si>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</si>
  <si>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</si>
  <si>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</si>
  <si>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</si>
  <si>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</si>
  <si>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</si>
  <si>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</si>
  <si>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</si>
  <si>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</si>
  <si>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</si>
  <si>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</si>
  <si>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</si>
  <si>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</si>
  <si>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</si>
  <si>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</si>
  <si>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</si>
  <si>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</si>
  <si>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</si>
  <si>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</si>
  <si>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</si>
  <si>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</si>
  <si>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</si>
  <si>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</si>
  <si>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</si>
  <si>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</si>
  <si>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</si>
  <si>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</si>
  <si>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</si>
  <si>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</si>
  <si>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</si>
  <si>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</si>
  <si>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</si>
  <si>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</si>
  <si>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</si>
  <si>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</si>
  <si>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</si>
  <si>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</si>
  <si>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</si>
  <si>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</si>
  <si>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</si>
  <si>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</si>
  <si>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</si>
  <si>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</si>
  <si>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</si>
  <si>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</si>
  <si>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</si>
  <si>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</si>
  <si>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</si>
  <si>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</si>
  <si>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</si>
  <si>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</si>
  <si>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</si>
  <si>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</si>
  <si>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</si>
  <si>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</si>
  <si>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</si>
  <si>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</si>
  <si>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</si>
  <si>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</si>
  <si>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</si>
  <si>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</si>
  <si>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</si>
  <si>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</si>
  <si>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</si>
  <si>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</si>
  <si>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</si>
  <si>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</si>
  <si>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</si>
  <si>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</si>
  <si>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</si>
  <si>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</si>
  <si>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</si>
  <si>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</si>
  <si>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</si>
  <si>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</si>
  <si>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</si>
  <si>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</si>
  <si>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</si>
  <si>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</si>
  <si>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</si>
  <si>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</si>
  <si>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</si>
  <si>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</si>
  <si>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</si>
  <si>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</si>
  <si>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</si>
  <si>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</si>
  <si>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</si>
  <si>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</si>
  <si>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</si>
  <si>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</si>
  <si>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</si>
  <si>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</si>
  <si>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</si>
  <si>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</si>
  <si>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</si>
  <si>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</si>
  <si>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</si>
  <si>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</si>
  <si>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</si>
  <si>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</si>
  <si>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</si>
  <si>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</si>
  <si>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</si>
  <si>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</si>
  <si>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</si>
  <si>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</si>
  <si>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</si>
  <si>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</si>
  <si>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</si>
  <si>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</si>
  <si>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</si>
  <si>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</si>
  <si>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</si>
  <si>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</si>
  <si>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</si>
  <si>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</si>
  <si>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</si>
  <si>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</si>
  <si>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</si>
  <si>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</si>
  <si>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</si>
  <si>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</si>
  <si>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</si>
  <si>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</si>
  <si>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</si>
  <si>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</si>
  <si>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</si>
  <si>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</si>
  <si>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</si>
  <si>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</si>
  <si>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</si>
  <si>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</si>
  <si>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</si>
  <si>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</si>
  <si>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</si>
  <si>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</si>
  <si>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</si>
  <si>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</si>
  <si>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</si>
  <si>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</si>
  <si>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</si>
  <si>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 xml:space="preserve">U.S. Department of Education Passed Through Illinois </t>
  </si>
  <si>
    <t xml:space="preserve">     State Board of Education</t>
  </si>
  <si>
    <t>84.027A</t>
  </si>
  <si>
    <t>N/A</t>
  </si>
  <si>
    <t>17-4625-00</t>
  </si>
  <si>
    <t>U.S. Department of Education Passed Through North</t>
  </si>
  <si>
    <t xml:space="preserve">     Dupage Special Education Cooperative</t>
  </si>
  <si>
    <t xml:space="preserve">          Special Education - IDEA - Flow-Through (M)</t>
  </si>
  <si>
    <t>U.S. Department of Education Passed Through DuPage</t>
  </si>
  <si>
    <t xml:space="preserve">     Area Occupational Education System:</t>
  </si>
  <si>
    <t xml:space="preserve">          Perkins - Title III</t>
  </si>
  <si>
    <t>Total CFDA "84"</t>
  </si>
  <si>
    <t>18-4300-00</t>
  </si>
  <si>
    <t>18-4625-00</t>
  </si>
  <si>
    <t>18-4932-00</t>
  </si>
  <si>
    <t>18-4620-00</t>
  </si>
  <si>
    <t>18-4799-00</t>
  </si>
  <si>
    <t>U.S. Department of Health and Human Services Passed</t>
  </si>
  <si>
    <t xml:space="preserve">          Medicaid Admin Outreach</t>
  </si>
  <si>
    <t>Total CFDA "93"</t>
  </si>
  <si>
    <t>Total Federal Assistance</t>
  </si>
  <si>
    <t xml:space="preserve">     Through Illinois Department of Healthcare
     and Family Services Passed Through North </t>
  </si>
  <si>
    <t xml:space="preserve">     DuPage Special Education Cooperative</t>
  </si>
  <si>
    <t>17-4991-00</t>
  </si>
  <si>
    <t>18-4991-00</t>
  </si>
  <si>
    <t>Medicaid Administrative Outreach - Administartive Assessment Fee</t>
  </si>
  <si>
    <t>DUPAGE</t>
  </si>
  <si>
    <t>590 SOUTH MEDINAH ROAD</t>
  </si>
  <si>
    <t>ROSELLE</t>
  </si>
  <si>
    <t>JOCONNELL@LPHS.ORG</t>
  </si>
  <si>
    <t>X</t>
  </si>
  <si>
    <t>EDER, CASELLA &amp; CO</t>
  </si>
  <si>
    <t>JOHN ALBANESE</t>
  </si>
  <si>
    <t>5400 WEST ELM STREET, SUITE 203</t>
  </si>
  <si>
    <t>815-344-1300</t>
  </si>
  <si>
    <t>IL</t>
  </si>
  <si>
    <t>815-344-1320</t>
  </si>
  <si>
    <t>066-005142</t>
  </si>
  <si>
    <t>CPAS@EDERCASELLA.COM</t>
  </si>
  <si>
    <t>18-4400-00</t>
  </si>
  <si>
    <t>x</t>
  </si>
  <si>
    <t>2012 General Obligatino Bonds</t>
  </si>
  <si>
    <t>2014 General Obligation Limited Tax Refunding Debt Certificates</t>
  </si>
  <si>
    <t>2016 General Obligation Limited Debt Certificates</t>
  </si>
  <si>
    <t>2016B General Obligation Limited Refunding School Bonds</t>
  </si>
  <si>
    <t>Activity and Student Athletic Buses Capital Lease</t>
  </si>
  <si>
    <t>Ricoh Copiers Capital Lease</t>
  </si>
  <si>
    <t>Debt Certificates</t>
  </si>
  <si>
    <t>Capital Leases</t>
  </si>
  <si>
    <t xml:space="preserve">Page 9, Line 17 - Other Payments in Lieu of Taxes </t>
  </si>
  <si>
    <t xml:space="preserve">Reimbursement from TIF District </t>
  </si>
  <si>
    <t>Page 10, Line 72 - Sales to Pupils - Other</t>
  </si>
  <si>
    <t xml:space="preserve">Vending Sales </t>
  </si>
  <si>
    <t>Page 10, Line 74 - Other Food Service</t>
  </si>
  <si>
    <t>Page 10, Line 78 - Admissions - Other</t>
  </si>
  <si>
    <t>Admissions-Drama &amp; Music</t>
  </si>
  <si>
    <t>5.</t>
  </si>
  <si>
    <t>Page 10, Line 81 - Other District/School Activity Revenue</t>
  </si>
  <si>
    <t>Food Sales</t>
  </si>
  <si>
    <t>6.</t>
  </si>
  <si>
    <t>Page 10, Line 91 - Sales - Other</t>
  </si>
  <si>
    <t>Novel Purchase Program</t>
  </si>
  <si>
    <t>8.</t>
  </si>
  <si>
    <t>Page 11, Line 107 - Other Local Revenues</t>
  </si>
  <si>
    <t>Solar Renewable Energy Credits, Salvage &amp; Other Misc.</t>
  </si>
  <si>
    <t>9.</t>
  </si>
  <si>
    <t>Page 12, Line 171 - Other Restricted Revenue from State Sources</t>
  </si>
  <si>
    <t>State Library Grant</t>
  </si>
  <si>
    <t>10.</t>
  </si>
  <si>
    <t xml:space="preserve">Page 15, Line 41 - Other Support Services - Pupils </t>
  </si>
  <si>
    <t xml:space="preserve">11. </t>
  </si>
  <si>
    <t>Page 16, Line 56 - Other Support Services - School Admin</t>
  </si>
  <si>
    <t>12.</t>
  </si>
  <si>
    <t>Page 17, Line 128 - Other Support Services</t>
  </si>
  <si>
    <t xml:space="preserve">Vehicle Ipass Accounts </t>
  </si>
  <si>
    <t>13.</t>
  </si>
  <si>
    <t>Bond Fees</t>
  </si>
  <si>
    <t>14.</t>
  </si>
  <si>
    <t>15.</t>
  </si>
  <si>
    <t>Total long-term Debt (Principal) Retired on page 18 does not equal Debt Service - Long Term Debt (Principal) Retired on page 25 due to the principal payment made on the bus lease which is recorded in the Transportation Fund.</t>
  </si>
  <si>
    <t>NONE</t>
  </si>
  <si>
    <t>UNMODIFIED</t>
  </si>
  <si>
    <t>84.027a</t>
  </si>
  <si>
    <t>SPECIAL EDUCATION CLUSTER</t>
  </si>
  <si>
    <t xml:space="preserve">          Title I - Low Income*</t>
  </si>
  <si>
    <t>* Project year Ends 8/31</t>
  </si>
  <si>
    <t xml:space="preserve">          Special Education - IDEA Room &amp; Board (M)*</t>
  </si>
  <si>
    <t xml:space="preserve">          Title II - Teacher Quality*</t>
  </si>
  <si>
    <t xml:space="preserve">          Title IV - Student Support &amp; Academic Enrichment*</t>
  </si>
  <si>
    <t>17-4625-XC</t>
  </si>
  <si>
    <t>Honor Society</t>
  </si>
  <si>
    <t>Catering Sales, Client Guarantee Food Service Lunches, National</t>
  </si>
  <si>
    <t>Misc Reimbursements</t>
  </si>
  <si>
    <t>Preschool Fees, Student Teacher Honorariums, ROE &amp; Other</t>
  </si>
  <si>
    <t>Commencement, Pupil Web Based Software Support</t>
  </si>
  <si>
    <t>Summer &amp; Textbook Distribution Salaries, Pupil Interpretation,</t>
  </si>
  <si>
    <t>Salaries and Related Benefits</t>
  </si>
  <si>
    <t>Payments</t>
  </si>
  <si>
    <t>Summer &amp; Textbook Distribution IMRF &amp; Social Security Employer</t>
  </si>
  <si>
    <t>Department Directors, Asst. Principals and Admin Assistants</t>
  </si>
  <si>
    <t>IMRF &amp; Soc. Sec. Employer Payments</t>
  </si>
  <si>
    <t>Page 10, Line 106 - Other Local Fees</t>
  </si>
  <si>
    <t>MCHENRY</t>
  </si>
  <si>
    <r>
      <t xml:space="preserve">The accompanying Schedule of Expenditures of Federal Awards includes the federal grant activity of Lake Park High School District No. 108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</si>
  <si>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Lake Park High School District No. 108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</si>
  <si>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Lake Park High School District No. 108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</si>
  <si>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O&amp;M-Operations &amp; Maintenance of Plant Services-Purchased Services</t>
  </si>
  <si>
    <t>20-2540-300</t>
  </si>
  <si>
    <t>10-1000-300</t>
  </si>
  <si>
    <t>10-2100-300</t>
  </si>
  <si>
    <t>10-2300-300</t>
  </si>
  <si>
    <t>20-2540-400</t>
  </si>
  <si>
    <t>ED-Instruction-Purchased Services</t>
  </si>
  <si>
    <t>ED-Support Services-Pupil-Purchased Services</t>
  </si>
  <si>
    <t>ED-Support Services-General Administration-Purchased Services</t>
  </si>
  <si>
    <t>O&amp;M-Operations &amp; Maintenance of Plant Services-Supplies</t>
  </si>
  <si>
    <t>ED-Data Processing Services-Purchased Services</t>
  </si>
  <si>
    <t>ED-Support Services-Instructional Staff-Purchased Services</t>
  </si>
  <si>
    <t>ED-Support Services-School Administration-Purchased Services</t>
  </si>
  <si>
    <t>ED-Direction of Business Support Services-Purchased Services</t>
  </si>
  <si>
    <t>ED-Fiscal Services-Purchased Services</t>
  </si>
  <si>
    <t>ED-Internal Services-Purchased Services</t>
  </si>
  <si>
    <t>ED-Planning, Research, Development &amp; Evaluation Services-Purchased Services</t>
  </si>
  <si>
    <t>ED-Information Services-Purchased Services</t>
  </si>
  <si>
    <t>ED-Staff Services-Purchased Services</t>
  </si>
  <si>
    <t>TR-Pupil Transportation Services-Purchased Services</t>
  </si>
  <si>
    <t>ED-Food Services-Purchased Services</t>
  </si>
  <si>
    <t>ED-Operations &amp; Maintenance of Plant Services-Purchased Services</t>
  </si>
  <si>
    <t>10-2660-300</t>
  </si>
  <si>
    <t>10-2200-300</t>
  </si>
  <si>
    <t>10-2400-300</t>
  </si>
  <si>
    <t>10-2510-300</t>
  </si>
  <si>
    <t>10-2520-300</t>
  </si>
  <si>
    <t>10-2570-300</t>
  </si>
  <si>
    <t>10-2620-300</t>
  </si>
  <si>
    <t>10-2630-300</t>
  </si>
  <si>
    <t>10-2640-300</t>
  </si>
  <si>
    <t>40-2550-300</t>
  </si>
  <si>
    <t>10-2560-300</t>
  </si>
  <si>
    <t>10-2540-300</t>
  </si>
  <si>
    <t>AT&amp;T</t>
  </si>
  <si>
    <t>AT&amp;T MOBILITY</t>
  </si>
  <si>
    <t>ATHLETICO MANAGEMENT LLC</t>
  </si>
  <si>
    <t>ARLINGDALE HEALTHCARE dba BRIGHTSTAR</t>
  </si>
  <si>
    <t>CLIC / SCHOOL BOARD LEGAL</t>
  </si>
  <si>
    <t>CONSTELLATION ENERGY SERVICES INC.</t>
  </si>
  <si>
    <t>EDER, CASELLA &amp; CO.</t>
  </si>
  <si>
    <t>EDUCATIONAL SOLUTIONS DEVELOPMENT, INC</t>
  </si>
  <si>
    <t>IMAGETEC</t>
  </si>
  <si>
    <t>FIRST STUDENT, INC.</t>
  </si>
  <si>
    <t>PEDIATRIC SERVICES OF AMERICA INC</t>
  </si>
  <si>
    <t>SEVERIN INTERMEDIATE HOLDINGS, LLC</t>
  </si>
  <si>
    <t>REMIND 101 INC.</t>
  </si>
  <si>
    <t>SANTANDER LEASING LLC</t>
  </si>
  <si>
    <t>SEARS CENTRE ARENA</t>
  </si>
  <si>
    <t>SEPTRAN, INC.</t>
  </si>
  <si>
    <t>SIEMENS INDUSTRY, INC.</t>
  </si>
  <si>
    <t>SODEXO INC &amp; AFFILIATES</t>
  </si>
  <si>
    <t>TELCOM INNOVATIONS GROUP LLC</t>
  </si>
  <si>
    <t>VILLAGE OF ROSELLE</t>
  </si>
  <si>
    <t>Technology Center of DuPage</t>
  </si>
  <si>
    <t>District 11, 13 and NDSEC</t>
  </si>
  <si>
    <t>District 11 and 13</t>
  </si>
  <si>
    <t>North Dupage Special Education Cooperative</t>
  </si>
  <si>
    <t>Lake Park Tax Consortium</t>
  </si>
  <si>
    <t>IIIT, ISDLAF</t>
  </si>
  <si>
    <t>EBC, CLIC</t>
  </si>
  <si>
    <t>IEC</t>
  </si>
  <si>
    <t>Page 18, Line 171 - Debt Services - Other</t>
  </si>
  <si>
    <t>Page 19, Line 237 - Other Support Services - Pupils</t>
  </si>
  <si>
    <t>Page 20, Line 260 - Other Support Services - School Administration</t>
  </si>
  <si>
    <t>Lake Park CHSD 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</si>
</sst>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ont>
    <font>
      <u/>
      <sz val="8"/>
      <color indexed="12"/>
      <name val="Arial"/>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s>
  <cellStyleXfs count="338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1" fontId="163" fillId="0" borderId="0" applyFont="0" applyFill="0" applyBorder="0" applyAlignment="0" applyProtection="0"/>
    <xf numFmtId="182"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3" fontId="163" fillId="0" borderId="0" applyFont="0" applyFill="0" applyBorder="0" applyAlignment="0" applyProtection="0"/>
    <xf numFmtId="184" fontId="163" fillId="0" borderId="0" applyFont="0" applyFill="0" applyBorder="0" applyAlignment="0" applyProtection="0"/>
    <xf numFmtId="43" fontId="140" fillId="0" borderId="0" applyAlignment="0"/>
    <xf numFmtId="185" fontId="163" fillId="0" borderId="0" applyFont="0" applyFill="0" applyBorder="0" applyAlignment="0" applyProtection="0">
      <alignment horizontal="right"/>
    </xf>
    <xf numFmtId="186" fontId="163" fillId="0" borderId="0" applyFont="0" applyFill="0" applyBorder="0" applyAlignment="0" applyProtection="0"/>
    <xf numFmtId="187" fontId="163" fillId="0" borderId="0" applyFont="0" applyFill="0" applyBorder="0" applyAlignment="0" applyProtection="0">
      <alignment horizontal="right"/>
    </xf>
    <xf numFmtId="188" fontId="163" fillId="0" borderId="0" applyFont="0" applyFill="0" applyBorder="0" applyAlignment="0" applyProtection="0">
      <alignment horizontal="right"/>
    </xf>
    <xf numFmtId="189" fontId="163" fillId="0" borderId="0" applyFont="0" applyFill="0" applyBorder="0" applyAlignment="0" applyProtection="0">
      <alignment horizontal="right"/>
    </xf>
    <xf numFmtId="190" fontId="163" fillId="0" borderId="0" applyFont="0" applyFill="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31" borderId="0" applyNumberFormat="0" applyBorder="0" applyAlignment="0" applyProtection="0"/>
    <xf numFmtId="0" fontId="144" fillId="32" borderId="0" applyNumberFormat="0" applyBorder="0" applyAlignment="0" applyProtection="0"/>
    <xf numFmtId="0" fontId="156" fillId="33"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44" fillId="31" borderId="0" applyNumberFormat="0" applyBorder="0" applyAlignment="0" applyProtection="0"/>
    <xf numFmtId="0" fontId="144" fillId="35"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44" fillId="28" borderId="0" applyNumberFormat="0" applyBorder="0" applyAlignment="0" applyProtection="0"/>
    <xf numFmtId="0" fontId="144" fillId="32" borderId="0" applyNumberFormat="0" applyBorder="0" applyAlignment="0" applyProtection="0"/>
    <xf numFmtId="0" fontId="156" fillId="32"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36" borderId="0" applyNumberFormat="0" applyBorder="0" applyAlignment="0" applyProtection="0"/>
    <xf numFmtId="0" fontId="144" fillId="28" borderId="0" applyNumberFormat="0" applyBorder="0" applyAlignment="0" applyProtection="0"/>
    <xf numFmtId="0" fontId="156" fillId="29"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44" fillId="31" borderId="0" applyNumberFormat="0" applyBorder="0" applyAlignment="0" applyProtection="0"/>
    <xf numFmtId="0" fontId="144" fillId="38" borderId="0" applyNumberFormat="0" applyBorder="0" applyAlignment="0" applyProtection="0"/>
    <xf numFmtId="0" fontId="156" fillId="38"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63" fillId="0" borderId="166" applyNumberFormat="0" applyFill="0" applyAlignment="0" applyProtection="0"/>
    <xf numFmtId="191" fontId="164" fillId="0" borderId="166" applyNumberFormat="0" applyFill="0" applyAlignment="0" applyProtection="0">
      <alignment horizontal="center"/>
    </xf>
    <xf numFmtId="191" fontId="164" fillId="0" borderId="78" applyFill="0" applyAlignment="0" applyProtection="0">
      <alignment horizontal="center"/>
    </xf>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65" fillId="0" borderId="0" applyProtection="0"/>
    <xf numFmtId="191"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40"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3" fontId="14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0" fillId="0" borderId="0" applyFont="0" applyFill="0" applyBorder="0" applyAlignment="0" applyProtection="0"/>
    <xf numFmtId="44" fontId="12" fillId="0" borderId="0" applyFont="0" applyFill="0" applyBorder="0" applyAlignment="0" applyProtection="0"/>
    <xf numFmtId="5" fontId="140" fillId="0" borderId="0" applyFont="0" applyFill="0" applyBorder="0" applyAlignment="0" applyProtection="0"/>
    <xf numFmtId="0" fontId="142" fillId="0" borderId="0" applyProtection="0"/>
    <xf numFmtId="192" fontId="163" fillId="0" borderId="0" applyFont="0" applyFill="0" applyBorder="0" applyAlignment="0" applyProtection="0"/>
    <xf numFmtId="191" fontId="164" fillId="0" borderId="168" applyNumberFormat="0" applyFill="0" applyAlignment="0" applyProtection="0"/>
    <xf numFmtId="0" fontId="163" fillId="0" borderId="168" applyNumberFormat="0" applyFill="0" applyAlignment="0" applyProtection="0"/>
    <xf numFmtId="0" fontId="155" fillId="42" borderId="0" applyNumberFormat="0" applyBorder="0" applyAlignment="0" applyProtection="0"/>
    <xf numFmtId="0" fontId="155" fillId="43" borderId="0" applyNumberFormat="0" applyBorder="0" applyAlignment="0" applyProtection="0"/>
    <xf numFmtId="0" fontId="155" fillId="44"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2" fillId="0" borderId="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2" fillId="0" borderId="0" applyProtection="0"/>
    <xf numFmtId="0" fontId="143" fillId="0" borderId="0" applyProtection="0"/>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3" fontId="163" fillId="0" borderId="0" applyFont="0" applyFill="0" applyBorder="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64" fillId="0" borderId="0" applyNumberFormat="0" applyFill="0" applyAlignment="0" applyProtection="0"/>
    <xf numFmtId="0" fontId="140" fillId="0" borderId="0"/>
    <xf numFmtId="0" fontId="12" fillId="0" borderId="0"/>
    <xf numFmtId="0" fontId="12" fillId="0" borderId="0"/>
    <xf numFmtId="0" fontId="140" fillId="0" borderId="0"/>
    <xf numFmtId="0" fontId="5" fillId="0" borderId="0"/>
    <xf numFmtId="0" fontId="141" fillId="0" borderId="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194" fontId="164" fillId="0" borderId="0" applyFill="0" applyBorder="0" applyProtection="0">
      <alignment horizontal="right"/>
    </xf>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195" fontId="164" fillId="0" borderId="0" applyProtection="0"/>
    <xf numFmtId="0" fontId="145"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4" applyNumberFormat="0" applyFont="0" applyFill="0" applyAlignment="0" applyProtection="0"/>
    <xf numFmtId="0" fontId="163" fillId="0" borderId="175" applyNumberFormat="0" applyFont="0" applyFill="0" applyAlignment="0" applyProtection="0"/>
    <xf numFmtId="0" fontId="163" fillId="0" borderId="142" applyNumberFormat="0" applyFon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40" fillId="0" borderId="0" applyAlignment="0"/>
    <xf numFmtId="43" fontId="12" fillId="0" borderId="0" applyAlignment="0"/>
    <xf numFmtId="43" fontId="140" fillId="0" borderId="0" applyAlignment="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2" fillId="0" borderId="0"/>
    <xf numFmtId="0" fontId="12" fillId="0" borderId="0"/>
    <xf numFmtId="0" fontId="12" fillId="0" borderId="0"/>
    <xf numFmtId="0" fontId="140"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1" fillId="0" borderId="0"/>
    <xf numFmtId="0" fontId="12" fillId="0" borderId="0"/>
    <xf numFmtId="0" fontId="12" fillId="0" borderId="0"/>
    <xf numFmtId="0" fontId="12" fillId="0" borderId="0"/>
    <xf numFmtId="0" fontId="12" fillId="0" borderId="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63" fillId="0" borderId="142" applyNumberFormat="0" applyFont="0" applyFill="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7" fillId="0" borderId="0" applyNumberFormat="0" applyFill="0" applyBorder="0" applyAlignment="0" applyProtection="0">
      <alignment vertical="top"/>
      <protection locked="0"/>
    </xf>
    <xf numFmtId="0" fontId="5"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83" fillId="0" borderId="0" applyAlignment="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44" fontId="183" fillId="0" borderId="0" applyFont="0" applyFill="0" applyBorder="0" applyAlignment="0" applyProtection="0"/>
    <xf numFmtId="5" fontId="183" fillId="0" borderId="0" applyFont="0" applyFill="0" applyBorder="0" applyAlignment="0" applyProtection="0"/>
    <xf numFmtId="0" fontId="184" fillId="0" borderId="0" applyNumberFormat="0" applyFill="0" applyBorder="0" applyAlignment="0" applyProtection="0">
      <alignment vertical="top"/>
      <protection locked="0"/>
    </xf>
    <xf numFmtId="0" fontId="183" fillId="0" borderId="0"/>
    <xf numFmtId="0" fontId="183" fillId="0" borderId="0"/>
    <xf numFmtId="0" fontId="4" fillId="0" borderId="0"/>
    <xf numFmtId="43" fontId="183" fillId="0" borderId="0" applyAlignment="0"/>
    <xf numFmtId="43" fontId="183" fillId="0" borderId="0" applyAlignment="0"/>
    <xf numFmtId="43"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3"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3" fillId="0" borderId="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5" fillId="0" borderId="183" applyNumberFormat="0" applyFill="0" applyAlignment="0" applyProtection="0"/>
    <xf numFmtId="0" fontId="152" fillId="64" borderId="181" applyNumberFormat="0" applyAlignment="0" applyProtection="0"/>
    <xf numFmtId="0" fontId="155" fillId="0" borderId="183" applyNumberFormat="0" applyFill="0" applyAlignment="0" applyProtection="0"/>
    <xf numFmtId="43" fontId="3" fillId="0" borderId="0" applyFont="0" applyFill="0" applyBorder="0" applyAlignment="0" applyProtection="0"/>
    <xf numFmtId="0" fontId="3" fillId="0" borderId="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63" fillId="0" borderId="180" applyNumberFormat="0" applyFon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63" fillId="0" borderId="180" applyNumberFormat="0" applyFon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43" fontId="3" fillId="0" borderId="0" applyFont="0" applyFill="0" applyBorder="0" applyAlignment="0" applyProtection="0"/>
    <xf numFmtId="0" fontId="3" fillId="0" borderId="0"/>
    <xf numFmtId="0" fontId="3" fillId="0" borderId="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82"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cellStyleXfs>
  <cellXfs count="2523">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6"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6" fillId="0" borderId="129" xfId="12" applyFont="1" applyBorder="1" applyAlignment="1" applyProtection="1">
      <alignment vertical="center"/>
    </xf>
    <xf numFmtId="0" fontId="16" fillId="0" borderId="127" xfId="12" applyFont="1" applyBorder="1" applyAlignment="1" applyProtection="1">
      <alignment vertical="center"/>
    </xf>
    <xf numFmtId="1" fontId="12" fillId="0" borderId="0" xfId="0" applyNumberFormat="1" applyFont="1" applyAlignment="1">
      <alignment horizontal="center" vertical="center"/>
    </xf>
    <xf numFmtId="0" fontId="13" fillId="0" borderId="13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pplyProtection="1">
      <alignment horizontal="left" vertical="center"/>
    </xf>
    <xf numFmtId="164" fontId="56" fillId="18" borderId="122" xfId="0" applyNumberFormat="1" applyFont="1" applyFill="1" applyBorder="1" applyAlignment="1" applyProtection="1">
      <alignment horizontal="center" vertical="center"/>
    </xf>
    <xf numFmtId="164" fontId="66" fillId="18" borderId="122" xfId="0" applyNumberFormat="1" applyFont="1" applyFill="1" applyBorder="1" applyAlignment="1" applyProtection="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pplyProtection="1">
      <alignment horizontal="center" vertical="center"/>
    </xf>
    <xf numFmtId="164" fontId="66" fillId="14" borderId="110" xfId="0" applyNumberFormat="1" applyFont="1" applyFill="1" applyBorder="1" applyAlignment="1" applyProtection="1">
      <alignment vertical="center"/>
    </xf>
    <xf numFmtId="0" fontId="59" fillId="14" borderId="103" xfId="0" applyFont="1" applyFill="1" applyBorder="1" applyAlignment="1" applyProtection="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pplyProtection="1">
      <alignment horizontal="center" vertical="center"/>
    </xf>
    <xf numFmtId="164" fontId="56" fillId="18" borderId="110" xfId="0" applyNumberFormat="1" applyFont="1" applyFill="1" applyBorder="1" applyAlignment="1" applyProtection="1">
      <alignment horizontal="center" vertical="center"/>
    </xf>
    <xf numFmtId="164" fontId="66" fillId="18"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8" xfId="0" applyFont="1" applyFill="1" applyBorder="1" applyAlignment="1" applyProtection="1">
      <alignment horizontal="left" vertical="center"/>
    </xf>
    <xf numFmtId="164" fontId="56" fillId="14" borderId="110"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80" fillId="12" borderId="103" xfId="0" applyFont="1" applyFill="1" applyBorder="1" applyAlignment="1">
      <alignment horizontal="left" vertical="center"/>
    </xf>
    <xf numFmtId="0" fontId="56" fillId="14" borderId="119" xfId="0" applyFont="1" applyFill="1" applyBorder="1" applyAlignment="1" applyProtection="1">
      <alignment horizontal="center" vertical="center"/>
    </xf>
    <xf numFmtId="164" fontId="56" fillId="14" borderId="120" xfId="0" applyNumberFormat="1" applyFont="1" applyFill="1" applyBorder="1" applyAlignment="1" applyProtection="1">
      <alignment horizontal="center" vertical="center"/>
    </xf>
    <xf numFmtId="164" fontId="66" fillId="14" borderId="120" xfId="0" applyNumberFormat="1" applyFont="1" applyFill="1" applyBorder="1" applyAlignment="1" applyProtection="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8" xfId="0" applyNumberFormat="1" applyFont="1" applyBorder="1" applyAlignment="1" applyProtection="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1" xfId="0" applyFont="1" applyFill="1" applyBorder="1" applyAlignment="1" applyProtection="1">
      <alignment horizontal="center" vertical="center"/>
    </xf>
    <xf numFmtId="38" fontId="57" fillId="0" borderId="125"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38" fontId="57" fillId="0" borderId="112" xfId="0" applyNumberFormat="1" applyFont="1" applyFill="1" applyBorder="1" applyAlignment="1" applyProtection="1">
      <alignment horizontal="right"/>
      <protection locked="0"/>
    </xf>
    <xf numFmtId="38" fontId="57" fillId="0" borderId="55"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8" xfId="0" applyFont="1" applyFill="1" applyBorder="1" applyAlignment="1">
      <alignment horizontal="center" vertical="center"/>
    </xf>
    <xf numFmtId="38" fontId="57" fillId="0" borderId="128"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8"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4" xfId="3" applyNumberFormat="1" applyFont="1" applyBorder="1" applyAlignment="1">
      <alignment horizontal="center" vertical="center"/>
    </xf>
    <xf numFmtId="0" fontId="59" fillId="0" borderId="134"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4"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NumberFormat="1"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Border="1" applyAlignment="1">
      <alignment vertical="top"/>
    </xf>
    <xf numFmtId="0" fontId="117" fillId="0" borderId="129" xfId="0" applyNumberFormat="1"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applyAlignment="1"/>
    <xf numFmtId="164" fontId="115" fillId="0" borderId="129" xfId="0" applyNumberFormat="1" applyFont="1" applyBorder="1" applyAlignment="1"/>
    <xf numFmtId="0" fontId="57" fillId="0" borderId="129" xfId="0" applyFont="1" applyBorder="1" applyAlignment="1"/>
    <xf numFmtId="0" fontId="64" fillId="0" borderId="12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6" xfId="0" applyFont="1" applyFill="1" applyBorder="1" applyAlignment="1"/>
    <xf numFmtId="0" fontId="56" fillId="0" borderId="129" xfId="0" applyFont="1" applyFill="1" applyBorder="1" applyAlignment="1">
      <alignment horizontal="left" vertical="top"/>
    </xf>
    <xf numFmtId="0" fontId="56" fillId="0" borderId="12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4" xfId="3" quotePrefix="1" applyNumberFormat="1" applyFont="1" applyBorder="1" applyAlignment="1" applyProtection="1">
      <alignment horizontal="left"/>
    </xf>
    <xf numFmtId="0" fontId="64" fillId="0" borderId="145" xfId="3" applyNumberFormat="1" applyFont="1" applyBorder="1" applyAlignment="1" applyProtection="1">
      <alignment horizontal="center"/>
    </xf>
    <xf numFmtId="0" fontId="64" fillId="0" borderId="145" xfId="3" applyNumberFormat="1" applyFont="1" applyBorder="1" applyProtection="1"/>
    <xf numFmtId="0" fontId="57" fillId="0" borderId="144" xfId="3" applyNumberFormat="1" applyFont="1" applyBorder="1" applyAlignment="1" applyProtection="1"/>
    <xf numFmtId="0" fontId="64" fillId="0" borderId="146" xfId="3" applyNumberFormat="1" applyFont="1" applyBorder="1" applyAlignment="1" applyProtection="1">
      <alignment horizontal="centerContinuous"/>
    </xf>
    <xf numFmtId="0" fontId="57" fillId="0" borderId="144" xfId="3" applyNumberFormat="1" applyFont="1" applyBorder="1" applyAlignment="1" applyProtection="1">
      <alignment horizontal="left"/>
    </xf>
    <xf numFmtId="0" fontId="64" fillId="0" borderId="146" xfId="3" applyNumberFormat="1" applyFont="1" applyBorder="1" applyProtection="1"/>
    <xf numFmtId="0" fontId="64" fillId="0" borderId="14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7"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7" xfId="3" applyFont="1" applyBorder="1" applyProtection="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6" xfId="3" applyNumberFormat="1" applyFont="1" applyBorder="1" applyAlignment="1" applyProtection="1">
      <alignment horizontal="center"/>
    </xf>
    <xf numFmtId="0" fontId="66" fillId="0" borderId="145" xfId="3" applyFont="1" applyBorder="1" applyAlignment="1" applyProtection="1">
      <alignment horizontal="centerContinuous"/>
    </xf>
    <xf numFmtId="0" fontId="66" fillId="0" borderId="146"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6"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1" borderId="72" xfId="3" applyFont="1" applyFill="1" applyBorder="1" applyAlignment="1" applyProtection="1">
      <alignment horizontal="center"/>
    </xf>
    <xf numFmtId="0" fontId="66" fillId="22"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1"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2"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1" borderId="0" xfId="3" applyFont="1" applyFill="1" applyProtection="1"/>
    <xf numFmtId="169" fontId="59" fillId="21" borderId="0" xfId="3" applyNumberFormat="1" applyFont="1" applyFill="1" applyProtection="1"/>
    <xf numFmtId="1" fontId="59" fillId="21" borderId="0" xfId="3" applyNumberFormat="1" applyFont="1" applyFill="1" applyProtection="1"/>
    <xf numFmtId="0" fontId="59" fillId="21"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5" xfId="3" applyFont="1" applyBorder="1" applyProtection="1"/>
    <xf numFmtId="0" fontId="59" fillId="0" borderId="145" xfId="3" applyFont="1" applyBorder="1" applyProtection="1"/>
    <xf numFmtId="0" fontId="59" fillId="0" borderId="14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5" xfId="3" quotePrefix="1"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5" xfId="3" applyFont="1" applyBorder="1" applyProtection="1"/>
    <xf numFmtId="0" fontId="59" fillId="0" borderId="0" xfId="3" applyFont="1" applyBorder="1" applyAlignment="1" applyProtection="1">
      <alignment horizontal="left"/>
    </xf>
    <xf numFmtId="0" fontId="66" fillId="0" borderId="145" xfId="3" applyFont="1" applyBorder="1" applyAlignment="1" applyProtection="1">
      <alignment horizontal="left"/>
    </xf>
    <xf numFmtId="0" fontId="59" fillId="9" borderId="145" xfId="3" applyFont="1" applyFill="1" applyBorder="1" applyProtection="1"/>
    <xf numFmtId="0" fontId="59" fillId="9" borderId="145" xfId="3" applyFont="1" applyFill="1" applyBorder="1" applyAlignment="1" applyProtection="1">
      <alignment horizontal="center"/>
    </xf>
    <xf numFmtId="0" fontId="59" fillId="9" borderId="146" xfId="3" applyFont="1" applyFill="1" applyBorder="1" applyProtection="1"/>
    <xf numFmtId="0" fontId="64" fillId="9" borderId="5" xfId="3" applyFont="1" applyFill="1" applyBorder="1" applyProtection="1"/>
    <xf numFmtId="0" fontId="64" fillId="9" borderId="111"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50"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4" xfId="3" applyFont="1" applyFill="1" applyBorder="1" applyProtection="1"/>
    <xf numFmtId="0" fontId="66" fillId="9" borderId="145" xfId="3" applyFont="1" applyFill="1" applyBorder="1" applyProtection="1"/>
    <xf numFmtId="0" fontId="59" fillId="0" borderId="5" xfId="3" applyFont="1" applyFill="1" applyBorder="1" applyProtection="1"/>
    <xf numFmtId="14" fontId="59" fillId="9" borderId="74" xfId="3" applyNumberFormat="1" applyFont="1" applyFill="1" applyBorder="1" applyAlignment="1" applyProtection="1">
      <alignment horizontal="center"/>
    </xf>
    <xf numFmtId="0" fontId="59" fillId="9" borderId="74" xfId="3" applyFont="1" applyFill="1" applyBorder="1" applyAlignment="1" applyProtection="1">
      <alignment horizontal="center"/>
    </xf>
    <xf numFmtId="0" fontId="59" fillId="9" borderId="40" xfId="3" applyFont="1" applyFill="1" applyBorder="1" applyProtection="1"/>
    <xf numFmtId="0" fontId="74" fillId="0" borderId="152" xfId="3" applyFont="1" applyBorder="1" applyAlignment="1" applyProtection="1">
      <alignment horizontal="left"/>
    </xf>
    <xf numFmtId="0" fontId="59" fillId="0" borderId="152" xfId="3" applyFont="1" applyBorder="1" applyProtection="1"/>
    <xf numFmtId="0" fontId="59" fillId="0" borderId="15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30"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8" xfId="0" applyNumberFormat="1" applyFont="1" applyFill="1" applyBorder="1" applyAlignment="1" applyProtection="1">
      <alignment horizontal="right" vertical="center"/>
      <protection locked="0"/>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3" borderId="158" xfId="17" applyNumberFormat="1" applyFill="1" applyBorder="1" applyAlignment="1">
      <alignment horizontal="right" vertical="top"/>
    </xf>
    <xf numFmtId="38" fontId="9" fillId="23"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4" borderId="157" xfId="17" applyFont="1" applyFill="1" applyBorder="1" applyAlignment="1">
      <alignment horizontal="center" vertical="center" wrapText="1"/>
    </xf>
    <xf numFmtId="38" fontId="127" fillId="24" borderId="157" xfId="17" applyNumberFormat="1" applyFont="1" applyFill="1" applyBorder="1" applyAlignment="1">
      <alignment horizontal="center" vertical="center" wrapText="1"/>
    </xf>
    <xf numFmtId="3" fontId="57" fillId="24" borderId="132" xfId="0" applyNumberFormat="1" applyFont="1" applyFill="1" applyBorder="1" applyAlignment="1">
      <alignment horizontal="center"/>
    </xf>
    <xf numFmtId="3" fontId="57" fillId="24" borderId="132" xfId="0" applyNumberFormat="1" applyFont="1" applyFill="1" applyBorder="1" applyAlignment="1">
      <alignment horizontal="right"/>
    </xf>
    <xf numFmtId="3" fontId="57" fillId="24" borderId="133" xfId="0" applyNumberFormat="1" applyFont="1" applyFill="1" applyBorder="1" applyAlignment="1">
      <alignment horizontal="center"/>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3" fontId="67" fillId="24" borderId="126" xfId="0" applyNumberFormat="1" applyFont="1" applyFill="1" applyBorder="1" applyAlignment="1">
      <alignment horizontal="center" vertical="center" wrapText="1"/>
    </xf>
    <xf numFmtId="49" fontId="64" fillId="24" borderId="11" xfId="0" applyNumberFormat="1" applyFont="1" applyFill="1" applyBorder="1" applyAlignment="1">
      <alignment horizontal="center" vertical="center"/>
    </xf>
    <xf numFmtId="38" fontId="57" fillId="24" borderId="13" xfId="0" applyNumberFormat="1" applyFont="1" applyFill="1" applyBorder="1" applyAlignment="1">
      <alignment horizontal="right"/>
    </xf>
    <xf numFmtId="38" fontId="57" fillId="24" borderId="21" xfId="0" applyNumberFormat="1" applyFont="1" applyFill="1" applyBorder="1" applyAlignment="1">
      <alignment horizontal="right"/>
    </xf>
    <xf numFmtId="38" fontId="57" fillId="24" borderId="14" xfId="0" applyNumberFormat="1" applyFont="1" applyFill="1" applyBorder="1" applyAlignment="1">
      <alignment horizontal="right"/>
    </xf>
    <xf numFmtId="38" fontId="56" fillId="24" borderId="13"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21" xfId="1"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38" fontId="57" fillId="24" borderId="19" xfId="0" applyNumberFormat="1" applyFont="1" applyFill="1" applyBorder="1" applyAlignment="1" applyProtection="1">
      <alignment horizontal="right"/>
    </xf>
    <xf numFmtId="38" fontId="57" fillId="24" borderId="20"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0" fontId="59" fillId="24" borderId="31" xfId="0" applyFont="1" applyFill="1" applyBorder="1" applyAlignment="1">
      <alignment horizontal="center" vertical="center"/>
    </xf>
    <xf numFmtId="38" fontId="57" fillId="24" borderId="13" xfId="0" applyNumberFormat="1" applyFont="1" applyFill="1" applyBorder="1" applyAlignment="1" applyProtection="1">
      <alignment horizontal="right"/>
    </xf>
    <xf numFmtId="38" fontId="57" fillId="24" borderId="11" xfId="0" applyNumberFormat="1" applyFont="1" applyFill="1" applyBorder="1" applyAlignment="1" applyProtection="1">
      <alignment horizontal="right"/>
    </xf>
    <xf numFmtId="38" fontId="57" fillId="24" borderId="49" xfId="0" applyNumberFormat="1" applyFont="1" applyFill="1" applyBorder="1" applyAlignment="1" applyProtection="1">
      <alignment horizontal="right"/>
    </xf>
    <xf numFmtId="38" fontId="57" fillId="24" borderId="34" xfId="0" applyNumberFormat="1" applyFont="1" applyFill="1" applyBorder="1" applyAlignment="1" applyProtection="1">
      <alignment horizontal="right"/>
    </xf>
    <xf numFmtId="38" fontId="57" fillId="24" borderId="31" xfId="0" applyNumberFormat="1" applyFont="1" applyFill="1" applyBorder="1" applyAlignment="1" applyProtection="1">
      <alignment horizontal="right"/>
    </xf>
    <xf numFmtId="3" fontId="56" fillId="24" borderId="13" xfId="0" applyNumberFormat="1" applyFont="1" applyFill="1" applyBorder="1" applyAlignment="1" applyProtection="1">
      <alignment horizontal="right" vertical="center"/>
    </xf>
    <xf numFmtId="3" fontId="56" fillId="24" borderId="21" xfId="0" applyNumberFormat="1" applyFont="1" applyFill="1" applyBorder="1" applyAlignment="1" applyProtection="1">
      <alignment horizontal="right" vertical="center"/>
    </xf>
    <xf numFmtId="3" fontId="56" fillId="24"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4" borderId="13" xfId="0" applyNumberFormat="1" applyFont="1" applyFill="1" applyBorder="1" applyAlignment="1" applyProtection="1">
      <alignment horizontal="center" vertical="center"/>
    </xf>
    <xf numFmtId="49" fontId="66" fillId="24" borderId="21" xfId="0" applyNumberFormat="1" applyFont="1" applyFill="1" applyBorder="1" applyAlignment="1" applyProtection="1">
      <alignment horizontal="center" vertical="center"/>
    </xf>
    <xf numFmtId="3" fontId="57" fillId="24" borderId="21" xfId="0" applyNumberFormat="1" applyFont="1" applyFill="1" applyBorder="1" applyAlignment="1" applyProtection="1">
      <alignment horizontal="center"/>
    </xf>
    <xf numFmtId="3" fontId="59" fillId="24" borderId="21" xfId="0" applyNumberFormat="1" applyFont="1" applyFill="1" applyBorder="1" applyAlignment="1" applyProtection="1">
      <alignment horizontal="center"/>
    </xf>
    <xf numFmtId="38" fontId="59" fillId="24" borderId="21" xfId="0" applyNumberFormat="1" applyFont="1" applyFill="1" applyBorder="1" applyAlignment="1" applyProtection="1">
      <alignment horizontal="center"/>
    </xf>
    <xf numFmtId="3" fontId="59" fillId="24" borderId="14" xfId="0" applyNumberFormat="1" applyFont="1" applyFill="1" applyBorder="1" applyAlignment="1" applyProtection="1">
      <alignment horizontal="center"/>
    </xf>
    <xf numFmtId="0" fontId="56" fillId="24" borderId="49" xfId="0" applyFont="1" applyFill="1" applyBorder="1" applyAlignment="1" applyProtection="1">
      <alignment horizontal="center" vertical="center" wrapText="1"/>
    </xf>
    <xf numFmtId="0" fontId="57" fillId="24" borderId="34"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wrapText="1"/>
    </xf>
    <xf numFmtId="0" fontId="59" fillId="24" borderId="31"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8"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5" borderId="19" xfId="0" applyNumberFormat="1" applyFont="1" applyFill="1" applyBorder="1" applyAlignment="1">
      <alignment horizontal="right"/>
    </xf>
    <xf numFmtId="38" fontId="57" fillId="25" borderId="20" xfId="0" applyNumberFormat="1" applyFont="1" applyFill="1" applyBorder="1" applyAlignment="1">
      <alignment horizontal="right"/>
    </xf>
    <xf numFmtId="38" fontId="57" fillId="25"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4" borderId="13" xfId="0" applyFont="1" applyFill="1" applyBorder="1" applyAlignment="1">
      <alignment horizontal="left" vertical="center"/>
    </xf>
    <xf numFmtId="0" fontId="67" fillId="24" borderId="21" xfId="0" applyFont="1" applyFill="1" applyBorder="1" applyAlignment="1">
      <alignment horizontal="left" vertical="center"/>
    </xf>
    <xf numFmtId="0" fontId="67" fillId="24"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4" borderId="16" xfId="3" applyFont="1" applyFill="1" applyBorder="1" applyAlignment="1">
      <alignment horizontal="left" vertical="center"/>
    </xf>
    <xf numFmtId="0" fontId="59" fillId="24" borderId="10" xfId="3" applyFont="1" applyFill="1" applyBorder="1" applyAlignment="1">
      <alignment horizontal="left" vertical="center"/>
    </xf>
    <xf numFmtId="0" fontId="59" fillId="24" borderId="19" xfId="3" applyNumberFormat="1" applyFont="1" applyFill="1" applyBorder="1" applyAlignment="1">
      <alignment vertical="center"/>
    </xf>
    <xf numFmtId="0" fontId="59" fillId="24" borderId="20" xfId="3" applyNumberFormat="1" applyFont="1" applyFill="1" applyBorder="1" applyAlignment="1">
      <alignment vertical="center"/>
    </xf>
    <xf numFmtId="0" fontId="59" fillId="24" borderId="11" xfId="3" applyNumberFormat="1" applyFont="1" applyFill="1" applyBorder="1" applyAlignment="1">
      <alignment vertical="center"/>
    </xf>
    <xf numFmtId="0" fontId="8" fillId="0" borderId="0" xfId="17" quotePrefix="1" applyNumberFormat="1" applyFont="1"/>
    <xf numFmtId="0" fontId="129" fillId="21" borderId="158" xfId="17" applyFont="1" applyFill="1" applyBorder="1" applyAlignment="1" applyProtection="1">
      <alignment horizontal="left" vertical="top" wrapText="1"/>
    </xf>
    <xf numFmtId="49" fontId="129" fillId="21" borderId="158" xfId="17" applyNumberFormat="1" applyFont="1" applyFill="1" applyBorder="1" applyAlignment="1" applyProtection="1">
      <alignment horizontal="center" vertical="top"/>
    </xf>
    <xf numFmtId="0" fontId="129" fillId="21" borderId="158" xfId="17" applyFont="1" applyFill="1" applyBorder="1" applyAlignment="1" applyProtection="1">
      <alignment vertical="top"/>
    </xf>
    <xf numFmtId="38" fontId="129" fillId="21" borderId="158" xfId="17" applyNumberFormat="1" applyFont="1" applyFill="1" applyBorder="1" applyAlignment="1" applyProtection="1">
      <alignment horizontal="right" vertical="top"/>
    </xf>
    <xf numFmtId="38" fontId="129" fillId="21" borderId="158" xfId="17" applyNumberFormat="1" applyFont="1" applyFill="1" applyBorder="1" applyAlignment="1" applyProtection="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8" fillId="0" borderId="158" xfId="17" applyFont="1" applyBorder="1" applyAlignment="1" applyProtection="1">
      <alignment horizontal="left" vertical="top" wrapText="1"/>
      <protection locked="0"/>
    </xf>
    <xf numFmtId="0" fontId="8" fillId="0" borderId="158"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8" xfId="17" applyNumberFormat="1" applyBorder="1" applyAlignment="1" applyProtection="1">
      <alignment horizontal="center" vertical="center"/>
      <protection locked="0"/>
    </xf>
    <xf numFmtId="49" fontId="7" fillId="0" borderId="158"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8" xfId="17" applyNumberFormat="1" applyFill="1" applyBorder="1" applyAlignment="1" applyProtection="1">
      <alignment horizontal="right" vertical="top"/>
    </xf>
    <xf numFmtId="38" fontId="9" fillId="17" borderId="158" xfId="17" applyNumberFormat="1" applyFill="1" applyBorder="1" applyAlignment="1" applyProtection="1">
      <alignment vertical="top"/>
    </xf>
    <xf numFmtId="38" fontId="9" fillId="17" borderId="159" xfId="17" applyNumberFormat="1" applyFill="1" applyBorder="1" applyAlignment="1" applyProtection="1">
      <alignment horizontal="right" vertical="top"/>
    </xf>
    <xf numFmtId="38" fontId="9" fillId="17" borderId="159" xfId="17" applyNumberFormat="1" applyFill="1" applyBorder="1" applyAlignment="1" applyProtection="1">
      <alignment vertical="top"/>
    </xf>
    <xf numFmtId="0" fontId="9" fillId="17" borderId="159" xfId="17" applyFill="1" applyBorder="1" applyAlignment="1" applyProtection="1">
      <alignment horizontal="left" vertical="top" wrapText="1"/>
    </xf>
    <xf numFmtId="49" fontId="9" fillId="17" borderId="159" xfId="17" applyNumberFormat="1" applyFill="1" applyBorder="1" applyAlignment="1" applyProtection="1">
      <alignment vertical="top"/>
    </xf>
    <xf numFmtId="0" fontId="9" fillId="17" borderId="159" xfId="17" applyFill="1" applyBorder="1" applyAlignment="1" applyProtection="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7"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8"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2"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8"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4" borderId="0" xfId="18" applyFont="1" applyFill="1" applyAlignment="1">
      <alignment horizontal="centerContinuous" vertical="center"/>
    </xf>
    <xf numFmtId="0" fontId="102" fillId="24" borderId="0" xfId="18" applyFont="1" applyFill="1" applyAlignment="1">
      <alignment horizontal="centerContinuous"/>
    </xf>
    <xf numFmtId="0" fontId="90" fillId="0" borderId="13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3"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3"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4" borderId="0" xfId="18" applyFont="1" applyFill="1" applyAlignment="1">
      <alignment horizontal="centerContinuous" vertical="center"/>
    </xf>
    <xf numFmtId="0" fontId="106" fillId="24" borderId="139" xfId="18" applyFont="1" applyFill="1" applyBorder="1" applyAlignment="1">
      <alignment horizontal="center" vertical="center" wrapText="1"/>
    </xf>
    <xf numFmtId="0" fontId="106" fillId="24"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Fill="1" applyBorder="1" applyAlignment="1" applyProtection="1">
      <alignment horizontal="right"/>
    </xf>
    <xf numFmtId="0" fontId="67" fillId="24"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8"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8"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3" fontId="13" fillId="0" borderId="22"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8"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0" fontId="22" fillId="0" borderId="2" xfId="12" applyNumberFormat="1" applyFont="1" applyBorder="1" applyAlignment="1" applyProtection="1">
      <alignment horizontal="center" vertical="center"/>
      <protection locked="0"/>
    </xf>
    <xf numFmtId="3" fontId="13" fillId="0" borderId="22"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 fontId="13" fillId="0" borderId="186" xfId="3" applyNumberFormat="1" applyFont="1" applyBorder="1" applyAlignment="1" applyProtection="1">
      <alignment horizontal="center"/>
      <protection locked="0"/>
    </xf>
    <xf numFmtId="169" fontId="13" fillId="0" borderId="186" xfId="3" applyNumberFormat="1" applyFont="1" applyBorder="1" applyAlignment="1" applyProtection="1">
      <alignment horizontal="center"/>
      <protection locked="0"/>
    </xf>
    <xf numFmtId="3" fontId="13" fillId="0" borderId="8" xfId="3" applyNumberFormat="1" applyFont="1" applyBorder="1" applyAlignment="1" applyProtection="1">
      <alignment horizontal="center"/>
      <protection locked="0"/>
    </xf>
    <xf numFmtId="0" fontId="12" fillId="0" borderId="0" xfId="2859" quotePrefix="1" applyFont="1" applyBorder="1"/>
    <xf numFmtId="164" fontId="59" fillId="0" borderId="0" xfId="0" applyNumberFormat="1" applyFont="1" applyAlignment="1">
      <alignment vertical="top"/>
    </xf>
    <xf numFmtId="0" fontId="59" fillId="0" borderId="0" xfId="0" applyFont="1" applyAlignment="1">
      <alignment vertical="top" wrapText="1"/>
    </xf>
    <xf numFmtId="0" fontId="102" fillId="0" borderId="0" xfId="3378" applyFont="1" applyFill="1"/>
    <xf numFmtId="0" fontId="12" fillId="0" borderId="0" xfId="2859" applyFont="1" applyFill="1" applyBorder="1"/>
    <xf numFmtId="164" fontId="12" fillId="0" borderId="0" xfId="2859" quotePrefix="1" applyNumberFormat="1" applyFont="1" applyBorder="1"/>
    <xf numFmtId="0" fontId="102" fillId="0" borderId="0" xfId="3378" applyFont="1" applyFill="1" applyAlignment="1">
      <alignment horizontal="left"/>
    </xf>
    <xf numFmtId="164" fontId="12" fillId="0" borderId="0" xfId="2859" quotePrefix="1" applyNumberFormat="1" applyFont="1" applyFill="1" applyBorder="1"/>
    <xf numFmtId="0" fontId="1" fillId="0" borderId="158" xfId="3384" applyFont="1" applyBorder="1" applyAlignment="1" applyProtection="1">
      <alignment horizontal="left" vertical="top" wrapText="1"/>
      <protection locked="0"/>
    </xf>
    <xf numFmtId="49" fontId="1" fillId="0" borderId="158" xfId="3384" applyNumberFormat="1" applyFont="1" applyBorder="1" applyAlignment="1" applyProtection="1">
      <alignment horizontal="center" vertical="center"/>
      <protection locked="0"/>
    </xf>
    <xf numFmtId="49" fontId="1" fillId="0" borderId="158" xfId="3384" applyNumberFormat="1" applyFont="1" applyBorder="1" applyAlignment="1" applyProtection="1">
      <alignment horizontal="center" vertical="top"/>
      <protection locked="0"/>
    </xf>
    <xf numFmtId="0" fontId="1" fillId="0" borderId="158" xfId="3384" applyBorder="1" applyAlignment="1" applyProtection="1">
      <alignment vertical="top"/>
      <protection locked="0"/>
    </xf>
    <xf numFmtId="0" fontId="1" fillId="0" borderId="158" xfId="3384" applyFont="1" applyBorder="1" applyAlignment="1" applyProtection="1">
      <alignment vertical="top"/>
      <protection locked="0"/>
    </xf>
    <xf numFmtId="38" fontId="1" fillId="0" borderId="158" xfId="3384" applyNumberFormat="1" applyBorder="1" applyAlignment="1" applyProtection="1">
      <alignment horizontal="right" vertical="top"/>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6" xfId="12" applyNumberFormat="1" applyFont="1" applyBorder="1" applyAlignment="1" applyProtection="1">
      <alignment horizontal="left" vertical="center" indent="1"/>
      <protection locked="0"/>
    </xf>
    <xf numFmtId="0" fontId="15" fillId="0" borderId="129"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9" xfId="12" applyFont="1" applyBorder="1" applyAlignment="1" applyProtection="1">
      <alignment horizontal="center" vertical="center" wrapText="1"/>
    </xf>
    <xf numFmtId="0" fontId="137" fillId="0" borderId="127"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7" xfId="0" applyFont="1" applyFill="1" applyBorder="1" applyAlignment="1" applyProtection="1">
      <alignment horizontal="center" vertical="center" wrapText="1"/>
    </xf>
    <xf numFmtId="3" fontId="66" fillId="24" borderId="13" xfId="0" applyNumberFormat="1" applyFont="1" applyFill="1" applyBorder="1" applyAlignment="1" applyProtection="1">
      <alignment horizontal="left" vertical="center"/>
    </xf>
    <xf numFmtId="3" fontId="66" fillId="24" borderId="14" xfId="0" applyNumberFormat="1" applyFont="1" applyFill="1" applyBorder="1" applyAlignment="1" applyProtection="1">
      <alignment horizontal="left" vertical="center"/>
    </xf>
    <xf numFmtId="164" fontId="66" fillId="24" borderId="49" xfId="0" applyNumberFormat="1" applyFont="1" applyFill="1" applyBorder="1" applyAlignment="1" applyProtection="1">
      <alignment horizontal="left" vertical="center"/>
    </xf>
    <xf numFmtId="164" fontId="66" fillId="24" borderId="31" xfId="0" applyNumberFormat="1" applyFont="1" applyFill="1" applyBorder="1" applyAlignment="1" applyProtection="1">
      <alignment horizontal="left" vertical="center"/>
    </xf>
    <xf numFmtId="0" fontId="66" fillId="24" borderId="34" xfId="0" applyFont="1" applyFill="1" applyBorder="1" applyAlignment="1" applyProtection="1">
      <alignment horizontal="left" vertical="center"/>
    </xf>
    <xf numFmtId="0" fontId="66" fillId="24" borderId="31" xfId="0" applyFont="1" applyFill="1" applyBorder="1" applyAlignment="1" applyProtection="1">
      <alignment horizontal="left" vertical="center"/>
    </xf>
    <xf numFmtId="164" fontId="66" fillId="24" borderId="13" xfId="0" applyNumberFormat="1" applyFont="1" applyFill="1" applyBorder="1" applyAlignment="1" applyProtection="1">
      <alignment horizontal="left" vertical="center"/>
    </xf>
    <xf numFmtId="164" fontId="66" fillId="24"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7"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6" borderId="13" xfId="0" applyNumberFormat="1" applyFont="1" applyFill="1" applyBorder="1" applyAlignment="1" applyProtection="1">
      <alignment horizontal="left" vertical="center" wrapText="1" indent="1"/>
    </xf>
    <xf numFmtId="164" fontId="66" fillId="26"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4" borderId="13" xfId="0" applyNumberFormat="1" applyFont="1" applyFill="1" applyBorder="1" applyAlignment="1" applyProtection="1">
      <alignment horizontal="left" vertical="center"/>
    </xf>
    <xf numFmtId="49" fontId="66" fillId="24" borderId="14" xfId="0" applyNumberFormat="1" applyFont="1" applyFill="1" applyBorder="1" applyAlignment="1" applyProtection="1">
      <alignment horizontal="left" vertical="center"/>
    </xf>
    <xf numFmtId="0" fontId="66" fillId="24" borderId="13" xfId="0" applyFont="1" applyFill="1" applyBorder="1" applyAlignment="1" applyProtection="1">
      <alignment vertical="center"/>
    </xf>
    <xf numFmtId="0" fontId="66" fillId="24"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4" borderId="19" xfId="0" applyFont="1" applyFill="1" applyBorder="1" applyAlignment="1">
      <alignment horizontal="center" vertical="center"/>
    </xf>
    <xf numFmtId="0" fontId="59" fillId="24" borderId="11" xfId="0" applyFont="1" applyFill="1" applyBorder="1" applyAlignment="1">
      <alignment horizontal="center" vertical="center"/>
    </xf>
    <xf numFmtId="0" fontId="67" fillId="25" borderId="20" xfId="0" applyFont="1" applyFill="1" applyBorder="1" applyAlignment="1">
      <alignment horizontal="center" vertical="center"/>
    </xf>
    <xf numFmtId="0" fontId="67" fillId="25" borderId="11" xfId="0" applyFont="1" applyFill="1" applyBorder="1" applyAlignment="1">
      <alignment horizontal="center" vertical="center"/>
    </xf>
    <xf numFmtId="0" fontId="59" fillId="25" borderId="11" xfId="0" applyFont="1" applyFill="1" applyBorder="1" applyAlignment="1">
      <alignment horizontal="center" vertical="center"/>
    </xf>
    <xf numFmtId="0" fontId="67" fillId="24" borderId="107" xfId="0" applyFont="1" applyFill="1" applyBorder="1" applyAlignment="1">
      <alignment horizontal="center" vertical="center"/>
    </xf>
    <xf numFmtId="0" fontId="59" fillId="24" borderId="132" xfId="0" applyFont="1" applyFill="1" applyBorder="1" applyAlignment="1">
      <alignment horizontal="center" vertical="center"/>
    </xf>
    <xf numFmtId="0" fontId="67" fillId="24"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4" borderId="20" xfId="0" applyFont="1" applyFill="1" applyBorder="1" applyAlignment="1">
      <alignment horizontal="center" vertical="center" wrapText="1"/>
    </xf>
    <xf numFmtId="0" fontId="59" fillId="24" borderId="11" xfId="0" applyFont="1" applyFill="1" applyBorder="1" applyAlignment="1">
      <alignment horizontal="center" vertical="center" wrapText="1"/>
    </xf>
    <xf numFmtId="3" fontId="67" fillId="24" borderId="13" xfId="0" applyNumberFormat="1" applyFont="1" applyFill="1" applyBorder="1" applyAlignment="1">
      <alignment horizontal="center" vertical="center"/>
    </xf>
    <xf numFmtId="0" fontId="59" fillId="24" borderId="14" xfId="0" applyFont="1" applyFill="1" applyBorder="1" applyAlignment="1">
      <alignment horizontal="center" vertical="center"/>
    </xf>
    <xf numFmtId="0" fontId="67" fillId="24" borderId="21" xfId="0" applyFont="1" applyFill="1" applyBorder="1" applyAlignment="1">
      <alignment horizontal="center" vertical="center"/>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16" borderId="10" xfId="0" applyNumberFormat="1" applyFont="1" applyFill="1" applyBorder="1" applyAlignment="1" applyProtection="1">
      <alignment horizontal="center" vertical="center" wrapText="1"/>
    </xf>
    <xf numFmtId="3" fontId="66" fillId="16" borderId="127"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7" fillId="13" borderId="13" xfId="0" applyNumberFormat="1" applyFont="1" applyFill="1" applyBorder="1" applyAlignment="1" applyProtection="1">
      <alignment horizontal="center" vertical="center"/>
    </xf>
    <xf numFmtId="0" fontId="59" fillId="13"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3"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8" xfId="0" applyFont="1" applyFill="1" applyBorder="1" applyAlignment="1" applyProtection="1">
      <alignment horizontal="left" vertical="center" indent="1"/>
    </xf>
    <xf numFmtId="0" fontId="66" fillId="17" borderId="147" xfId="0" applyFont="1" applyFill="1" applyBorder="1" applyAlignment="1" applyProtection="1">
      <alignment horizontal="left" vertical="center" indent="1"/>
    </xf>
    <xf numFmtId="0" fontId="66" fillId="3" borderId="148" xfId="0" applyFont="1" applyFill="1" applyBorder="1" applyAlignment="1" applyProtection="1">
      <alignment horizontal="left" vertical="center"/>
    </xf>
    <xf numFmtId="0" fontId="66" fillId="3" borderId="149" xfId="0"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pplyProtection="1">
      <alignment horizontal="left" vertical="center" wrapText="1" indent="1"/>
    </xf>
    <xf numFmtId="0" fontId="64" fillId="0" borderId="149"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4" borderId="147" xfId="0" applyFont="1" applyFill="1" applyBorder="1" applyAlignment="1" applyProtection="1">
      <alignment horizontal="left" vertical="center" indent="1"/>
    </xf>
    <xf numFmtId="0" fontId="67" fillId="24" borderId="148" xfId="0" applyFont="1" applyFill="1" applyBorder="1" applyAlignment="1" applyProtection="1">
      <alignment horizontal="left" vertical="center" indent="1"/>
    </xf>
    <xf numFmtId="0" fontId="67" fillId="24" borderId="149"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4" borderId="92" xfId="10" applyFont="1" applyFill="1" applyBorder="1" applyAlignment="1">
      <alignment horizontal="center" vertical="center" wrapText="1"/>
    </xf>
    <xf numFmtId="0" fontId="67" fillId="24" borderId="25" xfId="0" applyFont="1" applyFill="1" applyBorder="1" applyAlignment="1">
      <alignment horizontal="center" vertical="center" wrapText="1"/>
    </xf>
    <xf numFmtId="0" fontId="67" fillId="24" borderId="93" xfId="0" applyFont="1" applyFill="1" applyBorder="1" applyAlignment="1">
      <alignment horizontal="center" vertical="center" wrapText="1"/>
    </xf>
    <xf numFmtId="0" fontId="132" fillId="24" borderId="94" xfId="10" applyFont="1" applyFill="1" applyBorder="1" applyAlignment="1">
      <alignment horizontal="center" vertical="center"/>
    </xf>
    <xf numFmtId="0" fontId="57" fillId="24" borderId="47" xfId="0" applyFont="1" applyFill="1" applyBorder="1" applyAlignment="1">
      <alignment horizontal="center" vertical="center"/>
    </xf>
    <xf numFmtId="0" fontId="57" fillId="24"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4" borderId="141" xfId="17" applyFont="1" applyFill="1" applyBorder="1" applyAlignment="1">
      <alignment horizontal="center" vertical="center"/>
    </xf>
    <xf numFmtId="0" fontId="128" fillId="24" borderId="142" xfId="17" applyFont="1" applyFill="1" applyBorder="1" applyAlignment="1">
      <alignment horizontal="center" vertical="center"/>
    </xf>
    <xf numFmtId="0" fontId="128" fillId="24" borderId="143" xfId="17" applyFont="1" applyFill="1" applyBorder="1" applyAlignment="1">
      <alignment horizontal="center" vertical="center"/>
    </xf>
    <xf numFmtId="0" fontId="128" fillId="24" borderId="98" xfId="17" applyFont="1" applyFill="1" applyBorder="1" applyAlignment="1">
      <alignment horizontal="center" vertical="center"/>
    </xf>
    <xf numFmtId="0" fontId="128" fillId="24" borderId="78" xfId="17" applyFont="1" applyFill="1" applyBorder="1" applyAlignment="1">
      <alignment horizontal="center" vertical="center"/>
    </xf>
    <xf numFmtId="0" fontId="128" fillId="24"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4" borderId="0" xfId="18" applyFont="1" applyFill="1" applyAlignment="1">
      <alignment horizontal="center" vertical="center"/>
    </xf>
    <xf numFmtId="0" fontId="75" fillId="0" borderId="13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Font="1" applyBorder="1" applyAlignment="1" applyProtection="1">
      <alignment horizontal="center" vertical="top" wrapText="1"/>
      <protection locked="0"/>
    </xf>
    <xf numFmtId="0" fontId="6" fillId="0" borderId="143"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4" borderId="17" xfId="3" applyNumberFormat="1" applyFont="1" applyFill="1" applyBorder="1" applyAlignment="1">
      <alignment horizontal="left" vertical="top" wrapText="1"/>
    </xf>
    <xf numFmtId="0" fontId="57" fillId="24" borderId="0" xfId="3" applyFont="1" applyFill="1" applyBorder="1" applyAlignment="1">
      <alignment vertical="top"/>
    </xf>
    <xf numFmtId="0" fontId="57" fillId="24"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4" xfId="3" applyFont="1" applyBorder="1" applyAlignment="1">
      <alignment horizontal="center" vertical="center" wrapText="1"/>
    </xf>
    <xf numFmtId="0" fontId="75" fillId="0" borderId="134" xfId="3" applyNumberFormat="1" applyFont="1" applyBorder="1" applyAlignment="1">
      <alignment horizontal="center"/>
    </xf>
    <xf numFmtId="0" fontId="59" fillId="0" borderId="135" xfId="3" applyNumberFormat="1"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NumberFormat="1" applyFont="1" applyBorder="1" applyAlignment="1" applyProtection="1">
      <alignment horizontal="center" vertical="center"/>
      <protection locked="0"/>
    </xf>
    <xf numFmtId="0" fontId="59" fillId="0" borderId="0" xfId="0" applyFont="1" applyAlignment="1">
      <alignment horizontal="left" vertical="top" wrapText="1"/>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13"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NumberFormat="1"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7" xfId="3" applyNumberFormat="1" applyFont="1" applyBorder="1" applyProtection="1"/>
    <xf numFmtId="0" fontId="57" fillId="0" borderId="14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8" xfId="3" applyNumberFormat="1"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50" xfId="3" applyNumberFormat="1" applyFont="1" applyBorder="1" applyAlignment="1" applyProtection="1">
      <protection locked="0"/>
    </xf>
    <xf numFmtId="0" fontId="67" fillId="0" borderId="151"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7" fillId="0" borderId="0" xfId="3" applyNumberFormat="1" applyFont="1" applyAlignment="1">
      <alignment horizont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pplyProtection="1">
      <alignment horizontal="center"/>
    </xf>
    <xf numFmtId="0" fontId="64" fillId="0" borderId="76" xfId="3" applyFont="1" applyBorder="1" applyAlignment="1" applyProtection="1">
      <alignment horizontal="center"/>
    </xf>
    <xf numFmtId="0" fontId="64" fillId="0" borderId="151" xfId="3" applyFont="1" applyBorder="1" applyAlignment="1" applyProtection="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5"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386">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38 2" xfId="2879"/>
    <cellStyle name="12 4" xfId="32"/>
    <cellStyle name="12 5" xfId="33"/>
    <cellStyle name="12 6" xfId="34"/>
    <cellStyle name="12 7" xfId="35"/>
    <cellStyle name="12 8" xfId="36"/>
    <cellStyle name="12 9" xfId="39"/>
    <cellStyle name="12 9 2" xfId="280"/>
    <cellStyle name="12 9 2 2" xfId="2880"/>
    <cellStyle name="12 9 3" xfId="279"/>
    <cellStyle name="12 9 4" xfId="2868"/>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2 2 2" xfId="3155"/>
    <cellStyle name="Calculation 10 3" xfId="1596"/>
    <cellStyle name="Calculation 10 3 2" xfId="2599"/>
    <cellStyle name="Calculation 10 3 2 2" xfId="3154"/>
    <cellStyle name="Calculation 10 4" xfId="1597"/>
    <cellStyle name="Calculation 10 4 2" xfId="2600"/>
    <cellStyle name="Calculation 10 4 2 2" xfId="3153"/>
    <cellStyle name="Calculation 10 5" xfId="1598"/>
    <cellStyle name="Calculation 10 5 2" xfId="2601"/>
    <cellStyle name="Calculation 10 5 2 2" xfId="3152"/>
    <cellStyle name="Calculation 10 6" xfId="1599"/>
    <cellStyle name="Calculation 10 6 2" xfId="2602"/>
    <cellStyle name="Calculation 10 6 2 2" xfId="3151"/>
    <cellStyle name="Calculation 11 2" xfId="1600"/>
    <cellStyle name="Calculation 11 2 2" xfId="2603"/>
    <cellStyle name="Calculation 11 2 2 2" xfId="3150"/>
    <cellStyle name="Calculation 11 3" xfId="1601"/>
    <cellStyle name="Calculation 11 3 2" xfId="2604"/>
    <cellStyle name="Calculation 11 3 2 2" xfId="3149"/>
    <cellStyle name="Calculation 11 4" xfId="1602"/>
    <cellStyle name="Calculation 11 4 2" xfId="2605"/>
    <cellStyle name="Calculation 11 4 2 2" xfId="3148"/>
    <cellStyle name="Calculation 11 5" xfId="1603"/>
    <cellStyle name="Calculation 11 5 2" xfId="2606"/>
    <cellStyle name="Calculation 11 5 2 2" xfId="3147"/>
    <cellStyle name="Calculation 11 6" xfId="1604"/>
    <cellStyle name="Calculation 11 6 2" xfId="2607"/>
    <cellStyle name="Calculation 11 6 2 2" xfId="3146"/>
    <cellStyle name="Calculation 2" xfId="109"/>
    <cellStyle name="Calculation 2 2" xfId="1605"/>
    <cellStyle name="Calculation 2 2 2" xfId="2608"/>
    <cellStyle name="Calculation 2 2 2 2" xfId="3145"/>
    <cellStyle name="Calculation 2 3" xfId="1606"/>
    <cellStyle name="Calculation 2 3 2" xfId="2609"/>
    <cellStyle name="Calculation 2 3 2 2" xfId="3144"/>
    <cellStyle name="Calculation 2 4" xfId="1607"/>
    <cellStyle name="Calculation 2 4 2" xfId="2610"/>
    <cellStyle name="Calculation 2 4 2 2" xfId="3143"/>
    <cellStyle name="Calculation 2 5" xfId="1608"/>
    <cellStyle name="Calculation 2 5 2" xfId="2611"/>
    <cellStyle name="Calculation 2 5 2 2" xfId="3142"/>
    <cellStyle name="Calculation 2 6" xfId="1609"/>
    <cellStyle name="Calculation 2 6 2" xfId="2612"/>
    <cellStyle name="Calculation 2 6 2 2" xfId="3141"/>
    <cellStyle name="Calculation 2 7" xfId="2549"/>
    <cellStyle name="Calculation 2 7 2" xfId="3204"/>
    <cellStyle name="Calculation 3" xfId="110"/>
    <cellStyle name="Calculation 3 2" xfId="1611"/>
    <cellStyle name="Calculation 3 2 2" xfId="2614"/>
    <cellStyle name="Calculation 3 2 2 2" xfId="3139"/>
    <cellStyle name="Calculation 3 3" xfId="1612"/>
    <cellStyle name="Calculation 3 3 2" xfId="2615"/>
    <cellStyle name="Calculation 3 3 2 2" xfId="3138"/>
    <cellStyle name="Calculation 3 4" xfId="1613"/>
    <cellStyle name="Calculation 3 4 2" xfId="2616"/>
    <cellStyle name="Calculation 3 4 2 2" xfId="3137"/>
    <cellStyle name="Calculation 3 5" xfId="1614"/>
    <cellStyle name="Calculation 3 5 2" xfId="2617"/>
    <cellStyle name="Calculation 3 5 2 2" xfId="3136"/>
    <cellStyle name="Calculation 3 6" xfId="1615"/>
    <cellStyle name="Calculation 3 6 2" xfId="2618"/>
    <cellStyle name="Calculation 3 6 2 2" xfId="3135"/>
    <cellStyle name="Calculation 3 7" xfId="1616"/>
    <cellStyle name="Calculation 3 7 2" xfId="2619"/>
    <cellStyle name="Calculation 3 7 2 2" xfId="3134"/>
    <cellStyle name="Calculation 3 8" xfId="1610"/>
    <cellStyle name="Calculation 3 8 2" xfId="2613"/>
    <cellStyle name="Calculation 3 8 2 2" xfId="3140"/>
    <cellStyle name="Calculation 3 9" xfId="2550"/>
    <cellStyle name="Calculation 3 9 2" xfId="3203"/>
    <cellStyle name="Calculation 4" xfId="111"/>
    <cellStyle name="Calculation 4 2" xfId="1618"/>
    <cellStyle name="Calculation 4 2 2" xfId="2621"/>
    <cellStyle name="Calculation 4 2 2 2" xfId="3132"/>
    <cellStyle name="Calculation 4 3" xfId="1619"/>
    <cellStyle name="Calculation 4 3 2" xfId="2622"/>
    <cellStyle name="Calculation 4 3 2 2" xfId="3131"/>
    <cellStyle name="Calculation 4 4" xfId="1620"/>
    <cellStyle name="Calculation 4 4 2" xfId="2623"/>
    <cellStyle name="Calculation 4 4 2 2" xfId="3130"/>
    <cellStyle name="Calculation 4 5" xfId="1621"/>
    <cellStyle name="Calculation 4 5 2" xfId="2624"/>
    <cellStyle name="Calculation 4 5 2 2" xfId="3129"/>
    <cellStyle name="Calculation 4 6" xfId="1622"/>
    <cellStyle name="Calculation 4 6 2" xfId="2625"/>
    <cellStyle name="Calculation 4 6 2 2" xfId="3128"/>
    <cellStyle name="Calculation 4 7" xfId="1623"/>
    <cellStyle name="Calculation 4 7 2" xfId="2626"/>
    <cellStyle name="Calculation 4 7 2 2" xfId="3127"/>
    <cellStyle name="Calculation 4 8" xfId="1617"/>
    <cellStyle name="Calculation 4 8 2" xfId="2620"/>
    <cellStyle name="Calculation 4 8 2 2" xfId="3133"/>
    <cellStyle name="Calculation 4 9" xfId="2551"/>
    <cellStyle name="Calculation 4 9 2" xfId="3202"/>
    <cellStyle name="Calculation 5" xfId="112"/>
    <cellStyle name="Calculation 5 2" xfId="1624"/>
    <cellStyle name="Calculation 5 2 2" xfId="2627"/>
    <cellStyle name="Calculation 5 2 2 2" xfId="3126"/>
    <cellStyle name="Calculation 5 3" xfId="1625"/>
    <cellStyle name="Calculation 5 3 2" xfId="2628"/>
    <cellStyle name="Calculation 5 3 2 2" xfId="3125"/>
    <cellStyle name="Calculation 5 4" xfId="1626"/>
    <cellStyle name="Calculation 5 4 2" xfId="2629"/>
    <cellStyle name="Calculation 5 4 2 2" xfId="3124"/>
    <cellStyle name="Calculation 5 5" xfId="1627"/>
    <cellStyle name="Calculation 5 5 2" xfId="2630"/>
    <cellStyle name="Calculation 5 5 2 2" xfId="3123"/>
    <cellStyle name="Calculation 5 6" xfId="1628"/>
    <cellStyle name="Calculation 5 6 2" xfId="2631"/>
    <cellStyle name="Calculation 5 6 2 2" xfId="3122"/>
    <cellStyle name="Calculation 5 7" xfId="2552"/>
    <cellStyle name="Calculation 5 7 2" xfId="3201"/>
    <cellStyle name="Calculation 6" xfId="113"/>
    <cellStyle name="Calculation 6 2" xfId="1629"/>
    <cellStyle name="Calculation 6 2 2" xfId="2632"/>
    <cellStyle name="Calculation 6 2 2 2" xfId="3121"/>
    <cellStyle name="Calculation 6 3" xfId="1630"/>
    <cellStyle name="Calculation 6 3 2" xfId="2633"/>
    <cellStyle name="Calculation 6 3 2 2" xfId="3120"/>
    <cellStyle name="Calculation 6 4" xfId="1631"/>
    <cellStyle name="Calculation 6 4 2" xfId="2634"/>
    <cellStyle name="Calculation 6 4 2 2" xfId="3119"/>
    <cellStyle name="Calculation 6 5" xfId="1632"/>
    <cellStyle name="Calculation 6 5 2" xfId="2635"/>
    <cellStyle name="Calculation 6 5 2 2" xfId="3118"/>
    <cellStyle name="Calculation 6 6" xfId="1633"/>
    <cellStyle name="Calculation 6 6 2" xfId="2636"/>
    <cellStyle name="Calculation 6 6 2 2" xfId="3117"/>
    <cellStyle name="Calculation 6 7" xfId="2553"/>
    <cellStyle name="Calculation 6 7 2" xfId="3200"/>
    <cellStyle name="Calculation 7" xfId="114"/>
    <cellStyle name="Calculation 7 2" xfId="1634"/>
    <cellStyle name="Calculation 7 2 2" xfId="2637"/>
    <cellStyle name="Calculation 7 2 2 2" xfId="3116"/>
    <cellStyle name="Calculation 7 3" xfId="1635"/>
    <cellStyle name="Calculation 7 3 2" xfId="2638"/>
    <cellStyle name="Calculation 7 3 2 2" xfId="3115"/>
    <cellStyle name="Calculation 7 4" xfId="1636"/>
    <cellStyle name="Calculation 7 4 2" xfId="2639"/>
    <cellStyle name="Calculation 7 4 2 2" xfId="3114"/>
    <cellStyle name="Calculation 7 5" xfId="1637"/>
    <cellStyle name="Calculation 7 5 2" xfId="2640"/>
    <cellStyle name="Calculation 7 5 2 2" xfId="3113"/>
    <cellStyle name="Calculation 7 6" xfId="1638"/>
    <cellStyle name="Calculation 7 6 2" xfId="2641"/>
    <cellStyle name="Calculation 7 6 2 2" xfId="3112"/>
    <cellStyle name="Calculation 7 7" xfId="2554"/>
    <cellStyle name="Calculation 7 7 2" xfId="3199"/>
    <cellStyle name="Calculation 8 2" xfId="1639"/>
    <cellStyle name="Calculation 8 2 2" xfId="2642"/>
    <cellStyle name="Calculation 8 2 2 2" xfId="3111"/>
    <cellStyle name="Calculation 8 3" xfId="1640"/>
    <cellStyle name="Calculation 8 3 2" xfId="2643"/>
    <cellStyle name="Calculation 8 3 2 2" xfId="3110"/>
    <cellStyle name="Calculation 8 4" xfId="1641"/>
    <cellStyle name="Calculation 8 4 2" xfId="2644"/>
    <cellStyle name="Calculation 8 4 2 2" xfId="3109"/>
    <cellStyle name="Calculation 8 5" xfId="1642"/>
    <cellStyle name="Calculation 8 5 2" xfId="2645"/>
    <cellStyle name="Calculation 8 5 2 2" xfId="3108"/>
    <cellStyle name="Calculation 8 6" xfId="1643"/>
    <cellStyle name="Calculation 8 6 2" xfId="2646"/>
    <cellStyle name="Calculation 8 6 2 2" xfId="3107"/>
    <cellStyle name="Calculation 9 2" xfId="1644"/>
    <cellStyle name="Calculation 9 2 2" xfId="2647"/>
    <cellStyle name="Calculation 9 2 2 2" xfId="3106"/>
    <cellStyle name="Calculation 9 3" xfId="1645"/>
    <cellStyle name="Calculation 9 3 2" xfId="2648"/>
    <cellStyle name="Calculation 9 3 2 2" xfId="3105"/>
    <cellStyle name="Calculation 9 4" xfId="1646"/>
    <cellStyle name="Calculation 9 4 2" xfId="2649"/>
    <cellStyle name="Calculation 9 4 2 2" xfId="3104"/>
    <cellStyle name="Calculation 9 5" xfId="1647"/>
    <cellStyle name="Calculation 9 5 2" xfId="2650"/>
    <cellStyle name="Calculation 9 5 2 2" xfId="3103"/>
    <cellStyle name="Calculation 9 6" xfId="1648"/>
    <cellStyle name="Calculation 9 6 2" xfId="2651"/>
    <cellStyle name="Calculation 9 6 2 2" xfId="3102"/>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 4 3" xfId="2869"/>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3 3" xfId="2871"/>
    <cellStyle name="Comma 3 4" xfId="1721"/>
    <cellStyle name="Comma 3 4 2" xfId="2845"/>
    <cellStyle name="Comma 3 4 2 2" xfId="2903"/>
    <cellStyle name="Comma 3 4 2 3" xfId="3347"/>
    <cellStyle name="Comma 3 4 3" xfId="2881"/>
    <cellStyle name="Comma 3 4 4" xfId="3323"/>
    <cellStyle name="Comma 3 5" xfId="2526"/>
    <cellStyle name="Comma 3 5 2" xfId="2849"/>
    <cellStyle name="Comma 3 5 2 2" xfId="2907"/>
    <cellStyle name="Comma 3 5 2 3" xfId="3351"/>
    <cellStyle name="Comma 3 5 3" xfId="2890"/>
    <cellStyle name="Comma 3 5 4" xfId="3333"/>
    <cellStyle name="Comma 3 6" xfId="2535"/>
    <cellStyle name="Comma 3 6 2" xfId="2853"/>
    <cellStyle name="Comma 3 6 2 2" xfId="2911"/>
    <cellStyle name="Comma 3 6 2 3" xfId="3355"/>
    <cellStyle name="Comma 3 6 3" xfId="2894"/>
    <cellStyle name="Comma 3 6 4" xfId="3337"/>
    <cellStyle name="Comma 3 7" xfId="2843"/>
    <cellStyle name="Comma 3 7 2" xfId="2901"/>
    <cellStyle name="Comma 3 7 3" xfId="3345"/>
    <cellStyle name="Comma 3 8" xfId="2870"/>
    <cellStyle name="Comma 3 9" xfId="2938"/>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 2" xfId="2914"/>
    <cellStyle name="Comma 5 3" xfId="3358"/>
    <cellStyle name="Comma 58 2" xfId="1728"/>
    <cellStyle name="Comma 6" xfId="3379"/>
    <cellStyle name="Comma0" xfId="132"/>
    <cellStyle name="Comma0 2" xfId="2528"/>
    <cellStyle name="Comma0 3" xfId="2872"/>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2 2" xfId="2882"/>
    <cellStyle name="Currency 2 3 3" xfId="1733"/>
    <cellStyle name="Currency 2 3 4" xfId="2873"/>
    <cellStyle name="Currency 2 4" xfId="1735"/>
    <cellStyle name="Currency 2 4 2" xfId="2883"/>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Currency0 3" xfId="2874"/>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2 3 2" xfId="2884"/>
    <cellStyle name="Hyperlink 2 2 4" xfId="2875"/>
    <cellStyle name="Hyperlink 2 3" xfId="2078"/>
    <cellStyle name="Hyperlink 2 4" xfId="2079"/>
    <cellStyle name="Hyperlink 2 4 2" xfId="2885"/>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2 2 2" xfId="3101"/>
    <cellStyle name="Input 10 3" xfId="2083"/>
    <cellStyle name="Input 10 3 2" xfId="2653"/>
    <cellStyle name="Input 10 3 2 2" xfId="3100"/>
    <cellStyle name="Input 10 4" xfId="2084"/>
    <cellStyle name="Input 10 4 2" xfId="2654"/>
    <cellStyle name="Input 10 4 2 2" xfId="3099"/>
    <cellStyle name="Input 10 5" xfId="2085"/>
    <cellStyle name="Input 10 5 2" xfId="2655"/>
    <cellStyle name="Input 10 5 2 2" xfId="3098"/>
    <cellStyle name="Input 10 6" xfId="2086"/>
    <cellStyle name="Input 10 6 2" xfId="2656"/>
    <cellStyle name="Input 10 6 2 2" xfId="3097"/>
    <cellStyle name="Input 11 2" xfId="2087"/>
    <cellStyle name="Input 11 2 2" xfId="2657"/>
    <cellStyle name="Input 11 2 2 2" xfId="3096"/>
    <cellStyle name="Input 11 3" xfId="2088"/>
    <cellStyle name="Input 11 3 2" xfId="2658"/>
    <cellStyle name="Input 11 3 2 2" xfId="3095"/>
    <cellStyle name="Input 11 4" xfId="2089"/>
    <cellStyle name="Input 11 4 2" xfId="2659"/>
    <cellStyle name="Input 11 4 2 2" xfId="3094"/>
    <cellStyle name="Input 11 5" xfId="2090"/>
    <cellStyle name="Input 11 5 2" xfId="2660"/>
    <cellStyle name="Input 11 5 2 2" xfId="3093"/>
    <cellStyle name="Input 11 6" xfId="2091"/>
    <cellStyle name="Input 11 6 2" xfId="2661"/>
    <cellStyle name="Input 11 6 2 2" xfId="3092"/>
    <cellStyle name="Input 2" xfId="191"/>
    <cellStyle name="Input 2 2" xfId="2092"/>
    <cellStyle name="Input 2 2 2" xfId="2662"/>
    <cellStyle name="Input 2 2 2 2" xfId="3091"/>
    <cellStyle name="Input 2 3" xfId="2093"/>
    <cellStyle name="Input 2 3 2" xfId="2663"/>
    <cellStyle name="Input 2 3 2 2" xfId="3090"/>
    <cellStyle name="Input 2 4" xfId="2094"/>
    <cellStyle name="Input 2 4 2" xfId="2664"/>
    <cellStyle name="Input 2 4 2 2" xfId="3089"/>
    <cellStyle name="Input 2 5" xfId="2095"/>
    <cellStyle name="Input 2 5 2" xfId="2665"/>
    <cellStyle name="Input 2 5 2 2" xfId="3088"/>
    <cellStyle name="Input 2 6" xfId="2096"/>
    <cellStyle name="Input 2 6 2" xfId="2666"/>
    <cellStyle name="Input 2 6 2 2" xfId="3087"/>
    <cellStyle name="Input 2 7" xfId="2555"/>
    <cellStyle name="Input 2 7 2" xfId="3198"/>
    <cellStyle name="Input 3" xfId="192"/>
    <cellStyle name="Input 3 2" xfId="2098"/>
    <cellStyle name="Input 3 2 2" xfId="2668"/>
    <cellStyle name="Input 3 2 2 2" xfId="3085"/>
    <cellStyle name="Input 3 3" xfId="2099"/>
    <cellStyle name="Input 3 3 2" xfId="2669"/>
    <cellStyle name="Input 3 3 2 2" xfId="3084"/>
    <cellStyle name="Input 3 4" xfId="2100"/>
    <cellStyle name="Input 3 4 2" xfId="2670"/>
    <cellStyle name="Input 3 4 2 2" xfId="3083"/>
    <cellStyle name="Input 3 5" xfId="2101"/>
    <cellStyle name="Input 3 5 2" xfId="2671"/>
    <cellStyle name="Input 3 5 2 2" xfId="3082"/>
    <cellStyle name="Input 3 6" xfId="2102"/>
    <cellStyle name="Input 3 6 2" xfId="2672"/>
    <cellStyle name="Input 3 6 2 2" xfId="3081"/>
    <cellStyle name="Input 3 7" xfId="2103"/>
    <cellStyle name="Input 3 7 2" xfId="2673"/>
    <cellStyle name="Input 3 7 2 2" xfId="3080"/>
    <cellStyle name="Input 3 8" xfId="2097"/>
    <cellStyle name="Input 3 8 2" xfId="2667"/>
    <cellStyle name="Input 3 8 2 2" xfId="3086"/>
    <cellStyle name="Input 3 9" xfId="2556"/>
    <cellStyle name="Input 3 9 2" xfId="3197"/>
    <cellStyle name="Input 4" xfId="193"/>
    <cellStyle name="Input 4 2" xfId="2105"/>
    <cellStyle name="Input 4 2 2" xfId="2675"/>
    <cellStyle name="Input 4 2 2 2" xfId="3078"/>
    <cellStyle name="Input 4 3" xfId="2106"/>
    <cellStyle name="Input 4 3 2" xfId="2676"/>
    <cellStyle name="Input 4 3 2 2" xfId="3077"/>
    <cellStyle name="Input 4 4" xfId="2107"/>
    <cellStyle name="Input 4 4 2" xfId="2677"/>
    <cellStyle name="Input 4 4 2 2" xfId="3076"/>
    <cellStyle name="Input 4 5" xfId="2108"/>
    <cellStyle name="Input 4 5 2" xfId="2678"/>
    <cellStyle name="Input 4 5 2 2" xfId="3075"/>
    <cellStyle name="Input 4 6" xfId="2109"/>
    <cellStyle name="Input 4 6 2" xfId="2679"/>
    <cellStyle name="Input 4 6 2 2" xfId="3074"/>
    <cellStyle name="Input 4 7" xfId="2110"/>
    <cellStyle name="Input 4 7 2" xfId="2680"/>
    <cellStyle name="Input 4 7 2 2" xfId="3073"/>
    <cellStyle name="Input 4 8" xfId="2104"/>
    <cellStyle name="Input 4 8 2" xfId="2674"/>
    <cellStyle name="Input 4 8 2 2" xfId="3079"/>
    <cellStyle name="Input 4 9" xfId="2557"/>
    <cellStyle name="Input 4 9 2" xfId="3196"/>
    <cellStyle name="Input 5" xfId="194"/>
    <cellStyle name="Input 5 2" xfId="2111"/>
    <cellStyle name="Input 5 2 2" xfId="2681"/>
    <cellStyle name="Input 5 2 2 2" xfId="3072"/>
    <cellStyle name="Input 5 3" xfId="2112"/>
    <cellStyle name="Input 5 3 2" xfId="2682"/>
    <cellStyle name="Input 5 3 2 2" xfId="3071"/>
    <cellStyle name="Input 5 4" xfId="2113"/>
    <cellStyle name="Input 5 4 2" xfId="2683"/>
    <cellStyle name="Input 5 4 2 2" xfId="3070"/>
    <cellStyle name="Input 5 5" xfId="2114"/>
    <cellStyle name="Input 5 5 2" xfId="2684"/>
    <cellStyle name="Input 5 5 2 2" xfId="3069"/>
    <cellStyle name="Input 5 6" xfId="2115"/>
    <cellStyle name="Input 5 6 2" xfId="2685"/>
    <cellStyle name="Input 5 6 2 2" xfId="3068"/>
    <cellStyle name="Input 5 7" xfId="2558"/>
    <cellStyle name="Input 5 7 2" xfId="3195"/>
    <cellStyle name="Input 6" xfId="195"/>
    <cellStyle name="Input 6 2" xfId="2116"/>
    <cellStyle name="Input 6 2 2" xfId="2686"/>
    <cellStyle name="Input 6 2 2 2" xfId="3067"/>
    <cellStyle name="Input 6 3" xfId="2117"/>
    <cellStyle name="Input 6 3 2" xfId="2687"/>
    <cellStyle name="Input 6 3 2 2" xfId="3066"/>
    <cellStyle name="Input 6 4" xfId="2118"/>
    <cellStyle name="Input 6 4 2" xfId="2688"/>
    <cellStyle name="Input 6 4 2 2" xfId="3065"/>
    <cellStyle name="Input 6 5" xfId="2119"/>
    <cellStyle name="Input 6 5 2" xfId="2689"/>
    <cellStyle name="Input 6 5 2 2" xfId="3064"/>
    <cellStyle name="Input 6 6" xfId="2120"/>
    <cellStyle name="Input 6 6 2" xfId="2690"/>
    <cellStyle name="Input 6 6 2 2" xfId="3063"/>
    <cellStyle name="Input 6 7" xfId="2559"/>
    <cellStyle name="Input 6 7 2" xfId="3194"/>
    <cellStyle name="Input 7" xfId="196"/>
    <cellStyle name="Input 7 2" xfId="2121"/>
    <cellStyle name="Input 7 2 2" xfId="2691"/>
    <cellStyle name="Input 7 2 2 2" xfId="3062"/>
    <cellStyle name="Input 7 3" xfId="2122"/>
    <cellStyle name="Input 7 3 2" xfId="2692"/>
    <cellStyle name="Input 7 3 2 2" xfId="3061"/>
    <cellStyle name="Input 7 4" xfId="2123"/>
    <cellStyle name="Input 7 4 2" xfId="2693"/>
    <cellStyle name="Input 7 4 2 2" xfId="3060"/>
    <cellStyle name="Input 7 5" xfId="2124"/>
    <cellStyle name="Input 7 5 2" xfId="2694"/>
    <cellStyle name="Input 7 5 2 2" xfId="3059"/>
    <cellStyle name="Input 7 6" xfId="2125"/>
    <cellStyle name="Input 7 6 2" xfId="2695"/>
    <cellStyle name="Input 7 6 2 2" xfId="3058"/>
    <cellStyle name="Input 7 7" xfId="2560"/>
    <cellStyle name="Input 7 7 2" xfId="3193"/>
    <cellStyle name="Input 8 2" xfId="2126"/>
    <cellStyle name="Input 8 2 2" xfId="2696"/>
    <cellStyle name="Input 8 2 2 2" xfId="3057"/>
    <cellStyle name="Input 8 3" xfId="2127"/>
    <cellStyle name="Input 8 3 2" xfId="2697"/>
    <cellStyle name="Input 8 3 2 2" xfId="3056"/>
    <cellStyle name="Input 8 4" xfId="2128"/>
    <cellStyle name="Input 8 4 2" xfId="2698"/>
    <cellStyle name="Input 8 4 2 2" xfId="3055"/>
    <cellStyle name="Input 8 5" xfId="2129"/>
    <cellStyle name="Input 8 5 2" xfId="2699"/>
    <cellStyle name="Input 8 5 2 2" xfId="3054"/>
    <cellStyle name="Input 8 6" xfId="2130"/>
    <cellStyle name="Input 8 6 2" xfId="2700"/>
    <cellStyle name="Input 8 6 2 2" xfId="3053"/>
    <cellStyle name="Input 9 2" xfId="2131"/>
    <cellStyle name="Input 9 2 2" xfId="2701"/>
    <cellStyle name="Input 9 2 2 2" xfId="3052"/>
    <cellStyle name="Input 9 3" xfId="2132"/>
    <cellStyle name="Input 9 3 2" xfId="2702"/>
    <cellStyle name="Input 9 3 2 2" xfId="3051"/>
    <cellStyle name="Input 9 4" xfId="2133"/>
    <cellStyle name="Input 9 4 2" xfId="2703"/>
    <cellStyle name="Input 9 4 2 2" xfId="3050"/>
    <cellStyle name="Input 9 5" xfId="2134"/>
    <cellStyle name="Input 9 5 2" xfId="2704"/>
    <cellStyle name="Input 9 5 2 2" xfId="3049"/>
    <cellStyle name="Input 9 6" xfId="2135"/>
    <cellStyle name="Input 9 6 2" xfId="2705"/>
    <cellStyle name="Input 9 6 2 2" xfId="3048"/>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2 2" xfId="2886"/>
    <cellStyle name="Normal 2 2 3" xfId="2246"/>
    <cellStyle name="Normal 2 2 4" xfId="2876"/>
    <cellStyle name="Normal 2 3" xfId="2248"/>
    <cellStyle name="Normal 2 4" xfId="2249"/>
    <cellStyle name="Normal 2 5" xfId="2250"/>
    <cellStyle name="Normal 2 6" xfId="2251"/>
    <cellStyle name="Normal 3" xfId="4"/>
    <cellStyle name="Normal 3 10" xfId="2838"/>
    <cellStyle name="Normal 3 10 2" xfId="2896"/>
    <cellStyle name="Normal 3 10 3" xfId="3340"/>
    <cellStyle name="Normal 3 11" xfId="2858"/>
    <cellStyle name="Normal 3 11 2" xfId="2915"/>
    <cellStyle name="Normal 3 11 3" xfId="3359"/>
    <cellStyle name="Normal 3 12" xfId="19"/>
    <cellStyle name="Normal 3 13" xfId="2860"/>
    <cellStyle name="Normal 3 14" xfId="2916"/>
    <cellStyle name="Normal 3 15" xfId="3380"/>
    <cellStyle name="Normal 3 16" xfId="3381"/>
    <cellStyle name="Normal 3 2" xfId="14"/>
    <cellStyle name="Normal 3 2 10" xfId="3382"/>
    <cellStyle name="Normal 3 2 2" xfId="18"/>
    <cellStyle name="Normal 3 2 2 2" xfId="211"/>
    <cellStyle name="Normal 3 2 2 3" xfId="3385"/>
    <cellStyle name="Normal 3 2 3" xfId="2524"/>
    <cellStyle name="Normal 3 2 3 2" xfId="2848"/>
    <cellStyle name="Normal 3 2 3 2 2" xfId="2906"/>
    <cellStyle name="Normal 3 2 3 2 3" xfId="3350"/>
    <cellStyle name="Normal 3 2 3 3" xfId="2889"/>
    <cellStyle name="Normal 3 2 3 4" xfId="3332"/>
    <cellStyle name="Normal 3 2 4" xfId="30"/>
    <cellStyle name="Normal 3 2 4 2" xfId="2842"/>
    <cellStyle name="Normal 3 2 4 2 2" xfId="2900"/>
    <cellStyle name="Normal 3 2 4 2 3" xfId="3344"/>
    <cellStyle name="Normal 3 2 4 3" xfId="2867"/>
    <cellStyle name="Normal 3 2 4 4" xfId="2927"/>
    <cellStyle name="Normal 3 2 5" xfId="23"/>
    <cellStyle name="Normal 3 2 5 2" xfId="2864"/>
    <cellStyle name="Normal 3 2 5 3" xfId="2920"/>
    <cellStyle name="Normal 3 2 6" xfId="2839"/>
    <cellStyle name="Normal 3 2 6 2" xfId="2897"/>
    <cellStyle name="Normal 3 2 6 3" xfId="3341"/>
    <cellStyle name="Normal 3 2 7" xfId="20"/>
    <cellStyle name="Normal 3 2 8" xfId="2861"/>
    <cellStyle name="Normal 3 2 9" xfId="2917"/>
    <cellStyle name="Normal 3 3" xfId="212"/>
    <cellStyle name="Normal 3 3 2" xfId="213"/>
    <cellStyle name="Normal 3 3 2 2" xfId="2525"/>
    <cellStyle name="Normal 3 3 2 3" xfId="2877"/>
    <cellStyle name="Normal 3 3 3" xfId="2252"/>
    <cellStyle name="Normal 3 4" xfId="2253"/>
    <cellStyle name="Normal 3 4 2" xfId="2846"/>
    <cellStyle name="Normal 3 4 2 2" xfId="2904"/>
    <cellStyle name="Normal 3 4 2 3" xfId="3348"/>
    <cellStyle name="Normal 3 4 3" xfId="2887"/>
    <cellStyle name="Normal 3 4 4" xfId="3324"/>
    <cellStyle name="Normal 3 5" xfId="2531"/>
    <cellStyle name="Normal 3 5 2" xfId="2850"/>
    <cellStyle name="Normal 3 5 2 2" xfId="2908"/>
    <cellStyle name="Normal 3 5 2 3" xfId="3352"/>
    <cellStyle name="Normal 3 5 3" xfId="2891"/>
    <cellStyle name="Normal 3 5 4" xfId="3334"/>
    <cellStyle name="Normal 3 6" xfId="2534"/>
    <cellStyle name="Normal 3 6 2" xfId="2852"/>
    <cellStyle name="Normal 3 6 2 2" xfId="2910"/>
    <cellStyle name="Normal 3 6 2 3" xfId="3354"/>
    <cellStyle name="Normal 3 6 3" xfId="2893"/>
    <cellStyle name="Normal 3 6 4" xfId="3336"/>
    <cellStyle name="Normal 3 7" xfId="25"/>
    <cellStyle name="Normal 3 7 2" xfId="2841"/>
    <cellStyle name="Normal 3 7 2 2" xfId="2899"/>
    <cellStyle name="Normal 3 7 2 3" xfId="3343"/>
    <cellStyle name="Normal 3 7 3" xfId="2866"/>
    <cellStyle name="Normal 3 7 4" xfId="2922"/>
    <cellStyle name="Normal 3 8" xfId="24"/>
    <cellStyle name="Normal 3 8 2" xfId="2840"/>
    <cellStyle name="Normal 3 8 2 2" xfId="2898"/>
    <cellStyle name="Normal 3 8 2 3" xfId="3342"/>
    <cellStyle name="Normal 3 8 3" xfId="2865"/>
    <cellStyle name="Normal 3 8 4" xfId="2921"/>
    <cellStyle name="Normal 3 9" xfId="22"/>
    <cellStyle name="Normal 3 9 2" xfId="2863"/>
    <cellStyle name="Normal 3 9 3" xfId="2919"/>
    <cellStyle name="Normal 4" xfId="16"/>
    <cellStyle name="Normal 4 10" xfId="2918"/>
    <cellStyle name="Normal 4 11" xfId="3383"/>
    <cellStyle name="Normal 4 2" xfId="2254"/>
    <cellStyle name="Normal 4 2 2" xfId="2847"/>
    <cellStyle name="Normal 4 2 2 2" xfId="2905"/>
    <cellStyle name="Normal 4 2 2 3" xfId="3349"/>
    <cellStyle name="Normal 4 2 3" xfId="2888"/>
    <cellStyle name="Normal 4 2 4" xfId="3325"/>
    <cellStyle name="Normal 4 3" xfId="2532"/>
    <cellStyle name="Normal 4 3 2" xfId="2851"/>
    <cellStyle name="Normal 4 3 2 2" xfId="2909"/>
    <cellStyle name="Normal 4 3 2 3" xfId="3353"/>
    <cellStyle name="Normal 4 3 3" xfId="2892"/>
    <cellStyle name="Normal 4 3 4" xfId="3335"/>
    <cellStyle name="Normal 4 4" xfId="2536"/>
    <cellStyle name="Normal 4 4 2" xfId="2854"/>
    <cellStyle name="Normal 4 4 2 2" xfId="2912"/>
    <cellStyle name="Normal 4 4 2 3" xfId="3356"/>
    <cellStyle name="Normal 4 4 3" xfId="2895"/>
    <cellStyle name="Normal 4 4 4" xfId="3338"/>
    <cellStyle name="Normal 4 5" xfId="214"/>
    <cellStyle name="Normal 4 5 2" xfId="2878"/>
    <cellStyle name="Normal 4 5 3" xfId="2939"/>
    <cellStyle name="Normal 4 6" xfId="2844"/>
    <cellStyle name="Normal 4 6 2" xfId="2902"/>
    <cellStyle name="Normal 4 6 3" xfId="3346"/>
    <cellStyle name="Normal 4 7" xfId="2859"/>
    <cellStyle name="Normal 4 8" xfId="21"/>
    <cellStyle name="Normal 4 9" xfId="2862"/>
    <cellStyle name="Normal 5" xfId="17"/>
    <cellStyle name="Normal 5 2" xfId="2255"/>
    <cellStyle name="Normal 5 3" xfId="215"/>
    <cellStyle name="Normal 5 4" xfId="3384"/>
    <cellStyle name="Normal 6" xfId="2533"/>
    <cellStyle name="Normal 6 2" xfId="2256"/>
    <cellStyle name="Normal 7" xfId="2855"/>
    <cellStyle name="Normal 7 2" xfId="2257"/>
    <cellStyle name="Normal 7 3" xfId="2913"/>
    <cellStyle name="Normal 7 4" xfId="3357"/>
    <cellStyle name="Normal 8" xfId="3378"/>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2 2 2" xfId="3047"/>
    <cellStyle name="Note 10 3" xfId="2261"/>
    <cellStyle name="Note 10 3 2" xfId="2707"/>
    <cellStyle name="Note 10 3 2 2" xfId="3046"/>
    <cellStyle name="Note 10 4" xfId="2262"/>
    <cellStyle name="Note 10 4 2" xfId="2708"/>
    <cellStyle name="Note 10 4 2 2" xfId="3045"/>
    <cellStyle name="Note 10 5" xfId="2263"/>
    <cellStyle name="Note 10 5 2" xfId="2709"/>
    <cellStyle name="Note 10 5 2 2" xfId="3044"/>
    <cellStyle name="Note 10 6" xfId="2264"/>
    <cellStyle name="Note 10 6 2" xfId="2710"/>
    <cellStyle name="Note 10 6 2 2" xfId="3043"/>
    <cellStyle name="Note 11 2" xfId="2265"/>
    <cellStyle name="Note 11 2 2" xfId="2711"/>
    <cellStyle name="Note 11 2 2 2" xfId="3042"/>
    <cellStyle name="Note 11 3" xfId="2266"/>
    <cellStyle name="Note 11 3 2" xfId="2712"/>
    <cellStyle name="Note 11 3 2 2" xfId="3041"/>
    <cellStyle name="Note 11 4" xfId="2267"/>
    <cellStyle name="Note 11 4 2" xfId="2713"/>
    <cellStyle name="Note 11 4 2 2" xfId="3040"/>
    <cellStyle name="Note 11 5" xfId="2268"/>
    <cellStyle name="Note 11 5 2" xfId="2714"/>
    <cellStyle name="Note 11 5 2 2" xfId="3039"/>
    <cellStyle name="Note 11 6" xfId="2269"/>
    <cellStyle name="Note 11 6 2" xfId="2715"/>
    <cellStyle name="Note 11 6 2 2" xfId="3038"/>
    <cellStyle name="Note 2" xfId="216"/>
    <cellStyle name="Note 2 2" xfId="2270"/>
    <cellStyle name="Note 2 2 2" xfId="2716"/>
    <cellStyle name="Note 2 2 2 2" xfId="3037"/>
    <cellStyle name="Note 2 3" xfId="2271"/>
    <cellStyle name="Note 2 3 2" xfId="2717"/>
    <cellStyle name="Note 2 3 2 2" xfId="3036"/>
    <cellStyle name="Note 2 4" xfId="2272"/>
    <cellStyle name="Note 2 4 2" xfId="2718"/>
    <cellStyle name="Note 2 4 2 2" xfId="3035"/>
    <cellStyle name="Note 2 5" xfId="2273"/>
    <cellStyle name="Note 2 5 2" xfId="2719"/>
    <cellStyle name="Note 2 5 2 2" xfId="3034"/>
    <cellStyle name="Note 2 6" xfId="2274"/>
    <cellStyle name="Note 2 6 2" xfId="2720"/>
    <cellStyle name="Note 2 6 2 2" xfId="3033"/>
    <cellStyle name="Note 2 7" xfId="2561"/>
    <cellStyle name="Note 2 7 2" xfId="3192"/>
    <cellStyle name="Note 3" xfId="217"/>
    <cellStyle name="Note 3 2" xfId="2276"/>
    <cellStyle name="Note 3 2 2" xfId="2722"/>
    <cellStyle name="Note 3 2 2 2" xfId="3031"/>
    <cellStyle name="Note 3 3" xfId="2277"/>
    <cellStyle name="Note 3 3 2" xfId="2723"/>
    <cellStyle name="Note 3 3 2 2" xfId="3030"/>
    <cellStyle name="Note 3 4" xfId="2278"/>
    <cellStyle name="Note 3 4 2" xfId="2724"/>
    <cellStyle name="Note 3 4 2 2" xfId="3029"/>
    <cellStyle name="Note 3 5" xfId="2279"/>
    <cellStyle name="Note 3 5 2" xfId="2725"/>
    <cellStyle name="Note 3 5 2 2" xfId="3028"/>
    <cellStyle name="Note 3 6" xfId="2280"/>
    <cellStyle name="Note 3 6 2" xfId="2726"/>
    <cellStyle name="Note 3 6 2 2" xfId="3027"/>
    <cellStyle name="Note 3 7" xfId="2281"/>
    <cellStyle name="Note 3 7 2" xfId="2727"/>
    <cellStyle name="Note 3 7 2 2" xfId="3026"/>
    <cellStyle name="Note 3 8" xfId="2275"/>
    <cellStyle name="Note 3 8 2" xfId="2721"/>
    <cellStyle name="Note 3 8 2 2" xfId="3032"/>
    <cellStyle name="Note 3 9" xfId="2562"/>
    <cellStyle name="Note 3 9 2" xfId="3191"/>
    <cellStyle name="Note 4" xfId="218"/>
    <cellStyle name="Note 4 2" xfId="2283"/>
    <cellStyle name="Note 4 2 2" xfId="2729"/>
    <cellStyle name="Note 4 2 2 2" xfId="3024"/>
    <cellStyle name="Note 4 3" xfId="2284"/>
    <cellStyle name="Note 4 3 2" xfId="2730"/>
    <cellStyle name="Note 4 3 2 2" xfId="3023"/>
    <cellStyle name="Note 4 4" xfId="2285"/>
    <cellStyle name="Note 4 4 2" xfId="2731"/>
    <cellStyle name="Note 4 4 2 2" xfId="3022"/>
    <cellStyle name="Note 4 5" xfId="2286"/>
    <cellStyle name="Note 4 5 2" xfId="2732"/>
    <cellStyle name="Note 4 5 2 2" xfId="3021"/>
    <cellStyle name="Note 4 6" xfId="2287"/>
    <cellStyle name="Note 4 6 2" xfId="2733"/>
    <cellStyle name="Note 4 6 2 2" xfId="3020"/>
    <cellStyle name="Note 4 7" xfId="2288"/>
    <cellStyle name="Note 4 7 2" xfId="2734"/>
    <cellStyle name="Note 4 7 2 2" xfId="3019"/>
    <cellStyle name="Note 4 8" xfId="2282"/>
    <cellStyle name="Note 4 8 2" xfId="2728"/>
    <cellStyle name="Note 4 8 2 2" xfId="3025"/>
    <cellStyle name="Note 4 9" xfId="2563"/>
    <cellStyle name="Note 4 9 2" xfId="3190"/>
    <cellStyle name="Note 5" xfId="219"/>
    <cellStyle name="Note 5 2" xfId="2289"/>
    <cellStyle name="Note 5 2 2" xfId="2735"/>
    <cellStyle name="Note 5 2 2 2" xfId="3018"/>
    <cellStyle name="Note 5 3" xfId="2290"/>
    <cellStyle name="Note 5 3 2" xfId="2736"/>
    <cellStyle name="Note 5 3 2 2" xfId="3017"/>
    <cellStyle name="Note 5 4" xfId="2291"/>
    <cellStyle name="Note 5 4 2" xfId="2737"/>
    <cellStyle name="Note 5 4 2 2" xfId="3016"/>
    <cellStyle name="Note 5 5" xfId="2292"/>
    <cellStyle name="Note 5 5 2" xfId="2738"/>
    <cellStyle name="Note 5 5 2 2" xfId="3015"/>
    <cellStyle name="Note 5 6" xfId="2293"/>
    <cellStyle name="Note 5 6 2" xfId="2739"/>
    <cellStyle name="Note 5 6 2 2" xfId="3014"/>
    <cellStyle name="Note 5 7" xfId="2564"/>
    <cellStyle name="Note 5 7 2" xfId="3189"/>
    <cellStyle name="Note 6" xfId="220"/>
    <cellStyle name="Note 6 2" xfId="2294"/>
    <cellStyle name="Note 6 2 2" xfId="2740"/>
    <cellStyle name="Note 6 2 2 2" xfId="3013"/>
    <cellStyle name="Note 6 3" xfId="2295"/>
    <cellStyle name="Note 6 3 2" xfId="2741"/>
    <cellStyle name="Note 6 3 2 2" xfId="3012"/>
    <cellStyle name="Note 6 4" xfId="2296"/>
    <cellStyle name="Note 6 4 2" xfId="2742"/>
    <cellStyle name="Note 6 4 2 2" xfId="3011"/>
    <cellStyle name="Note 6 5" xfId="2297"/>
    <cellStyle name="Note 6 5 2" xfId="2743"/>
    <cellStyle name="Note 6 5 2 2" xfId="3010"/>
    <cellStyle name="Note 6 6" xfId="2298"/>
    <cellStyle name="Note 6 6 2" xfId="2744"/>
    <cellStyle name="Note 6 6 2 2" xfId="3009"/>
    <cellStyle name="Note 6 7" xfId="2565"/>
    <cellStyle name="Note 6 7 2" xfId="3188"/>
    <cellStyle name="Note 7" xfId="221"/>
    <cellStyle name="Note 7 2" xfId="2299"/>
    <cellStyle name="Note 7 2 2" xfId="2745"/>
    <cellStyle name="Note 7 2 2 2" xfId="3008"/>
    <cellStyle name="Note 7 3" xfId="2300"/>
    <cellStyle name="Note 7 3 2" xfId="2746"/>
    <cellStyle name="Note 7 3 2 2" xfId="3007"/>
    <cellStyle name="Note 7 4" xfId="2301"/>
    <cellStyle name="Note 7 4 2" xfId="2747"/>
    <cellStyle name="Note 7 4 2 2" xfId="3006"/>
    <cellStyle name="Note 7 5" xfId="2302"/>
    <cellStyle name="Note 7 5 2" xfId="2748"/>
    <cellStyle name="Note 7 5 2 2" xfId="3005"/>
    <cellStyle name="Note 7 6" xfId="2303"/>
    <cellStyle name="Note 7 6 2" xfId="2749"/>
    <cellStyle name="Note 7 6 2 2" xfId="3004"/>
    <cellStyle name="Note 7 7" xfId="2566"/>
    <cellStyle name="Note 7 7 2" xfId="3187"/>
    <cellStyle name="Note 8 2" xfId="2304"/>
    <cellStyle name="Note 8 2 2" xfId="2750"/>
    <cellStyle name="Note 8 2 2 2" xfId="3003"/>
    <cellStyle name="Note 8 3" xfId="2305"/>
    <cellStyle name="Note 8 3 2" xfId="2751"/>
    <cellStyle name="Note 8 3 2 2" xfId="3002"/>
    <cellStyle name="Note 8 4" xfId="2306"/>
    <cellStyle name="Note 8 4 2" xfId="2752"/>
    <cellStyle name="Note 8 4 2 2" xfId="3001"/>
    <cellStyle name="Note 8 5" xfId="2307"/>
    <cellStyle name="Note 8 5 2" xfId="2753"/>
    <cellStyle name="Note 8 5 2 2" xfId="3000"/>
    <cellStyle name="Note 8 6" xfId="2308"/>
    <cellStyle name="Note 8 6 2" xfId="2754"/>
    <cellStyle name="Note 8 6 2 2" xfId="2999"/>
    <cellStyle name="Note 9 2" xfId="2309"/>
    <cellStyle name="Note 9 2 2" xfId="2755"/>
    <cellStyle name="Note 9 2 2 2" xfId="2998"/>
    <cellStyle name="Note 9 3" xfId="2310"/>
    <cellStyle name="Note 9 3 2" xfId="2756"/>
    <cellStyle name="Note 9 3 2 2" xfId="2997"/>
    <cellStyle name="Note 9 4" xfId="2311"/>
    <cellStyle name="Note 9 4 2" xfId="2757"/>
    <cellStyle name="Note 9 4 2 2" xfId="2996"/>
    <cellStyle name="Note 9 5" xfId="2312"/>
    <cellStyle name="Note 9 5 2" xfId="2758"/>
    <cellStyle name="Note 9 5 2 2" xfId="2995"/>
    <cellStyle name="Note 9 6" xfId="2313"/>
    <cellStyle name="Note 9 6 2" xfId="2759"/>
    <cellStyle name="Note 9 6 2 2" xfId="2994"/>
    <cellStyle name="Number" xfId="222"/>
    <cellStyle name="Output 10 2" xfId="2314"/>
    <cellStyle name="Output 10 2 2" xfId="2547"/>
    <cellStyle name="Output 10 2 2 2" xfId="3206"/>
    <cellStyle name="Output 10 2 3" xfId="3322"/>
    <cellStyle name="Output 10 3" xfId="2315"/>
    <cellStyle name="Output 10 3 2" xfId="2596"/>
    <cellStyle name="Output 10 3 2 2" xfId="3157"/>
    <cellStyle name="Output 10 3 3" xfId="3321"/>
    <cellStyle name="Output 10 4" xfId="2316"/>
    <cellStyle name="Output 10 4 2" xfId="2597"/>
    <cellStyle name="Output 10 4 2 2" xfId="3156"/>
    <cellStyle name="Output 10 4 3" xfId="3320"/>
    <cellStyle name="Output 10 5" xfId="2317"/>
    <cellStyle name="Output 10 5 2" xfId="2548"/>
    <cellStyle name="Output 10 5 2 2" xfId="3205"/>
    <cellStyle name="Output 10 5 3" xfId="3319"/>
    <cellStyle name="Output 10 6" xfId="2318"/>
    <cellStyle name="Output 10 6 2" xfId="2546"/>
    <cellStyle name="Output 10 6 2 2" xfId="3207"/>
    <cellStyle name="Output 10 6 3" xfId="3318"/>
    <cellStyle name="Output 11 2" xfId="2319"/>
    <cellStyle name="Output 11 2 2" xfId="2545"/>
    <cellStyle name="Output 11 2 2 2" xfId="3208"/>
    <cellStyle name="Output 11 2 3" xfId="3317"/>
    <cellStyle name="Output 11 3" xfId="2320"/>
    <cellStyle name="Output 11 3 2" xfId="2544"/>
    <cellStyle name="Output 11 3 2 2" xfId="3209"/>
    <cellStyle name="Output 11 3 3" xfId="3316"/>
    <cellStyle name="Output 11 4" xfId="2321"/>
    <cellStyle name="Output 11 4 2" xfId="2543"/>
    <cellStyle name="Output 11 4 2 2" xfId="3210"/>
    <cellStyle name="Output 11 4 3" xfId="3315"/>
    <cellStyle name="Output 11 5" xfId="2322"/>
    <cellStyle name="Output 11 5 2" xfId="2542"/>
    <cellStyle name="Output 11 5 2 2" xfId="3211"/>
    <cellStyle name="Output 11 5 3" xfId="3314"/>
    <cellStyle name="Output 11 6" xfId="2323"/>
    <cellStyle name="Output 11 6 2" xfId="2595"/>
    <cellStyle name="Output 11 6 2 2" xfId="3158"/>
    <cellStyle name="Output 11 6 3" xfId="3313"/>
    <cellStyle name="Output 2" xfId="223"/>
    <cellStyle name="Output 2 2" xfId="2324"/>
    <cellStyle name="Output 2 2 2" xfId="2594"/>
    <cellStyle name="Output 2 2 2 2" xfId="3159"/>
    <cellStyle name="Output 2 2 3" xfId="3312"/>
    <cellStyle name="Output 2 3" xfId="2325"/>
    <cellStyle name="Output 2 3 2" xfId="2593"/>
    <cellStyle name="Output 2 3 2 2" xfId="3160"/>
    <cellStyle name="Output 2 3 3" xfId="3311"/>
    <cellStyle name="Output 2 4" xfId="2326"/>
    <cellStyle name="Output 2 4 2" xfId="2592"/>
    <cellStyle name="Output 2 4 2 2" xfId="3161"/>
    <cellStyle name="Output 2 4 3" xfId="3310"/>
    <cellStyle name="Output 2 5" xfId="2327"/>
    <cellStyle name="Output 2 5 2" xfId="2591"/>
    <cellStyle name="Output 2 5 2 2" xfId="3162"/>
    <cellStyle name="Output 2 5 3" xfId="3309"/>
    <cellStyle name="Output 2 6" xfId="2328"/>
    <cellStyle name="Output 2 6 2" xfId="2590"/>
    <cellStyle name="Output 2 6 2 2" xfId="3163"/>
    <cellStyle name="Output 2 6 3" xfId="3308"/>
    <cellStyle name="Output 2 7" xfId="2772"/>
    <cellStyle name="Output 2 7 2" xfId="2981"/>
    <cellStyle name="Output 2 8" xfId="3331"/>
    <cellStyle name="Output 3" xfId="224"/>
    <cellStyle name="Output 3 10" xfId="3330"/>
    <cellStyle name="Output 3 2" xfId="2330"/>
    <cellStyle name="Output 3 2 2" xfId="2588"/>
    <cellStyle name="Output 3 2 2 2" xfId="3165"/>
    <cellStyle name="Output 3 2 3" xfId="3306"/>
    <cellStyle name="Output 3 3" xfId="2331"/>
    <cellStyle name="Output 3 3 2" xfId="2587"/>
    <cellStyle name="Output 3 3 2 2" xfId="3166"/>
    <cellStyle name="Output 3 3 3" xfId="3305"/>
    <cellStyle name="Output 3 4" xfId="2332"/>
    <cellStyle name="Output 3 4 2" xfId="2541"/>
    <cellStyle name="Output 3 4 2 2" xfId="3212"/>
    <cellStyle name="Output 3 4 3" xfId="3304"/>
    <cellStyle name="Output 3 5" xfId="2333"/>
    <cellStyle name="Output 3 5 2" xfId="2586"/>
    <cellStyle name="Output 3 5 2 2" xfId="3167"/>
    <cellStyle name="Output 3 5 3" xfId="3303"/>
    <cellStyle name="Output 3 6" xfId="2334"/>
    <cellStyle name="Output 3 6 2" xfId="2585"/>
    <cellStyle name="Output 3 6 2 2" xfId="3168"/>
    <cellStyle name="Output 3 6 3" xfId="3302"/>
    <cellStyle name="Output 3 7" xfId="2335"/>
    <cellStyle name="Output 3 7 2" xfId="2584"/>
    <cellStyle name="Output 3 7 2 2" xfId="3169"/>
    <cellStyle name="Output 3 7 3" xfId="3301"/>
    <cellStyle name="Output 3 8" xfId="2329"/>
    <cellStyle name="Output 3 8 2" xfId="2589"/>
    <cellStyle name="Output 3 8 2 2" xfId="3164"/>
    <cellStyle name="Output 3 8 3" xfId="3307"/>
    <cellStyle name="Output 3 9" xfId="2771"/>
    <cellStyle name="Output 3 9 2" xfId="2982"/>
    <cellStyle name="Output 4" xfId="225"/>
    <cellStyle name="Output 4 10" xfId="3329"/>
    <cellStyle name="Output 4 2" xfId="2337"/>
    <cellStyle name="Output 4 2 2" xfId="2582"/>
    <cellStyle name="Output 4 2 2 2" xfId="3171"/>
    <cellStyle name="Output 4 2 3" xfId="3299"/>
    <cellStyle name="Output 4 3" xfId="2338"/>
    <cellStyle name="Output 4 3 2" xfId="2581"/>
    <cellStyle name="Output 4 3 2 2" xfId="3172"/>
    <cellStyle name="Output 4 3 3" xfId="3298"/>
    <cellStyle name="Output 4 4" xfId="2339"/>
    <cellStyle name="Output 4 4 2" xfId="2580"/>
    <cellStyle name="Output 4 4 2 2" xfId="3173"/>
    <cellStyle name="Output 4 4 3" xfId="3297"/>
    <cellStyle name="Output 4 5" xfId="2340"/>
    <cellStyle name="Output 4 5 2" xfId="2579"/>
    <cellStyle name="Output 4 5 2 2" xfId="3174"/>
    <cellStyle name="Output 4 5 3" xfId="3296"/>
    <cellStyle name="Output 4 6" xfId="2341"/>
    <cellStyle name="Output 4 6 2" xfId="2578"/>
    <cellStyle name="Output 4 6 2 2" xfId="3175"/>
    <cellStyle name="Output 4 6 3" xfId="3295"/>
    <cellStyle name="Output 4 7" xfId="2342"/>
    <cellStyle name="Output 4 7 2" xfId="2577"/>
    <cellStyle name="Output 4 7 2 2" xfId="3176"/>
    <cellStyle name="Output 4 7 3" xfId="3294"/>
    <cellStyle name="Output 4 8" xfId="2336"/>
    <cellStyle name="Output 4 8 2" xfId="2583"/>
    <cellStyle name="Output 4 8 2 2" xfId="3170"/>
    <cellStyle name="Output 4 8 3" xfId="3300"/>
    <cellStyle name="Output 4 9" xfId="2770"/>
    <cellStyle name="Output 4 9 2" xfId="2983"/>
    <cellStyle name="Output 5" xfId="226"/>
    <cellStyle name="Output 5 2" xfId="2343"/>
    <cellStyle name="Output 5 2 2" xfId="2540"/>
    <cellStyle name="Output 5 2 2 2" xfId="3213"/>
    <cellStyle name="Output 5 2 3" xfId="3293"/>
    <cellStyle name="Output 5 3" xfId="2344"/>
    <cellStyle name="Output 5 3 2" xfId="2576"/>
    <cellStyle name="Output 5 3 2 2" xfId="3177"/>
    <cellStyle name="Output 5 3 3" xfId="3292"/>
    <cellStyle name="Output 5 4" xfId="2345"/>
    <cellStyle name="Output 5 4 2" xfId="2575"/>
    <cellStyle name="Output 5 4 2 2" xfId="3178"/>
    <cellStyle name="Output 5 4 3" xfId="3291"/>
    <cellStyle name="Output 5 5" xfId="2346"/>
    <cellStyle name="Output 5 5 2" xfId="2574"/>
    <cellStyle name="Output 5 5 2 2" xfId="3179"/>
    <cellStyle name="Output 5 5 3" xfId="3290"/>
    <cellStyle name="Output 5 6" xfId="2347"/>
    <cellStyle name="Output 5 6 2" xfId="2573"/>
    <cellStyle name="Output 5 6 2 2" xfId="3180"/>
    <cellStyle name="Output 5 6 3" xfId="3289"/>
    <cellStyle name="Output 5 7" xfId="2769"/>
    <cellStyle name="Output 5 7 2" xfId="2984"/>
    <cellStyle name="Output 5 8" xfId="3328"/>
    <cellStyle name="Output 6" xfId="227"/>
    <cellStyle name="Output 6 2" xfId="2348"/>
    <cellStyle name="Output 6 2 2" xfId="2572"/>
    <cellStyle name="Output 6 2 2 2" xfId="3181"/>
    <cellStyle name="Output 6 2 3" xfId="3288"/>
    <cellStyle name="Output 6 3" xfId="2349"/>
    <cellStyle name="Output 6 3 2" xfId="2571"/>
    <cellStyle name="Output 6 3 2 2" xfId="3182"/>
    <cellStyle name="Output 6 3 3" xfId="3287"/>
    <cellStyle name="Output 6 4" xfId="2350"/>
    <cellStyle name="Output 6 4 2" xfId="2570"/>
    <cellStyle name="Output 6 4 2 2" xfId="3183"/>
    <cellStyle name="Output 6 4 3" xfId="3286"/>
    <cellStyle name="Output 6 5" xfId="2351"/>
    <cellStyle name="Output 6 5 2" xfId="2569"/>
    <cellStyle name="Output 6 5 2 2" xfId="3184"/>
    <cellStyle name="Output 6 5 3" xfId="3285"/>
    <cellStyle name="Output 6 6" xfId="2352"/>
    <cellStyle name="Output 6 6 2" xfId="2568"/>
    <cellStyle name="Output 6 6 2 2" xfId="3185"/>
    <cellStyle name="Output 6 6 3" xfId="3284"/>
    <cellStyle name="Output 6 7" xfId="2768"/>
    <cellStyle name="Output 6 7 2" xfId="2985"/>
    <cellStyle name="Output 6 8" xfId="3327"/>
    <cellStyle name="Output 7" xfId="228"/>
    <cellStyle name="Output 7 2" xfId="2353"/>
    <cellStyle name="Output 7 2 2" xfId="2567"/>
    <cellStyle name="Output 7 2 2 2" xfId="3186"/>
    <cellStyle name="Output 7 2 3" xfId="3283"/>
    <cellStyle name="Output 7 3" xfId="2354"/>
    <cellStyle name="Output 7 3 2" xfId="2537"/>
    <cellStyle name="Output 7 3 2 2" xfId="3216"/>
    <cellStyle name="Output 7 3 3" xfId="3282"/>
    <cellStyle name="Output 7 4" xfId="2355"/>
    <cellStyle name="Output 7 4 2" xfId="2539"/>
    <cellStyle name="Output 7 4 2 2" xfId="3214"/>
    <cellStyle name="Output 7 4 3" xfId="3281"/>
    <cellStyle name="Output 7 5" xfId="2356"/>
    <cellStyle name="Output 7 5 2" xfId="2538"/>
    <cellStyle name="Output 7 5 2 2" xfId="3215"/>
    <cellStyle name="Output 7 5 3" xfId="3280"/>
    <cellStyle name="Output 7 6" xfId="2357"/>
    <cellStyle name="Output 7 6 2" xfId="2773"/>
    <cellStyle name="Output 7 6 2 2" xfId="2980"/>
    <cellStyle name="Output 7 6 3" xfId="3279"/>
    <cellStyle name="Output 7 7" xfId="2767"/>
    <cellStyle name="Output 7 7 2" xfId="2986"/>
    <cellStyle name="Output 7 8" xfId="3326"/>
    <cellStyle name="Output 8 2" xfId="2358"/>
    <cellStyle name="Output 8 2 2" xfId="2774"/>
    <cellStyle name="Output 8 2 2 2" xfId="2979"/>
    <cellStyle name="Output 8 2 3" xfId="3278"/>
    <cellStyle name="Output 8 3" xfId="2359"/>
    <cellStyle name="Output 8 3 2" xfId="2775"/>
    <cellStyle name="Output 8 3 2 2" xfId="2978"/>
    <cellStyle name="Output 8 3 3" xfId="3277"/>
    <cellStyle name="Output 8 4" xfId="2360"/>
    <cellStyle name="Output 8 4 2" xfId="2776"/>
    <cellStyle name="Output 8 4 2 2" xfId="2977"/>
    <cellStyle name="Output 8 4 3" xfId="3276"/>
    <cellStyle name="Output 8 5" xfId="2361"/>
    <cellStyle name="Output 8 5 2" xfId="2777"/>
    <cellStyle name="Output 8 5 2 2" xfId="2934"/>
    <cellStyle name="Output 8 5 3" xfId="3275"/>
    <cellStyle name="Output 8 6" xfId="2362"/>
    <cellStyle name="Output 8 6 2" xfId="2778"/>
    <cellStyle name="Output 8 6 2 2" xfId="2975"/>
    <cellStyle name="Output 8 6 3" xfId="3274"/>
    <cellStyle name="Output 9 2" xfId="2363"/>
    <cellStyle name="Output 9 2 2" xfId="2779"/>
    <cellStyle name="Output 9 2 2 2" xfId="2976"/>
    <cellStyle name="Output 9 2 3" xfId="3273"/>
    <cellStyle name="Output 9 3" xfId="2364"/>
    <cellStyle name="Output 9 3 2" xfId="2780"/>
    <cellStyle name="Output 9 3 2 2" xfId="2936"/>
    <cellStyle name="Output 9 3 3" xfId="3272"/>
    <cellStyle name="Output 9 4" xfId="2365"/>
    <cellStyle name="Output 9 4 2" xfId="2781"/>
    <cellStyle name="Output 9 4 2 2" xfId="2933"/>
    <cellStyle name="Output 9 4 3" xfId="3271"/>
    <cellStyle name="Output 9 5" xfId="2366"/>
    <cellStyle name="Output 9 5 2" xfId="2782"/>
    <cellStyle name="Output 9 5 2 2" xfId="2932"/>
    <cellStyle name="Output 9 5 3" xfId="3270"/>
    <cellStyle name="Output 9 6" xfId="2367"/>
    <cellStyle name="Output 9 6 2" xfId="2783"/>
    <cellStyle name="Output 9 6 2 2" xfId="2931"/>
    <cellStyle name="Output 9 6 3" xfId="3269"/>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p Single Border 2 2" xfId="2987"/>
    <cellStyle name="Top Single Border 3" xfId="2945"/>
    <cellStyle name="Total 10 2" xfId="2420"/>
    <cellStyle name="Total 10 2 2" xfId="2784"/>
    <cellStyle name="Total 10 2 2 2" xfId="2930"/>
    <cellStyle name="Total 10 2 3" xfId="3268"/>
    <cellStyle name="Total 10 3" xfId="2421"/>
    <cellStyle name="Total 10 3 2" xfId="2785"/>
    <cellStyle name="Total 10 3 2 2" xfId="2929"/>
    <cellStyle name="Total 10 3 3" xfId="3267"/>
    <cellStyle name="Total 10 4" xfId="2422"/>
    <cellStyle name="Total 10 4 2" xfId="2786"/>
    <cellStyle name="Total 10 4 2 2" xfId="2974"/>
    <cellStyle name="Total 10 4 3" xfId="3266"/>
    <cellStyle name="Total 10 5" xfId="2423"/>
    <cellStyle name="Total 10 5 2" xfId="2787"/>
    <cellStyle name="Total 10 5 2 2" xfId="2973"/>
    <cellStyle name="Total 10 5 3" xfId="3265"/>
    <cellStyle name="Total 10 6" xfId="2424"/>
    <cellStyle name="Total 10 6 2" xfId="2788"/>
    <cellStyle name="Total 10 6 2 2" xfId="2972"/>
    <cellStyle name="Total 10 6 3" xfId="3264"/>
    <cellStyle name="Total 11 2" xfId="2425"/>
    <cellStyle name="Total 11 2 2" xfId="2789"/>
    <cellStyle name="Total 11 2 2 2" xfId="2971"/>
    <cellStyle name="Total 11 2 3" xfId="3263"/>
    <cellStyle name="Total 11 3" xfId="2426"/>
    <cellStyle name="Total 11 3 2" xfId="2790"/>
    <cellStyle name="Total 11 3 2 2" xfId="2970"/>
    <cellStyle name="Total 11 3 3" xfId="3262"/>
    <cellStyle name="Total 11 4" xfId="2427"/>
    <cellStyle name="Total 11 4 2" xfId="2791"/>
    <cellStyle name="Total 11 4 2 2" xfId="2969"/>
    <cellStyle name="Total 11 4 3" xfId="3261"/>
    <cellStyle name="Total 11 5" xfId="2428"/>
    <cellStyle name="Total 11 5 2" xfId="2792"/>
    <cellStyle name="Total 11 5 2 2" xfId="2968"/>
    <cellStyle name="Total 11 5 3" xfId="3260"/>
    <cellStyle name="Total 11 6" xfId="2429"/>
    <cellStyle name="Total 11 6 2" xfId="2793"/>
    <cellStyle name="Total 11 6 2 2" xfId="2967"/>
    <cellStyle name="Total 11 6 3" xfId="3259"/>
    <cellStyle name="Total 2" xfId="238"/>
    <cellStyle name="Total 2 2" xfId="2430"/>
    <cellStyle name="Total 2 2 2" xfId="2794"/>
    <cellStyle name="Total 2 2 2 2" xfId="2966"/>
    <cellStyle name="Total 2 2 3" xfId="3258"/>
    <cellStyle name="Total 2 3" xfId="2431"/>
    <cellStyle name="Total 2 3 2" xfId="2795"/>
    <cellStyle name="Total 2 3 2 2" xfId="2928"/>
    <cellStyle name="Total 2 3 3" xfId="3257"/>
    <cellStyle name="Total 2 4" xfId="2432"/>
    <cellStyle name="Total 2 4 2" xfId="2796"/>
    <cellStyle name="Total 2 4 2 2" xfId="2965"/>
    <cellStyle name="Total 2 4 3" xfId="3256"/>
    <cellStyle name="Total 2 5" xfId="2433"/>
    <cellStyle name="Total 2 5 2" xfId="2797"/>
    <cellStyle name="Total 2 5 2 2" xfId="2964"/>
    <cellStyle name="Total 2 5 3" xfId="3255"/>
    <cellStyle name="Total 2 6" xfId="2434"/>
    <cellStyle name="Total 2 6 2" xfId="2798"/>
    <cellStyle name="Total 2 6 2 2" xfId="2963"/>
    <cellStyle name="Total 2 6 3" xfId="3254"/>
    <cellStyle name="Total 2 7" xfId="2765"/>
    <cellStyle name="Total 2 7 2" xfId="2988"/>
    <cellStyle name="Total 2 8" xfId="2944"/>
    <cellStyle name="Total 3" xfId="239"/>
    <cellStyle name="Total 3 10" xfId="2943"/>
    <cellStyle name="Total 3 2" xfId="2436"/>
    <cellStyle name="Total 3 2 2" xfId="2800"/>
    <cellStyle name="Total 3 2 2 2" xfId="2961"/>
    <cellStyle name="Total 3 2 3" xfId="3252"/>
    <cellStyle name="Total 3 3" xfId="2437"/>
    <cellStyle name="Total 3 3 2" xfId="2801"/>
    <cellStyle name="Total 3 3 2 2" xfId="2960"/>
    <cellStyle name="Total 3 3 3" xfId="3251"/>
    <cellStyle name="Total 3 4" xfId="2438"/>
    <cellStyle name="Total 3 4 2" xfId="2802"/>
    <cellStyle name="Total 3 4 2 2" xfId="2959"/>
    <cellStyle name="Total 3 4 3" xfId="3250"/>
    <cellStyle name="Total 3 5" xfId="2439"/>
    <cellStyle name="Total 3 5 2" xfId="2803"/>
    <cellStyle name="Total 3 5 2 2" xfId="2958"/>
    <cellStyle name="Total 3 5 3" xfId="3249"/>
    <cellStyle name="Total 3 6" xfId="2440"/>
    <cellStyle name="Total 3 6 2" xfId="2804"/>
    <cellStyle name="Total 3 6 2 2" xfId="2957"/>
    <cellStyle name="Total 3 6 3" xfId="3248"/>
    <cellStyle name="Total 3 7" xfId="2441"/>
    <cellStyle name="Total 3 7 2" xfId="2805"/>
    <cellStyle name="Total 3 7 2 2" xfId="2956"/>
    <cellStyle name="Total 3 7 3" xfId="3247"/>
    <cellStyle name="Total 3 8" xfId="2435"/>
    <cellStyle name="Total 3 8 2" xfId="2799"/>
    <cellStyle name="Total 3 8 2 2" xfId="2962"/>
    <cellStyle name="Total 3 8 3" xfId="3253"/>
    <cellStyle name="Total 3 9" xfId="2764"/>
    <cellStyle name="Total 3 9 2" xfId="2989"/>
    <cellStyle name="Total 4" xfId="240"/>
    <cellStyle name="Total 4 10" xfId="2942"/>
    <cellStyle name="Total 4 2" xfId="2443"/>
    <cellStyle name="Total 4 2 2" xfId="2807"/>
    <cellStyle name="Total 4 2 2 2" xfId="2955"/>
    <cellStyle name="Total 4 2 3" xfId="3245"/>
    <cellStyle name="Total 4 3" xfId="2444"/>
    <cellStyle name="Total 4 3 2" xfId="2808"/>
    <cellStyle name="Total 4 3 2 2" xfId="2954"/>
    <cellStyle name="Total 4 3 3" xfId="3244"/>
    <cellStyle name="Total 4 4" xfId="2445"/>
    <cellStyle name="Total 4 4 2" xfId="2809"/>
    <cellStyle name="Total 4 4 2 2" xfId="2953"/>
    <cellStyle name="Total 4 4 3" xfId="3243"/>
    <cellStyle name="Total 4 5" xfId="2446"/>
    <cellStyle name="Total 4 5 2" xfId="2810"/>
    <cellStyle name="Total 4 5 2 2" xfId="2952"/>
    <cellStyle name="Total 4 5 3" xfId="3242"/>
    <cellStyle name="Total 4 6" xfId="2447"/>
    <cellStyle name="Total 4 6 2" xfId="2811"/>
    <cellStyle name="Total 4 6 2 2" xfId="2951"/>
    <cellStyle name="Total 4 6 3" xfId="3241"/>
    <cellStyle name="Total 4 7" xfId="2448"/>
    <cellStyle name="Total 4 7 2" xfId="2812"/>
    <cellStyle name="Total 4 7 2 2" xfId="2950"/>
    <cellStyle name="Total 4 7 3" xfId="3240"/>
    <cellStyle name="Total 4 8" xfId="2442"/>
    <cellStyle name="Total 4 8 2" xfId="2806"/>
    <cellStyle name="Total 4 8 2 2" xfId="2926"/>
    <cellStyle name="Total 4 8 3" xfId="3246"/>
    <cellStyle name="Total 4 9" xfId="2763"/>
    <cellStyle name="Total 4 9 2" xfId="2990"/>
    <cellStyle name="Total 5" xfId="241"/>
    <cellStyle name="Total 5 2" xfId="2449"/>
    <cellStyle name="Total 5 2 2" xfId="2813"/>
    <cellStyle name="Total 5 2 2 2" xfId="2949"/>
    <cellStyle name="Total 5 2 3" xfId="3239"/>
    <cellStyle name="Total 5 3" xfId="2450"/>
    <cellStyle name="Total 5 3 2" xfId="2814"/>
    <cellStyle name="Total 5 3 2 2" xfId="2948"/>
    <cellStyle name="Total 5 3 3" xfId="3238"/>
    <cellStyle name="Total 5 4" xfId="2451"/>
    <cellStyle name="Total 5 4 2" xfId="2815"/>
    <cellStyle name="Total 5 4 2 2" xfId="2947"/>
    <cellStyle name="Total 5 4 3" xfId="3237"/>
    <cellStyle name="Total 5 5" xfId="2452"/>
    <cellStyle name="Total 5 5 2" xfId="2816"/>
    <cellStyle name="Total 5 5 2 2" xfId="2946"/>
    <cellStyle name="Total 5 5 3" xfId="3236"/>
    <cellStyle name="Total 5 6" xfId="2453"/>
    <cellStyle name="Total 5 6 2" xfId="2817"/>
    <cellStyle name="Total 5 6 2 2" xfId="2923"/>
    <cellStyle name="Total 5 6 3" xfId="3235"/>
    <cellStyle name="Total 5 7" xfId="2762"/>
    <cellStyle name="Total 5 7 2" xfId="2991"/>
    <cellStyle name="Total 5 8" xfId="2941"/>
    <cellStyle name="Total 6" xfId="242"/>
    <cellStyle name="Total 6 2" xfId="2454"/>
    <cellStyle name="Total 6 2 2" xfId="2818"/>
    <cellStyle name="Total 6 2 2 2" xfId="2925"/>
    <cellStyle name="Total 6 2 3" xfId="3234"/>
    <cellStyle name="Total 6 3" xfId="2455"/>
    <cellStyle name="Total 6 3 2" xfId="2819"/>
    <cellStyle name="Total 6 3 2 2" xfId="2924"/>
    <cellStyle name="Total 6 3 3" xfId="3233"/>
    <cellStyle name="Total 6 4" xfId="2456"/>
    <cellStyle name="Total 6 4 2" xfId="2820"/>
    <cellStyle name="Total 6 4 2 2" xfId="3360"/>
    <cellStyle name="Total 6 4 3" xfId="3232"/>
    <cellStyle name="Total 6 5" xfId="2457"/>
    <cellStyle name="Total 6 5 2" xfId="2821"/>
    <cellStyle name="Total 6 5 2 2" xfId="3361"/>
    <cellStyle name="Total 6 5 3" xfId="3231"/>
    <cellStyle name="Total 6 6" xfId="2458"/>
    <cellStyle name="Total 6 6 2" xfId="2822"/>
    <cellStyle name="Total 6 6 2 2" xfId="3362"/>
    <cellStyle name="Total 6 6 3" xfId="3230"/>
    <cellStyle name="Total 6 7" xfId="2761"/>
    <cellStyle name="Total 6 7 2" xfId="2992"/>
    <cellStyle name="Total 6 8" xfId="2940"/>
    <cellStyle name="Total 7" xfId="243"/>
    <cellStyle name="Total 7 2" xfId="2459"/>
    <cellStyle name="Total 7 2 2" xfId="2823"/>
    <cellStyle name="Total 7 2 2 2" xfId="3363"/>
    <cellStyle name="Total 7 2 3" xfId="3229"/>
    <cellStyle name="Total 7 3" xfId="2460"/>
    <cellStyle name="Total 7 3 2" xfId="2824"/>
    <cellStyle name="Total 7 3 2 2" xfId="3364"/>
    <cellStyle name="Total 7 3 3" xfId="3228"/>
    <cellStyle name="Total 7 4" xfId="2461"/>
    <cellStyle name="Total 7 4 2" xfId="2825"/>
    <cellStyle name="Total 7 4 2 2" xfId="3365"/>
    <cellStyle name="Total 7 4 3" xfId="3227"/>
    <cellStyle name="Total 7 5" xfId="2462"/>
    <cellStyle name="Total 7 5 2" xfId="2826"/>
    <cellStyle name="Total 7 5 2 2" xfId="3366"/>
    <cellStyle name="Total 7 5 3" xfId="3226"/>
    <cellStyle name="Total 7 6" xfId="2463"/>
    <cellStyle name="Total 7 6 2" xfId="2827"/>
    <cellStyle name="Total 7 6 2 2" xfId="3367"/>
    <cellStyle name="Total 7 6 3" xfId="2937"/>
    <cellStyle name="Total 7 7" xfId="2760"/>
    <cellStyle name="Total 7 7 2" xfId="2993"/>
    <cellStyle name="Total 7 8" xfId="3339"/>
    <cellStyle name="Total 8 2" xfId="2464"/>
    <cellStyle name="Total 8 2 2" xfId="2828"/>
    <cellStyle name="Total 8 2 2 2" xfId="3368"/>
    <cellStyle name="Total 8 2 3" xfId="2935"/>
    <cellStyle name="Total 8 3" xfId="2465"/>
    <cellStyle name="Total 8 3 2" xfId="2829"/>
    <cellStyle name="Total 8 3 2 2" xfId="3369"/>
    <cellStyle name="Total 8 3 3" xfId="3225"/>
    <cellStyle name="Total 8 4" xfId="2466"/>
    <cellStyle name="Total 8 4 2" xfId="2830"/>
    <cellStyle name="Total 8 4 2 2" xfId="3370"/>
    <cellStyle name="Total 8 4 3" xfId="3224"/>
    <cellStyle name="Total 8 5" xfId="2467"/>
    <cellStyle name="Total 8 5 2" xfId="2831"/>
    <cellStyle name="Total 8 5 2 2" xfId="3371"/>
    <cellStyle name="Total 8 5 3" xfId="3223"/>
    <cellStyle name="Total 8 6" xfId="2468"/>
    <cellStyle name="Total 8 6 2" xfId="2832"/>
    <cellStyle name="Total 8 6 2 2" xfId="3372"/>
    <cellStyle name="Total 8 6 3" xfId="3222"/>
    <cellStyle name="Total 9 2" xfId="2469"/>
    <cellStyle name="Total 9 2 2" xfId="2833"/>
    <cellStyle name="Total 9 2 2 2" xfId="3373"/>
    <cellStyle name="Total 9 2 3" xfId="3221"/>
    <cellStyle name="Total 9 3" xfId="2470"/>
    <cellStyle name="Total 9 3 2" xfId="2834"/>
    <cellStyle name="Total 9 3 2 2" xfId="3374"/>
    <cellStyle name="Total 9 3 3" xfId="3220"/>
    <cellStyle name="Total 9 4" xfId="2471"/>
    <cellStyle name="Total 9 4 2" xfId="2835"/>
    <cellStyle name="Total 9 4 2 2" xfId="3375"/>
    <cellStyle name="Total 9 4 3" xfId="3219"/>
    <cellStyle name="Total 9 5" xfId="2472"/>
    <cellStyle name="Total 9 5 2" xfId="2836"/>
    <cellStyle name="Total 9 5 2 2" xfId="3376"/>
    <cellStyle name="Total 9 5 3" xfId="3218"/>
    <cellStyle name="Total 9 6" xfId="2473"/>
    <cellStyle name="Total 9 6 2" xfId="2837"/>
    <cellStyle name="Total 9 6 2 2" xfId="3377"/>
    <cellStyle name="Total 9 6 3" xfId="321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4</xdr:row>
          <xdr:rowOff>76200</xdr:rowOff>
        </xdr:from>
        <xdr:to>
          <xdr:col>1</xdr:col>
          <xdr:colOff>1200150</xdr:colOff>
          <xdr:row>8</xdr:row>
          <xdr:rowOff>114300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1" t="s">
        <v>425</v>
      </c>
      <c r="J1" s="2052"/>
      <c r="K1" s="2052"/>
      <c r="L1" s="2052"/>
      <c r="M1" s="2052"/>
      <c r="N1" s="2052"/>
      <c r="O1" s="2052"/>
      <c r="P1" s="2052"/>
      <c r="Q1" s="2052"/>
      <c r="R1" s="2052"/>
      <c r="S1" s="2052"/>
    </row>
    <row r="2" spans="1:28" ht="12" customHeight="1" x14ac:dyDescent="0.2">
      <c r="A2" s="47" t="s">
        <v>1684</v>
      </c>
      <c r="D2" s="48"/>
      <c r="I2" s="2053" t="s">
        <v>1036</v>
      </c>
      <c r="J2" s="2052"/>
      <c r="K2" s="2052"/>
      <c r="L2" s="2052"/>
      <c r="M2" s="2052"/>
      <c r="N2" s="2052"/>
      <c r="O2" s="2052"/>
      <c r="P2" s="2052"/>
      <c r="Q2" s="2052"/>
      <c r="R2" s="2052"/>
      <c r="S2" s="2052"/>
    </row>
    <row r="3" spans="1:28" ht="12" customHeight="1" x14ac:dyDescent="0.2">
      <c r="A3" s="155" t="s">
        <v>1685</v>
      </c>
      <c r="B3" s="156"/>
      <c r="C3" s="156"/>
      <c r="D3" s="157"/>
      <c r="I3" s="2053" t="s">
        <v>54</v>
      </c>
      <c r="J3" s="2052"/>
      <c r="K3" s="2052"/>
      <c r="L3" s="2052"/>
      <c r="M3" s="2052"/>
      <c r="N3" s="2052"/>
      <c r="O3" s="2052"/>
      <c r="P3" s="2052"/>
      <c r="Q3" s="2052"/>
      <c r="R3" s="2052"/>
      <c r="S3" s="2052"/>
    </row>
    <row r="4" spans="1:28" ht="12" customHeight="1" x14ac:dyDescent="0.2">
      <c r="A4" s="37"/>
      <c r="I4" s="2053" t="s">
        <v>545</v>
      </c>
      <c r="J4" s="2052"/>
      <c r="K4" s="2052"/>
      <c r="L4" s="2052"/>
      <c r="M4" s="2052"/>
      <c r="N4" s="2052"/>
      <c r="O4" s="2052"/>
      <c r="P4" s="2052"/>
      <c r="Q4" s="2052"/>
      <c r="R4" s="2052"/>
      <c r="S4" s="2052"/>
    </row>
    <row r="5" spans="1:28" ht="14.1" customHeight="1" x14ac:dyDescent="0.2">
      <c r="B5" s="104" t="s">
        <v>2114</v>
      </c>
      <c r="C5" s="26" t="s">
        <v>966</v>
      </c>
      <c r="D5" s="84"/>
      <c r="E5" s="84"/>
      <c r="H5" s="38"/>
      <c r="I5" s="2060" t="s">
        <v>701</v>
      </c>
      <c r="J5" s="2005"/>
      <c r="K5" s="2005"/>
      <c r="L5" s="2005"/>
      <c r="M5" s="2005"/>
      <c r="N5" s="2005"/>
      <c r="O5" s="2005"/>
      <c r="P5" s="2005"/>
      <c r="Q5" s="2005"/>
      <c r="R5" s="2005"/>
      <c r="S5" s="2005"/>
    </row>
    <row r="6" spans="1:28" ht="14.1" customHeight="1" x14ac:dyDescent="0.2">
      <c r="B6" s="104"/>
      <c r="C6" s="26" t="s">
        <v>967</v>
      </c>
      <c r="D6" s="84"/>
      <c r="E6" s="84"/>
      <c r="I6" s="2059" t="s">
        <v>938</v>
      </c>
      <c r="J6" s="2005"/>
      <c r="K6" s="2005"/>
      <c r="L6" s="2005"/>
      <c r="M6" s="2005"/>
      <c r="N6" s="2005"/>
      <c r="O6" s="2005"/>
      <c r="P6" s="2005"/>
      <c r="Q6" s="2005"/>
      <c r="R6" s="2005"/>
      <c r="S6" s="2005"/>
    </row>
    <row r="7" spans="1:28" ht="12.2" customHeight="1" x14ac:dyDescent="0.2">
      <c r="I7" s="2054">
        <v>43281</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695</v>
      </c>
      <c r="J9" s="2057"/>
      <c r="K9" s="2057"/>
      <c r="L9" s="2057"/>
      <c r="M9" s="2057"/>
      <c r="N9" s="2057"/>
      <c r="O9" s="2057"/>
      <c r="P9" s="2057"/>
      <c r="Q9" s="2057"/>
      <c r="R9" s="2057"/>
      <c r="S9" s="2058"/>
      <c r="T9" s="2001" t="s">
        <v>554</v>
      </c>
      <c r="U9" s="2002"/>
      <c r="V9" s="2002"/>
      <c r="W9" s="2002"/>
      <c r="X9" s="2002"/>
      <c r="Y9" s="2002"/>
      <c r="Z9" s="2002"/>
      <c r="AA9" s="2003"/>
    </row>
    <row r="10" spans="1:28" ht="13.5" customHeight="1" x14ac:dyDescent="0.2">
      <c r="A10" s="2010" t="s">
        <v>696</v>
      </c>
      <c r="B10" s="2011"/>
      <c r="C10" s="2011"/>
      <c r="D10" s="2011"/>
      <c r="E10" s="2011"/>
      <c r="F10" s="2011"/>
      <c r="G10" s="2011"/>
      <c r="H10" s="2012"/>
      <c r="I10" s="29"/>
      <c r="J10" s="30"/>
      <c r="K10" s="28"/>
      <c r="R10" s="30"/>
      <c r="S10" s="30"/>
      <c r="T10" s="2004"/>
      <c r="U10" s="2005"/>
      <c r="V10" s="2005"/>
      <c r="W10" s="2005"/>
      <c r="X10" s="2005"/>
      <c r="Y10" s="2005"/>
      <c r="Z10" s="2005"/>
      <c r="AA10" s="2006"/>
    </row>
    <row r="11" spans="1:28" ht="14.25" customHeight="1" x14ac:dyDescent="0.2">
      <c r="A11" s="2013" t="s">
        <v>1012</v>
      </c>
      <c r="B11" s="2014"/>
      <c r="C11" s="2014"/>
      <c r="D11" s="2014"/>
      <c r="E11" s="2014"/>
      <c r="F11" s="2014"/>
      <c r="G11" s="2014"/>
      <c r="H11" s="2015"/>
      <c r="I11" s="27"/>
      <c r="J11" s="74"/>
      <c r="K11" s="27"/>
      <c r="O11" s="148"/>
      <c r="P11" s="100" t="s">
        <v>210</v>
      </c>
      <c r="Q11" s="30"/>
      <c r="R11" s="28"/>
      <c r="S11" s="27"/>
      <c r="T11" s="2007"/>
      <c r="U11" s="2008"/>
      <c r="V11" s="2008"/>
      <c r="W11" s="2008"/>
      <c r="X11" s="2008"/>
      <c r="Y11" s="2008"/>
      <c r="Z11" s="2008"/>
      <c r="AA11" s="2009"/>
    </row>
    <row r="12" spans="1:28" ht="13.5" customHeight="1" x14ac:dyDescent="0.2">
      <c r="A12" s="85" t="s">
        <v>982</v>
      </c>
      <c r="B12" s="76"/>
      <c r="C12" s="76"/>
      <c r="D12" s="76"/>
      <c r="E12" s="76"/>
      <c r="F12" s="76"/>
      <c r="G12" s="76"/>
      <c r="H12" s="53"/>
      <c r="I12" s="29"/>
      <c r="J12" s="30"/>
      <c r="K12" s="28"/>
      <c r="O12" s="149" t="s">
        <v>2104</v>
      </c>
      <c r="P12" s="100" t="s">
        <v>211</v>
      </c>
      <c r="Q12" s="74"/>
      <c r="R12" s="30"/>
      <c r="S12" s="30"/>
      <c r="T12" s="85" t="s">
        <v>283</v>
      </c>
      <c r="U12" s="51"/>
      <c r="V12" s="51"/>
      <c r="W12" s="51"/>
      <c r="X12" s="51"/>
      <c r="Y12" s="45"/>
      <c r="Z12" s="45"/>
      <c r="AA12" s="46"/>
    </row>
    <row r="13" spans="1:28" ht="13.5" customHeight="1" x14ac:dyDescent="0.2">
      <c r="A13" s="2021">
        <v>19022108016</v>
      </c>
      <c r="B13" s="2022"/>
      <c r="C13" s="2022"/>
      <c r="D13" s="2022"/>
      <c r="E13" s="2022"/>
      <c r="F13" s="2022"/>
      <c r="G13" s="2022"/>
      <c r="H13" s="2023"/>
      <c r="I13" s="31"/>
      <c r="J13" s="30"/>
      <c r="K13" s="28"/>
      <c r="L13" s="30"/>
      <c r="M13" s="30"/>
      <c r="N13" s="30"/>
      <c r="O13" s="30"/>
      <c r="P13" s="30"/>
      <c r="Q13" s="30"/>
      <c r="R13" s="30"/>
      <c r="S13" s="30"/>
      <c r="T13" s="2026" t="s">
        <v>2105</v>
      </c>
      <c r="U13" s="2027"/>
      <c r="V13" s="2027"/>
      <c r="W13" s="2027"/>
      <c r="X13" s="2027"/>
      <c r="Y13" s="2028"/>
      <c r="Z13" s="2028"/>
      <c r="AA13" s="202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9" t="s">
        <v>2100</v>
      </c>
      <c r="B15" s="2024"/>
      <c r="C15" s="2024"/>
      <c r="D15" s="2024"/>
      <c r="E15" s="2024"/>
      <c r="F15" s="2024"/>
      <c r="G15" s="2024"/>
      <c r="H15" s="2025"/>
      <c r="T15" s="1987" t="s">
        <v>2106</v>
      </c>
      <c r="U15" s="1988"/>
      <c r="V15" s="1988"/>
      <c r="W15" s="1988"/>
      <c r="X15" s="1988"/>
      <c r="Y15" s="2030"/>
      <c r="Z15" s="2030"/>
      <c r="AA15" s="203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9" t="s">
        <v>2245</v>
      </c>
      <c r="B17" s="2049"/>
      <c r="C17" s="2049"/>
      <c r="D17" s="2049"/>
      <c r="E17" s="2049"/>
      <c r="F17" s="2049"/>
      <c r="G17" s="2049"/>
      <c r="H17" s="2050"/>
      <c r="T17" s="2036" t="s">
        <v>2107</v>
      </c>
      <c r="U17" s="2037"/>
      <c r="V17" s="2037"/>
      <c r="W17" s="2037"/>
      <c r="X17" s="2037"/>
      <c r="Y17" s="2037"/>
      <c r="Z17" s="2037"/>
      <c r="AA17" s="2038"/>
    </row>
    <row r="18" spans="1:27" ht="13.5" customHeight="1" x14ac:dyDescent="0.2">
      <c r="A18" s="85" t="s">
        <v>551</v>
      </c>
      <c r="B18" s="76"/>
      <c r="C18" s="72"/>
      <c r="D18" s="76"/>
      <c r="E18" s="76"/>
      <c r="F18" s="76"/>
      <c r="G18" s="76"/>
      <c r="H18" s="56"/>
      <c r="I18" s="2046" t="s">
        <v>697</v>
      </c>
      <c r="J18" s="2047"/>
      <c r="K18" s="2047"/>
      <c r="L18" s="2047"/>
      <c r="M18" s="2047"/>
      <c r="N18" s="2047"/>
      <c r="O18" s="2047"/>
      <c r="P18" s="2047"/>
      <c r="Q18" s="2047"/>
      <c r="R18" s="2047"/>
      <c r="S18" s="2048"/>
      <c r="T18" s="85" t="s">
        <v>735</v>
      </c>
      <c r="U18" s="51"/>
      <c r="V18" s="72"/>
      <c r="W18" s="50"/>
      <c r="X18" s="85" t="s">
        <v>284</v>
      </c>
      <c r="Y18" s="81"/>
      <c r="Z18" s="159" t="s">
        <v>698</v>
      </c>
      <c r="AA18" s="46"/>
    </row>
    <row r="19" spans="1:27" ht="13.5" customHeight="1" x14ac:dyDescent="0.2">
      <c r="A19" s="2019" t="s">
        <v>2101</v>
      </c>
      <c r="B19" s="2020"/>
      <c r="C19" s="2020"/>
      <c r="D19" s="2020"/>
      <c r="E19" s="2020"/>
      <c r="F19" s="2020"/>
      <c r="G19" s="2020"/>
      <c r="H19" s="2018"/>
      <c r="I19" s="30"/>
      <c r="J19" s="99"/>
      <c r="K19" s="40"/>
      <c r="L19" s="38"/>
      <c r="M19" s="112" t="s">
        <v>333</v>
      </c>
      <c r="P19" s="27"/>
      <c r="Q19" s="27"/>
      <c r="R19" s="27"/>
      <c r="S19" s="31"/>
      <c r="T19" s="2019" t="s">
        <v>2176</v>
      </c>
      <c r="U19" s="2017"/>
      <c r="V19" s="2017"/>
      <c r="W19" s="2018"/>
      <c r="X19" s="2034" t="s">
        <v>2109</v>
      </c>
      <c r="Y19" s="2035"/>
      <c r="Z19" s="2032">
        <v>60050</v>
      </c>
      <c r="AA19" s="203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6" t="s">
        <v>2102</v>
      </c>
      <c r="B21" s="2017"/>
      <c r="C21" s="2017"/>
      <c r="D21" s="2017"/>
      <c r="E21" s="2017"/>
      <c r="F21" s="2017"/>
      <c r="G21" s="2017"/>
      <c r="H21" s="2018"/>
      <c r="I21" s="2042" t="s">
        <v>699</v>
      </c>
      <c r="J21" s="2005"/>
      <c r="K21" s="2005"/>
      <c r="L21" s="2005"/>
      <c r="M21" s="2005"/>
      <c r="N21" s="2005"/>
      <c r="O21" s="2005"/>
      <c r="P21" s="2005"/>
      <c r="Q21" s="2005"/>
      <c r="R21" s="2005"/>
      <c r="S21" s="2006"/>
      <c r="T21" s="1984" t="s">
        <v>2108</v>
      </c>
      <c r="U21" s="1985"/>
      <c r="V21" s="1985"/>
      <c r="W21" s="1985"/>
      <c r="X21" s="1998" t="s">
        <v>2110</v>
      </c>
      <c r="Y21" s="1999"/>
      <c r="Z21" s="1999"/>
      <c r="AA21" s="2000"/>
    </row>
    <row r="22" spans="1:27" ht="13.5" customHeight="1" x14ac:dyDescent="0.2">
      <c r="A22" s="87" t="s">
        <v>552</v>
      </c>
      <c r="B22" s="59"/>
      <c r="C22" s="59"/>
      <c r="D22" s="59"/>
      <c r="E22" s="59"/>
      <c r="F22" s="59"/>
      <c r="G22" s="59"/>
      <c r="H22" s="60"/>
      <c r="I22" s="2043" t="s">
        <v>1504</v>
      </c>
      <c r="J22" s="2044"/>
      <c r="K22" s="2044"/>
      <c r="L22" s="2044"/>
      <c r="M22" s="2044"/>
      <c r="N22" s="2044"/>
      <c r="O22" s="2044"/>
      <c r="P22" s="2044"/>
      <c r="Q22" s="2044"/>
      <c r="R22" s="2044"/>
      <c r="S22" s="2045"/>
      <c r="T22" s="85" t="s">
        <v>1596</v>
      </c>
      <c r="U22" s="51"/>
      <c r="V22" s="72"/>
      <c r="W22" s="51"/>
      <c r="X22" s="160" t="s">
        <v>1385</v>
      </c>
      <c r="Z22" s="45"/>
      <c r="AA22" s="46"/>
    </row>
    <row r="23" spans="1:27" ht="13.5" customHeight="1" x14ac:dyDescent="0.2">
      <c r="A23" s="2039" t="s">
        <v>2103</v>
      </c>
      <c r="B23" s="2040"/>
      <c r="C23" s="2040"/>
      <c r="D23" s="2040"/>
      <c r="E23" s="2040"/>
      <c r="F23" s="2040"/>
      <c r="G23" s="2040"/>
      <c r="H23" s="2041"/>
      <c r="T23" s="1979" t="s">
        <v>2111</v>
      </c>
      <c r="U23" s="1980"/>
      <c r="V23" s="1980"/>
      <c r="W23" s="1980"/>
      <c r="X23" s="1995">
        <v>43434</v>
      </c>
      <c r="Y23" s="1996"/>
      <c r="Z23" s="1996"/>
      <c r="AA23" s="1997"/>
    </row>
    <row r="24" spans="1:27" ht="14.1" customHeight="1" x14ac:dyDescent="0.2">
      <c r="A24" s="88" t="s">
        <v>698</v>
      </c>
      <c r="B24" s="49"/>
      <c r="C24" s="49"/>
      <c r="D24" s="49"/>
      <c r="E24" s="49"/>
      <c r="F24" s="49"/>
      <c r="G24" s="49"/>
      <c r="H24" s="61"/>
      <c r="J24" s="2081">
        <f>IF(B5="x",IF(AUDITCHECK!D29="AFR form Incomplete.","",IF(AUDITCHECK!D29="Deficit reduction plan is required.","School District must complete a deficit reduction plan in the 2018-2019 Budget",)),"")</f>
        <v>0</v>
      </c>
      <c r="K24" s="2081"/>
      <c r="L24" s="2081"/>
      <c r="M24" s="2081"/>
      <c r="N24" s="2081"/>
      <c r="O24" s="2081"/>
      <c r="P24" s="2081"/>
      <c r="Q24" s="2081"/>
      <c r="R24" s="2081"/>
      <c r="S24" s="2082"/>
      <c r="T24" s="105" t="s">
        <v>552</v>
      </c>
      <c r="U24" s="106"/>
      <c r="V24" s="106"/>
      <c r="W24" s="106"/>
      <c r="X24" s="107"/>
      <c r="Y24" s="107"/>
      <c r="Z24" s="107"/>
      <c r="AA24" s="108"/>
    </row>
    <row r="25" spans="1:27" ht="14.1" customHeight="1" x14ac:dyDescent="0.2">
      <c r="A25" s="2016">
        <v>60712</v>
      </c>
      <c r="B25" s="2017"/>
      <c r="C25" s="2017"/>
      <c r="D25" s="2017"/>
      <c r="E25" s="2017"/>
      <c r="F25" s="2017"/>
      <c r="G25" s="2017"/>
      <c r="H25" s="2018"/>
      <c r="I25" s="113"/>
      <c r="J25" s="2083"/>
      <c r="K25" s="2083"/>
      <c r="L25" s="2083"/>
      <c r="M25" s="2083"/>
      <c r="N25" s="2083"/>
      <c r="O25" s="2083"/>
      <c r="P25" s="2083"/>
      <c r="Q25" s="2083"/>
      <c r="R25" s="2083"/>
      <c r="S25" s="2084"/>
      <c r="T25" s="1976" t="s">
        <v>2112</v>
      </c>
      <c r="U25" s="1977"/>
      <c r="V25" s="1977"/>
      <c r="W25" s="1977"/>
      <c r="X25" s="1977"/>
      <c r="Y25" s="1977"/>
      <c r="Z25" s="1977"/>
      <c r="AA25" s="197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4" t="s">
        <v>1591</v>
      </c>
      <c r="J27" s="2047"/>
      <c r="K27" s="2047"/>
      <c r="L27" s="2047"/>
      <c r="M27" s="2047"/>
      <c r="N27" s="2047"/>
      <c r="O27" s="2047"/>
      <c r="P27" s="2047"/>
      <c r="Q27" s="2047"/>
      <c r="R27" s="2047"/>
      <c r="S27" s="204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2104</v>
      </c>
      <c r="F29" s="141" t="s">
        <v>1383</v>
      </c>
      <c r="G29" s="114"/>
      <c r="I29" s="54"/>
      <c r="J29" s="1954" t="s">
        <v>2104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954" t="s">
        <v>2104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954" t="s">
        <v>2104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0"/>
      <c r="Q35" s="2017"/>
      <c r="R35" s="201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9"/>
      <c r="B38" s="2049"/>
      <c r="C38" s="2049"/>
      <c r="D38" s="2049"/>
      <c r="E38" s="2049"/>
      <c r="F38" s="2017"/>
      <c r="G38" s="2017"/>
      <c r="H38" s="2018"/>
      <c r="I38" s="2068"/>
      <c r="J38" s="1988"/>
      <c r="K38" s="1988"/>
      <c r="L38" s="1988"/>
      <c r="M38" s="1988"/>
      <c r="N38" s="1988"/>
      <c r="O38" s="1988"/>
      <c r="P38" s="1989"/>
      <c r="Q38" s="1989"/>
      <c r="R38" s="1989"/>
      <c r="S38" s="1990"/>
      <c r="T38" s="1987"/>
      <c r="U38" s="1988"/>
      <c r="V38" s="1988"/>
      <c r="W38" s="1988"/>
      <c r="X38" s="1989"/>
      <c r="Y38" s="1989"/>
      <c r="Z38" s="1989"/>
      <c r="AA38" s="1990"/>
    </row>
    <row r="39" spans="1:27" ht="12" customHeight="1" x14ac:dyDescent="0.2">
      <c r="A39" s="2072" t="s">
        <v>552</v>
      </c>
      <c r="B39" s="2073"/>
      <c r="C39" s="72"/>
      <c r="D39" s="69"/>
      <c r="E39" s="69"/>
      <c r="F39" s="79"/>
      <c r="G39" s="69"/>
      <c r="H39" s="56"/>
      <c r="I39" s="2072" t="s">
        <v>552</v>
      </c>
      <c r="J39" s="2073"/>
      <c r="K39" s="2073"/>
      <c r="L39" s="2073"/>
      <c r="M39" s="2073"/>
      <c r="N39" s="67"/>
      <c r="O39" s="72"/>
      <c r="P39" s="72"/>
      <c r="Q39" s="78"/>
      <c r="R39" s="72"/>
      <c r="S39" s="56"/>
      <c r="T39" s="72" t="s">
        <v>552</v>
      </c>
      <c r="U39" s="51"/>
      <c r="V39" s="72"/>
      <c r="W39" s="50"/>
      <c r="X39" s="78"/>
      <c r="Y39" s="45"/>
      <c r="Z39" s="45"/>
      <c r="AA39" s="46"/>
    </row>
    <row r="40" spans="1:27" ht="13.5" customHeight="1" x14ac:dyDescent="0.2">
      <c r="A40" s="2075"/>
      <c r="B40" s="2076"/>
      <c r="C40" s="2077"/>
      <c r="D40" s="2077"/>
      <c r="E40" s="2077"/>
      <c r="F40" s="2078"/>
      <c r="G40" s="2078"/>
      <c r="H40" s="2079"/>
      <c r="I40" s="1991"/>
      <c r="J40" s="1993"/>
      <c r="K40" s="1993"/>
      <c r="L40" s="1993"/>
      <c r="M40" s="1993"/>
      <c r="N40" s="1993"/>
      <c r="O40" s="1993"/>
      <c r="P40" s="1993"/>
      <c r="Q40" s="1993"/>
      <c r="R40" s="1993"/>
      <c r="S40" s="1994"/>
      <c r="T40" s="1991"/>
      <c r="U40" s="1992"/>
      <c r="V40" s="1993"/>
      <c r="W40" s="1993"/>
      <c r="X40" s="1993"/>
      <c r="Y40" s="1993"/>
      <c r="Z40" s="1993"/>
      <c r="AA40" s="199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5"/>
      <c r="B42" s="2066"/>
      <c r="C42" s="2067"/>
      <c r="D42" s="2080"/>
      <c r="E42" s="2066"/>
      <c r="F42" s="2066"/>
      <c r="G42" s="2066"/>
      <c r="H42" s="2067"/>
      <c r="I42" s="1986"/>
      <c r="J42" s="1982"/>
      <c r="K42" s="1982"/>
      <c r="L42" s="1982"/>
      <c r="M42" s="1982"/>
      <c r="N42" s="1982"/>
      <c r="O42" s="1983"/>
      <c r="P42" s="1981"/>
      <c r="Q42" s="1982"/>
      <c r="R42" s="1982"/>
      <c r="S42" s="1983"/>
      <c r="T42" s="1986"/>
      <c r="U42" s="1982"/>
      <c r="V42" s="1982"/>
      <c r="W42" s="1983"/>
      <c r="X42" s="1981"/>
      <c r="Y42" s="1982"/>
      <c r="Z42" s="1982"/>
      <c r="AA42" s="198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election activeCell="B18" sqref="B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8" t="s">
        <v>106</v>
      </c>
    </row>
    <row r="2" spans="1:6" ht="39.75" customHeight="1" x14ac:dyDescent="0.2">
      <c r="A2" s="2218" t="s">
        <v>1902</v>
      </c>
      <c r="B2" s="1542" t="s">
        <v>2034</v>
      </c>
      <c r="C2" s="715" t="s">
        <v>1907</v>
      </c>
      <c r="D2" s="715" t="s">
        <v>1908</v>
      </c>
      <c r="E2" s="715" t="s">
        <v>1909</v>
      </c>
      <c r="F2" s="715" t="s">
        <v>1910</v>
      </c>
    </row>
    <row r="3" spans="1:6" ht="12" customHeight="1" x14ac:dyDescent="0.2">
      <c r="A3" s="2219"/>
      <c r="B3" s="1539"/>
      <c r="C3" s="1540"/>
      <c r="D3" s="1541" t="s">
        <v>274</v>
      </c>
      <c r="E3" s="1540"/>
      <c r="F3" s="1541" t="s">
        <v>275</v>
      </c>
    </row>
    <row r="4" spans="1:6" ht="13.7" customHeight="1" x14ac:dyDescent="0.2">
      <c r="A4" s="716" t="s">
        <v>1217</v>
      </c>
      <c r="B4" s="1763">
        <v>33830987</v>
      </c>
      <c r="C4" s="1538">
        <v>17576136</v>
      </c>
      <c r="D4" s="1766">
        <f>B4-C4</f>
        <v>16254851</v>
      </c>
      <c r="E4" s="1538">
        <v>33603106</v>
      </c>
      <c r="F4" s="1766">
        <f>E4-C4</f>
        <v>16026970</v>
      </c>
    </row>
    <row r="5" spans="1:6" ht="13.7" customHeight="1" x14ac:dyDescent="0.2">
      <c r="A5" s="716" t="s">
        <v>925</v>
      </c>
      <c r="B5" s="1764">
        <v>5329555</v>
      </c>
      <c r="C5" s="585">
        <v>2787246</v>
      </c>
      <c r="D5" s="1767">
        <f t="shared" ref="D5:D18" si="0">B5-C5</f>
        <v>2542309</v>
      </c>
      <c r="E5" s="585">
        <v>5328823</v>
      </c>
      <c r="F5" s="1767">
        <f>E5-C5</f>
        <v>2541577</v>
      </c>
    </row>
    <row r="6" spans="1:6" ht="13.7" customHeight="1" x14ac:dyDescent="0.2">
      <c r="A6" s="716" t="s">
        <v>431</v>
      </c>
      <c r="B6" s="1764">
        <v>6122114</v>
      </c>
      <c r="C6" s="585">
        <f>2655144+495656</f>
        <v>3150800</v>
      </c>
      <c r="D6" s="1767">
        <f t="shared" si="0"/>
        <v>2971314</v>
      </c>
      <c r="E6" s="585">
        <f>5076263+947625</f>
        <v>6023888</v>
      </c>
      <c r="F6" s="1767">
        <f t="shared" ref="F6:F18" si="1">E6-C6</f>
        <v>2873088</v>
      </c>
    </row>
    <row r="7" spans="1:6" ht="13.7" customHeight="1" x14ac:dyDescent="0.2">
      <c r="A7" s="716" t="s">
        <v>157</v>
      </c>
      <c r="B7" s="1764">
        <v>1837606</v>
      </c>
      <c r="C7" s="585">
        <v>942183</v>
      </c>
      <c r="D7" s="1767">
        <f t="shared" si="0"/>
        <v>895423</v>
      </c>
      <c r="E7" s="585">
        <v>1801322</v>
      </c>
      <c r="F7" s="1767">
        <f t="shared" si="1"/>
        <v>859139</v>
      </c>
    </row>
    <row r="8" spans="1:6" ht="13.7" customHeight="1" x14ac:dyDescent="0.2">
      <c r="A8" s="716" t="s">
        <v>1241</v>
      </c>
      <c r="B8" s="1764">
        <v>723547</v>
      </c>
      <c r="C8" s="585">
        <v>372288</v>
      </c>
      <c r="D8" s="1767">
        <f t="shared" si="0"/>
        <v>351259</v>
      </c>
      <c r="E8" s="585">
        <v>711762</v>
      </c>
      <c r="F8" s="1767">
        <f t="shared" si="1"/>
        <v>339474</v>
      </c>
    </row>
    <row r="9" spans="1:6" ht="13.7" customHeight="1" x14ac:dyDescent="0.2">
      <c r="A9" s="716" t="s">
        <v>428</v>
      </c>
      <c r="B9" s="1764">
        <f>'Revenues 9-14'!H5</f>
        <v>0</v>
      </c>
      <c r="C9" s="585"/>
      <c r="D9" s="1767">
        <f t="shared" si="0"/>
        <v>0</v>
      </c>
      <c r="E9" s="585"/>
      <c r="F9" s="1767">
        <f t="shared" si="1"/>
        <v>0</v>
      </c>
    </row>
    <row r="10" spans="1:6" ht="13.7" customHeight="1" x14ac:dyDescent="0.2">
      <c r="A10" s="716" t="s">
        <v>427</v>
      </c>
      <c r="B10" s="1764">
        <f>'Revenues 9-14'!I5</f>
        <v>0</v>
      </c>
      <c r="C10" s="585"/>
      <c r="D10" s="1767">
        <f t="shared" si="0"/>
        <v>0</v>
      </c>
      <c r="E10" s="585"/>
      <c r="F10" s="1767">
        <f t="shared" si="1"/>
        <v>0</v>
      </c>
    </row>
    <row r="11" spans="1:6" x14ac:dyDescent="0.2">
      <c r="A11" s="716" t="s">
        <v>429</v>
      </c>
      <c r="B11" s="1764">
        <f>'Revenues 9-14'!J5</f>
        <v>0</v>
      </c>
      <c r="C11" s="585"/>
      <c r="D11" s="1767">
        <f t="shared" si="0"/>
        <v>0</v>
      </c>
      <c r="E11" s="585"/>
      <c r="F11" s="1767">
        <f t="shared" si="1"/>
        <v>0</v>
      </c>
    </row>
    <row r="12" spans="1:6" ht="13.7" customHeight="1" x14ac:dyDescent="0.2">
      <c r="A12" s="716" t="s">
        <v>159</v>
      </c>
      <c r="B12" s="1764">
        <f>'Revenues 9-14'!K5</f>
        <v>0</v>
      </c>
      <c r="C12" s="585"/>
      <c r="D12" s="1767">
        <f t="shared" si="0"/>
        <v>0</v>
      </c>
      <c r="E12" s="585"/>
      <c r="F12" s="1767">
        <f t="shared" si="1"/>
        <v>0</v>
      </c>
    </row>
    <row r="13" spans="1:6" ht="13.7" customHeight="1" x14ac:dyDescent="0.2">
      <c r="A13" s="716" t="s">
        <v>993</v>
      </c>
      <c r="B13" s="1764">
        <f>SUM('Revenues 9-14'!C6:D6)</f>
        <v>0</v>
      </c>
      <c r="C13" s="585"/>
      <c r="D13" s="1767">
        <f t="shared" si="0"/>
        <v>0</v>
      </c>
      <c r="E13" s="585"/>
      <c r="F13" s="1767">
        <f t="shared" si="1"/>
        <v>0</v>
      </c>
    </row>
    <row r="14" spans="1:6" ht="13.7" customHeight="1" x14ac:dyDescent="0.2">
      <c r="A14" s="716" t="s">
        <v>430</v>
      </c>
      <c r="B14" s="1764">
        <v>778060</v>
      </c>
      <c r="C14" s="585">
        <v>442160</v>
      </c>
      <c r="D14" s="1767">
        <f t="shared" si="0"/>
        <v>335900</v>
      </c>
      <c r="E14" s="585">
        <v>845348</v>
      </c>
      <c r="F14" s="1767">
        <f t="shared" si="1"/>
        <v>403188</v>
      </c>
    </row>
    <row r="15" spans="1:6" ht="13.7" customHeight="1" x14ac:dyDescent="0.2">
      <c r="A15" s="716" t="s">
        <v>1220</v>
      </c>
      <c r="B15" s="1764">
        <f>'Revenues 9-14'!E9</f>
        <v>0</v>
      </c>
      <c r="C15" s="585"/>
      <c r="D15" s="1767">
        <f t="shared" si="0"/>
        <v>0</v>
      </c>
      <c r="E15" s="585"/>
      <c r="F15" s="1767">
        <f t="shared" si="1"/>
        <v>0</v>
      </c>
    </row>
    <row r="16" spans="1:6" ht="13.7" customHeight="1" x14ac:dyDescent="0.2">
      <c r="A16" s="716" t="s">
        <v>1221</v>
      </c>
      <c r="B16" s="1764">
        <v>725598</v>
      </c>
      <c r="C16" s="585">
        <v>373379</v>
      </c>
      <c r="D16" s="1767">
        <f t="shared" si="0"/>
        <v>352219</v>
      </c>
      <c r="E16" s="585">
        <v>713849</v>
      </c>
      <c r="F16" s="1767">
        <f t="shared" si="1"/>
        <v>340470</v>
      </c>
    </row>
    <row r="17" spans="1:6" ht="13.7" customHeight="1" x14ac:dyDescent="0.2">
      <c r="A17" s="716" t="s">
        <v>1222</v>
      </c>
      <c r="B17" s="1764">
        <f>'Revenues 9-14'!C10</f>
        <v>0</v>
      </c>
      <c r="C17" s="585"/>
      <c r="D17" s="1767">
        <f t="shared" si="0"/>
        <v>0</v>
      </c>
      <c r="E17" s="585"/>
      <c r="F17" s="1767">
        <f t="shared" si="1"/>
        <v>0</v>
      </c>
    </row>
    <row r="18" spans="1:6" ht="13.7" customHeight="1" x14ac:dyDescent="0.2">
      <c r="A18" s="716" t="s">
        <v>786</v>
      </c>
      <c r="B18" s="1764">
        <f>SUM('Revenues 9-14'!C11:K11)</f>
        <v>0</v>
      </c>
      <c r="C18" s="585"/>
      <c r="D18" s="1767">
        <f t="shared" si="0"/>
        <v>0</v>
      </c>
      <c r="E18" s="585"/>
      <c r="F18" s="1767">
        <f t="shared" si="1"/>
        <v>0</v>
      </c>
    </row>
    <row r="19" spans="1:6" ht="13.7" customHeight="1" thickBot="1" x14ac:dyDescent="0.25">
      <c r="A19" s="1768" t="s">
        <v>1223</v>
      </c>
      <c r="B19" s="1765">
        <f>SUM(B4:B18)</f>
        <v>49347467</v>
      </c>
      <c r="C19" s="1765">
        <f>SUM(C4:C18)</f>
        <v>25644192</v>
      </c>
      <c r="D19" s="1765">
        <f>SUM(D4:D18)</f>
        <v>23703275</v>
      </c>
      <c r="E19" s="1765">
        <f>SUM(E4:E18)</f>
        <v>49028098</v>
      </c>
      <c r="F19" s="1765">
        <f>SUM(F4:F18)</f>
        <v>23383906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topLeftCell="A22" colorId="8" zoomScale="110" zoomScaleNormal="110" workbookViewId="0">
      <selection activeCell="J37" sqref="J36:J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5"/>
      <c r="C1" s="722"/>
    </row>
    <row r="2" spans="1:7" ht="33.75" x14ac:dyDescent="0.2">
      <c r="A2" s="2233" t="s">
        <v>1902</v>
      </c>
      <c r="B2" s="2234"/>
      <c r="C2" s="1899" t="s">
        <v>2035</v>
      </c>
      <c r="D2" s="724" t="s">
        <v>2042</v>
      </c>
      <c r="E2" s="724" t="s">
        <v>2043</v>
      </c>
      <c r="F2" s="1899" t="s">
        <v>2036</v>
      </c>
    </row>
    <row r="3" spans="1:7" ht="15.75" customHeight="1" x14ac:dyDescent="0.2">
      <c r="A3" s="2237" t="s">
        <v>1176</v>
      </c>
      <c r="B3" s="2238"/>
      <c r="C3" s="2226"/>
      <c r="D3" s="2227"/>
      <c r="E3" s="2227"/>
      <c r="F3" s="2228"/>
    </row>
    <row r="4" spans="1:7" ht="12.75" customHeight="1" thickBot="1" x14ac:dyDescent="0.25">
      <c r="A4" s="2235" t="s">
        <v>651</v>
      </c>
      <c r="B4" s="2236"/>
      <c r="C4" s="581"/>
      <c r="D4" s="581"/>
      <c r="E4" s="581"/>
      <c r="F4" s="1769">
        <f>SUM(C4+D4)-E4</f>
        <v>0</v>
      </c>
    </row>
    <row r="5" spans="1:7" ht="15.75" customHeight="1" thickTop="1" x14ac:dyDescent="0.2">
      <c r="A5" s="2220" t="s">
        <v>1172</v>
      </c>
      <c r="B5" s="2221"/>
      <c r="C5" s="2229"/>
      <c r="D5" s="2230"/>
      <c r="E5" s="2230"/>
      <c r="F5" s="2231"/>
    </row>
    <row r="6" spans="1:7" ht="12.75" customHeight="1" thickBot="1" x14ac:dyDescent="0.25">
      <c r="A6" s="725" t="s">
        <v>66</v>
      </c>
      <c r="B6" s="726"/>
      <c r="C6" s="727"/>
      <c r="D6" s="585"/>
      <c r="E6" s="727"/>
      <c r="F6" s="1769">
        <f t="shared" ref="F6:F14" si="0">SUM(C6+D6)-E6</f>
        <v>0</v>
      </c>
    </row>
    <row r="7" spans="1:7" ht="12.75" customHeight="1" thickTop="1" thickBot="1" x14ac:dyDescent="0.25">
      <c r="A7" s="725" t="s">
        <v>6</v>
      </c>
      <c r="B7" s="726"/>
      <c r="C7" s="727"/>
      <c r="D7" s="585"/>
      <c r="E7" s="727"/>
      <c r="F7" s="1769">
        <f t="shared" si="0"/>
        <v>0</v>
      </c>
    </row>
    <row r="8" spans="1:7" ht="12.75" customHeight="1" thickTop="1" thickBot="1" x14ac:dyDescent="0.25">
      <c r="A8" s="725" t="s">
        <v>529</v>
      </c>
      <c r="B8" s="726"/>
      <c r="C8" s="727"/>
      <c r="D8" s="585"/>
      <c r="E8" s="727"/>
      <c r="F8" s="1769">
        <f t="shared" si="0"/>
        <v>0</v>
      </c>
    </row>
    <row r="9" spans="1:7" ht="12.75" customHeight="1" thickTop="1" thickBot="1" x14ac:dyDescent="0.25">
      <c r="A9" s="725" t="s">
        <v>530</v>
      </c>
      <c r="B9" s="726"/>
      <c r="C9" s="727"/>
      <c r="D9" s="585"/>
      <c r="E9" s="727"/>
      <c r="F9" s="1769">
        <f t="shared" si="0"/>
        <v>0</v>
      </c>
    </row>
    <row r="10" spans="1:7" ht="12.75" customHeight="1" thickTop="1" thickBot="1" x14ac:dyDescent="0.25">
      <c r="A10" s="725" t="s">
        <v>531</v>
      </c>
      <c r="B10" s="726"/>
      <c r="C10" s="727"/>
      <c r="D10" s="585"/>
      <c r="E10" s="727"/>
      <c r="F10" s="1769">
        <f t="shared" si="0"/>
        <v>0</v>
      </c>
    </row>
    <row r="11" spans="1:7" ht="12.75" customHeight="1" thickTop="1" thickBot="1" x14ac:dyDescent="0.25">
      <c r="A11" s="725" t="s">
        <v>359</v>
      </c>
      <c r="B11" s="726"/>
      <c r="C11" s="727"/>
      <c r="D11" s="585"/>
      <c r="E11" s="727"/>
      <c r="F11" s="1769">
        <f t="shared" si="0"/>
        <v>0</v>
      </c>
    </row>
    <row r="12" spans="1:7" ht="12.75" customHeight="1" thickTop="1" thickBot="1" x14ac:dyDescent="0.25">
      <c r="A12" s="725" t="s">
        <v>1219</v>
      </c>
      <c r="B12" s="726"/>
      <c r="C12" s="727"/>
      <c r="D12" s="585"/>
      <c r="E12" s="727"/>
      <c r="F12" s="1769">
        <f t="shared" si="0"/>
        <v>0</v>
      </c>
    </row>
    <row r="13" spans="1:7" ht="12.75" customHeight="1" thickTop="1" thickBot="1" x14ac:dyDescent="0.25">
      <c r="A13" s="725" t="s">
        <v>406</v>
      </c>
      <c r="B13" s="726"/>
      <c r="C13" s="727"/>
      <c r="D13" s="585"/>
      <c r="E13" s="727"/>
      <c r="F13" s="1769">
        <f t="shared" si="0"/>
        <v>0</v>
      </c>
    </row>
    <row r="14" spans="1:7" ht="12.75" customHeight="1" thickTop="1" thickBot="1" x14ac:dyDescent="0.25">
      <c r="A14" s="725" t="s">
        <v>468</v>
      </c>
      <c r="B14" s="726"/>
      <c r="C14" s="727"/>
      <c r="D14" s="585"/>
      <c r="E14" s="727"/>
      <c r="F14" s="1769">
        <f t="shared" si="0"/>
        <v>0</v>
      </c>
    </row>
    <row r="15" spans="1:7" ht="14.25" thickTop="1" thickBot="1" x14ac:dyDescent="0.25">
      <c r="A15" s="2222" t="s">
        <v>652</v>
      </c>
      <c r="B15" s="2223"/>
      <c r="C15" s="1769">
        <f>SUM(C6:C14)</f>
        <v>0</v>
      </c>
      <c r="D15" s="1769">
        <f>SUM(D6:D14)</f>
        <v>0</v>
      </c>
      <c r="E15" s="1769">
        <f>SUM(E6:E14)</f>
        <v>0</v>
      </c>
      <c r="F15" s="1769">
        <f>SUM(F6:F14)</f>
        <v>0</v>
      </c>
      <c r="G15" s="552"/>
    </row>
    <row r="16" spans="1:7" s="202" customFormat="1" ht="15.75" customHeight="1" thickTop="1" x14ac:dyDescent="0.2">
      <c r="A16" s="2232" t="s">
        <v>1173</v>
      </c>
      <c r="B16" s="2221"/>
      <c r="C16" s="2229"/>
      <c r="D16" s="2230"/>
      <c r="E16" s="2230"/>
      <c r="F16" s="2231"/>
    </row>
    <row r="17" spans="1:11" ht="12.75" customHeight="1" thickBot="1" x14ac:dyDescent="0.25">
      <c r="A17" s="2245" t="s">
        <v>66</v>
      </c>
      <c r="B17" s="2246"/>
      <c r="C17" s="727"/>
      <c r="D17" s="585"/>
      <c r="E17" s="727"/>
      <c r="F17" s="1769">
        <f>SUM(C17+D17)-E17</f>
        <v>0</v>
      </c>
    </row>
    <row r="18" spans="1:11" ht="12.75" customHeight="1" thickTop="1" thickBot="1" x14ac:dyDescent="0.25">
      <c r="A18" s="2245" t="s">
        <v>6</v>
      </c>
      <c r="B18" s="2246"/>
      <c r="C18" s="727"/>
      <c r="D18" s="585"/>
      <c r="E18" s="727"/>
      <c r="F18" s="1769">
        <f>SUM(C18+D18)-E18</f>
        <v>0</v>
      </c>
    </row>
    <row r="19" spans="1:11" ht="12.75" customHeight="1" thickTop="1" thickBot="1" x14ac:dyDescent="0.25">
      <c r="A19" s="2245" t="s">
        <v>406</v>
      </c>
      <c r="B19" s="2246"/>
      <c r="C19" s="727"/>
      <c r="D19" s="585"/>
      <c r="E19" s="727"/>
      <c r="F19" s="1769">
        <f>SUM(C19+D19)-E19</f>
        <v>0</v>
      </c>
    </row>
    <row r="20" spans="1:11" ht="12.75" customHeight="1" thickTop="1" thickBot="1" x14ac:dyDescent="0.25">
      <c r="A20" s="2245" t="s">
        <v>468</v>
      </c>
      <c r="B20" s="2246"/>
      <c r="C20" s="727"/>
      <c r="D20" s="585"/>
      <c r="E20" s="727"/>
      <c r="F20" s="1769">
        <f>SUM(C20+D20)-E20</f>
        <v>0</v>
      </c>
    </row>
    <row r="21" spans="1:11" ht="14.25" thickTop="1" thickBot="1" x14ac:dyDescent="0.25">
      <c r="A21" s="2222" t="s">
        <v>653</v>
      </c>
      <c r="B21" s="2223"/>
      <c r="C21" s="1769">
        <f>SUM(C17:C20)</f>
        <v>0</v>
      </c>
      <c r="D21" s="1769">
        <f>SUM(D17:D20)</f>
        <v>0</v>
      </c>
      <c r="E21" s="1769">
        <f>SUM(E17:E20)</f>
        <v>0</v>
      </c>
      <c r="F21" s="1769">
        <f>SUM(F17:F20)</f>
        <v>0</v>
      </c>
      <c r="G21" s="552"/>
    </row>
    <row r="22" spans="1:11" ht="15.75" customHeight="1" thickTop="1" x14ac:dyDescent="0.2">
      <c r="A22" s="2247" t="s">
        <v>1174</v>
      </c>
      <c r="B22" s="2221"/>
      <c r="C22" s="2229"/>
      <c r="D22" s="2230"/>
      <c r="E22" s="2230"/>
      <c r="F22" s="2231"/>
    </row>
    <row r="23" spans="1:11" ht="13.5" thickBot="1" x14ac:dyDescent="0.25">
      <c r="A23" s="2235" t="s">
        <v>654</v>
      </c>
      <c r="B23" s="2236"/>
      <c r="C23" s="581"/>
      <c r="D23" s="581"/>
      <c r="E23" s="581"/>
      <c r="F23" s="1769">
        <f>SUM(C23+D23)-E23</f>
        <v>0</v>
      </c>
      <c r="G23" s="552"/>
    </row>
    <row r="24" spans="1:11" ht="15.75" customHeight="1" thickTop="1" x14ac:dyDescent="0.2">
      <c r="A24" s="2247" t="s">
        <v>1175</v>
      </c>
      <c r="B24" s="2221"/>
      <c r="C24" s="2229"/>
      <c r="D24" s="2230"/>
      <c r="E24" s="2230"/>
      <c r="F24" s="2231"/>
    </row>
    <row r="25" spans="1:11" ht="13.5" thickBot="1" x14ac:dyDescent="0.25">
      <c r="A25" s="2235" t="s">
        <v>655</v>
      </c>
      <c r="B25" s="2236"/>
      <c r="C25" s="581"/>
      <c r="D25" s="581"/>
      <c r="E25" s="581"/>
      <c r="F25" s="1769">
        <f>SUM(C25+D25)-E25</f>
        <v>0</v>
      </c>
      <c r="G25" s="552"/>
    </row>
    <row r="26" spans="1:11" ht="15.75" customHeight="1" thickTop="1" x14ac:dyDescent="0.2">
      <c r="A26" s="2220" t="s">
        <v>678</v>
      </c>
      <c r="B26" s="2221"/>
      <c r="C26" s="728"/>
      <c r="D26" s="728"/>
      <c r="E26" s="728"/>
      <c r="F26" s="729"/>
    </row>
    <row r="27" spans="1:11" ht="13.5" thickBot="1" x14ac:dyDescent="0.25">
      <c r="A27" s="2222" t="s">
        <v>1130</v>
      </c>
      <c r="B27" s="2223"/>
      <c r="C27" s="585"/>
      <c r="D27" s="585"/>
      <c r="E27" s="585"/>
      <c r="F27" s="1769">
        <f>SUM(C27+D27)-E27</f>
        <v>0</v>
      </c>
      <c r="G27" s="552"/>
    </row>
    <row r="28" spans="1:11" ht="7.5" customHeight="1" thickTop="1" x14ac:dyDescent="0.2">
      <c r="A28" s="594"/>
    </row>
    <row r="29" spans="1:11" ht="23.25" customHeight="1" x14ac:dyDescent="0.2">
      <c r="A29" s="2248" t="s">
        <v>603</v>
      </c>
      <c r="B29" s="2225"/>
      <c r="C29" s="730"/>
      <c r="D29" s="730"/>
      <c r="E29" s="730"/>
      <c r="F29" s="730"/>
      <c r="G29" s="730"/>
      <c r="H29" s="730"/>
      <c r="I29" s="730"/>
      <c r="J29" s="730"/>
    </row>
    <row r="30" spans="1:11" ht="33.75" x14ac:dyDescent="0.2">
      <c r="A30" s="1543" t="s">
        <v>1131</v>
      </c>
      <c r="B30" s="731" t="s">
        <v>1186</v>
      </c>
      <c r="C30" s="1900" t="s">
        <v>604</v>
      </c>
      <c r="D30" s="1900" t="s">
        <v>1772</v>
      </c>
      <c r="E30" s="1900" t="s">
        <v>2037</v>
      </c>
      <c r="F30" s="1900" t="s">
        <v>2038</v>
      </c>
      <c r="G30" s="1900" t="s">
        <v>2041</v>
      </c>
      <c r="H30" s="1900" t="s">
        <v>2039</v>
      </c>
      <c r="I30" s="1900" t="s">
        <v>2040</v>
      </c>
      <c r="J30" s="1901" t="s">
        <v>2</v>
      </c>
      <c r="K30" s="732"/>
    </row>
    <row r="31" spans="1:11" ht="12" customHeight="1" x14ac:dyDescent="0.2">
      <c r="A31" s="733" t="s">
        <v>2115</v>
      </c>
      <c r="B31" s="734">
        <v>40981</v>
      </c>
      <c r="C31" s="735">
        <v>27610000</v>
      </c>
      <c r="D31" s="736">
        <v>3</v>
      </c>
      <c r="E31" s="735">
        <v>22375000</v>
      </c>
      <c r="F31" s="735"/>
      <c r="G31" s="735"/>
      <c r="H31" s="735">
        <v>4130000</v>
      </c>
      <c r="I31" s="1770">
        <f>((E31+F31)-H31)+G31</f>
        <v>18245000</v>
      </c>
      <c r="J31" s="735">
        <f>18295012-1</f>
        <v>18295011</v>
      </c>
      <c r="K31" s="737"/>
    </row>
    <row r="32" spans="1:11" ht="12" customHeight="1" x14ac:dyDescent="0.2">
      <c r="A32" s="733" t="s">
        <v>2116</v>
      </c>
      <c r="B32" s="734">
        <v>42003</v>
      </c>
      <c r="C32" s="735">
        <v>1290000</v>
      </c>
      <c r="D32" s="736">
        <v>7</v>
      </c>
      <c r="E32" s="735">
        <v>780000</v>
      </c>
      <c r="F32" s="735"/>
      <c r="G32" s="735"/>
      <c r="H32" s="735">
        <v>260000</v>
      </c>
      <c r="I32" s="1770">
        <f>((E32+F32)-H32)+G32</f>
        <v>520000</v>
      </c>
      <c r="J32" s="735">
        <v>518625</v>
      </c>
      <c r="K32" s="737"/>
    </row>
    <row r="33" spans="1:11" ht="12" customHeight="1" x14ac:dyDescent="0.2">
      <c r="A33" s="733" t="s">
        <v>2117</v>
      </c>
      <c r="B33" s="734">
        <v>42628</v>
      </c>
      <c r="C33" s="735">
        <v>2375000</v>
      </c>
      <c r="D33" s="736">
        <v>7</v>
      </c>
      <c r="E33" s="735">
        <v>2375000</v>
      </c>
      <c r="F33" s="735"/>
      <c r="G33" s="735"/>
      <c r="H33" s="735">
        <v>195000</v>
      </c>
      <c r="I33" s="1770">
        <f t="shared" ref="I33:I48" si="1">((E33+F33)-H33)+G33</f>
        <v>2180000</v>
      </c>
      <c r="J33" s="735">
        <v>2180000</v>
      </c>
      <c r="K33" s="737"/>
    </row>
    <row r="34" spans="1:11" ht="12" customHeight="1" x14ac:dyDescent="0.2">
      <c r="A34" s="733" t="s">
        <v>2118</v>
      </c>
      <c r="B34" s="734">
        <v>42648</v>
      </c>
      <c r="C34" s="735">
        <v>6060000</v>
      </c>
      <c r="D34" s="736">
        <v>3</v>
      </c>
      <c r="E34" s="735">
        <v>5970000</v>
      </c>
      <c r="F34" s="735"/>
      <c r="G34" s="735"/>
      <c r="H34" s="735">
        <v>770000</v>
      </c>
      <c r="I34" s="1770">
        <f t="shared" si="1"/>
        <v>5200000</v>
      </c>
      <c r="J34" s="735">
        <v>4907864</v>
      </c>
      <c r="K34" s="738"/>
    </row>
    <row r="35" spans="1:11" ht="12" customHeight="1" x14ac:dyDescent="0.2">
      <c r="A35" s="733" t="s">
        <v>2119</v>
      </c>
      <c r="B35" s="734">
        <v>42557</v>
      </c>
      <c r="C35" s="739">
        <v>316372</v>
      </c>
      <c r="D35" s="736">
        <v>8</v>
      </c>
      <c r="E35" s="739">
        <v>273968</v>
      </c>
      <c r="F35" s="739"/>
      <c r="G35" s="739"/>
      <c r="H35" s="739">
        <v>42834</v>
      </c>
      <c r="I35" s="1770">
        <f t="shared" si="1"/>
        <v>231134</v>
      </c>
      <c r="J35" s="739">
        <v>231134</v>
      </c>
      <c r="K35" s="738"/>
    </row>
    <row r="36" spans="1:11" ht="12" customHeight="1" x14ac:dyDescent="0.2">
      <c r="A36" s="733" t="s">
        <v>2120</v>
      </c>
      <c r="B36" s="734">
        <v>42104</v>
      </c>
      <c r="C36" s="735">
        <v>384013</v>
      </c>
      <c r="D36" s="736">
        <v>8</v>
      </c>
      <c r="E36" s="735">
        <v>221242</v>
      </c>
      <c r="F36" s="735"/>
      <c r="G36" s="735"/>
      <c r="H36" s="735">
        <v>77482</v>
      </c>
      <c r="I36" s="1770">
        <f t="shared" si="1"/>
        <v>143760</v>
      </c>
      <c r="J36" s="735">
        <v>145039</v>
      </c>
      <c r="K36" s="740"/>
    </row>
    <row r="37" spans="1:11" ht="12" customHeight="1" x14ac:dyDescent="0.2">
      <c r="A37" s="733" t="s">
        <v>2120</v>
      </c>
      <c r="B37" s="734">
        <v>42354</v>
      </c>
      <c r="C37" s="467">
        <v>210474</v>
      </c>
      <c r="D37" s="741">
        <v>8</v>
      </c>
      <c r="E37" s="467">
        <v>148588</v>
      </c>
      <c r="F37" s="467"/>
      <c r="G37" s="467"/>
      <c r="H37" s="467">
        <v>41283</v>
      </c>
      <c r="I37" s="1770">
        <f t="shared" si="1"/>
        <v>107305</v>
      </c>
      <c r="J37" s="467">
        <v>108260</v>
      </c>
      <c r="K37" s="738"/>
    </row>
    <row r="38" spans="1:11" ht="12" customHeight="1" x14ac:dyDescent="0.2">
      <c r="A38" s="733"/>
      <c r="B38" s="734"/>
      <c r="C38" s="735"/>
      <c r="D38" s="742"/>
      <c r="E38" s="743"/>
      <c r="F38" s="743"/>
      <c r="G38" s="743"/>
      <c r="H38" s="743"/>
      <c r="I38" s="1770">
        <f t="shared" si="1"/>
        <v>0</v>
      </c>
      <c r="J38" s="744" t="s">
        <v>282</v>
      </c>
      <c r="K38" s="745"/>
    </row>
    <row r="39" spans="1:11" ht="12" customHeight="1" x14ac:dyDescent="0.2">
      <c r="A39" s="733"/>
      <c r="B39" s="734"/>
      <c r="C39" s="735"/>
      <c r="D39" s="742"/>
      <c r="E39" s="743"/>
      <c r="F39" s="743"/>
      <c r="G39" s="743"/>
      <c r="H39" s="743"/>
      <c r="I39" s="1770">
        <f t="shared" si="1"/>
        <v>0</v>
      </c>
      <c r="J39" s="744"/>
      <c r="K39" s="745"/>
    </row>
    <row r="40" spans="1:11" ht="12" customHeight="1" x14ac:dyDescent="0.2">
      <c r="A40" s="733"/>
      <c r="B40" s="734"/>
      <c r="C40" s="735"/>
      <c r="D40" s="742"/>
      <c r="E40" s="743"/>
      <c r="F40" s="743"/>
      <c r="G40" s="743"/>
      <c r="H40" s="743"/>
      <c r="I40" s="1770">
        <f t="shared" si="1"/>
        <v>0</v>
      </c>
      <c r="J40" s="744"/>
      <c r="K40" s="745"/>
    </row>
    <row r="41" spans="1:11" ht="12" customHeight="1" x14ac:dyDescent="0.2">
      <c r="A41" s="733"/>
      <c r="B41" s="734"/>
      <c r="C41" s="735"/>
      <c r="D41" s="742"/>
      <c r="E41" s="743"/>
      <c r="F41" s="743"/>
      <c r="G41" s="743"/>
      <c r="H41" s="743"/>
      <c r="I41" s="1770">
        <f t="shared" si="1"/>
        <v>0</v>
      </c>
      <c r="J41" s="744"/>
      <c r="K41" s="745"/>
    </row>
    <row r="42" spans="1:11" ht="12" customHeight="1" x14ac:dyDescent="0.2">
      <c r="A42" s="733"/>
      <c r="B42" s="734"/>
      <c r="C42" s="735"/>
      <c r="D42" s="742"/>
      <c r="E42" s="743"/>
      <c r="F42" s="743"/>
      <c r="G42" s="743"/>
      <c r="H42" s="743"/>
      <c r="I42" s="1770">
        <f t="shared" si="1"/>
        <v>0</v>
      </c>
      <c r="J42" s="744"/>
      <c r="K42" s="745"/>
    </row>
    <row r="43" spans="1:11" ht="12" customHeight="1" x14ac:dyDescent="0.2">
      <c r="A43" s="733"/>
      <c r="B43" s="734"/>
      <c r="C43" s="735"/>
      <c r="D43" s="742"/>
      <c r="E43" s="743"/>
      <c r="F43" s="743"/>
      <c r="G43" s="743"/>
      <c r="H43" s="743"/>
      <c r="I43" s="1770">
        <f t="shared" si="1"/>
        <v>0</v>
      </c>
      <c r="J43" s="744"/>
      <c r="K43" s="745"/>
    </row>
    <row r="44" spans="1:11" ht="12" customHeight="1" x14ac:dyDescent="0.2">
      <c r="A44" s="733"/>
      <c r="B44" s="734"/>
      <c r="C44" s="735"/>
      <c r="D44" s="736"/>
      <c r="E44" s="735"/>
      <c r="F44" s="735"/>
      <c r="G44" s="735"/>
      <c r="H44" s="735"/>
      <c r="I44" s="1770">
        <f t="shared" si="1"/>
        <v>0</v>
      </c>
      <c r="J44" s="735"/>
      <c r="K44" s="738"/>
    </row>
    <row r="45" spans="1:11" ht="12" customHeight="1" x14ac:dyDescent="0.2">
      <c r="A45" s="733"/>
      <c r="B45" s="734"/>
      <c r="C45" s="735"/>
      <c r="D45" s="736"/>
      <c r="E45" s="735"/>
      <c r="F45" s="735"/>
      <c r="G45" s="735"/>
      <c r="H45" s="735"/>
      <c r="I45" s="1770">
        <f t="shared" si="1"/>
        <v>0</v>
      </c>
      <c r="J45" s="735"/>
      <c r="K45" s="738"/>
    </row>
    <row r="46" spans="1:11" ht="12" customHeight="1" x14ac:dyDescent="0.2">
      <c r="A46" s="733"/>
      <c r="B46" s="734"/>
      <c r="C46" s="735"/>
      <c r="D46" s="736"/>
      <c r="E46" s="735"/>
      <c r="F46" s="735"/>
      <c r="G46" s="735"/>
      <c r="H46" s="735"/>
      <c r="I46" s="1770">
        <f t="shared" si="1"/>
        <v>0</v>
      </c>
      <c r="J46" s="735"/>
      <c r="K46" s="738"/>
    </row>
    <row r="47" spans="1:11" ht="12" customHeight="1" x14ac:dyDescent="0.2">
      <c r="A47" s="733"/>
      <c r="B47" s="734"/>
      <c r="C47" s="739"/>
      <c r="D47" s="736"/>
      <c r="E47" s="739"/>
      <c r="F47" s="739"/>
      <c r="G47" s="739"/>
      <c r="H47" s="739"/>
      <c r="I47" s="1770">
        <f t="shared" si="1"/>
        <v>0</v>
      </c>
      <c r="J47" s="739"/>
      <c r="K47" s="738"/>
    </row>
    <row r="48" spans="1:11" ht="12" customHeight="1" x14ac:dyDescent="0.2">
      <c r="A48" s="733"/>
      <c r="B48" s="734"/>
      <c r="C48" s="735"/>
      <c r="D48" s="736"/>
      <c r="E48" s="735"/>
      <c r="F48" s="735"/>
      <c r="G48" s="735"/>
      <c r="H48" s="735"/>
      <c r="I48" s="1770">
        <f t="shared" si="1"/>
        <v>0</v>
      </c>
      <c r="J48" s="735"/>
      <c r="K48" s="738"/>
    </row>
    <row r="49" spans="1:11" ht="12" customHeight="1" x14ac:dyDescent="0.2">
      <c r="A49" s="733"/>
      <c r="B49" s="734"/>
      <c r="C49" s="1770">
        <f>SUM(C31:C48)</f>
        <v>38245859</v>
      </c>
      <c r="D49" s="746"/>
      <c r="E49" s="1770">
        <f t="shared" ref="E49:J49" si="2">SUM(E31:E48)</f>
        <v>32143798</v>
      </c>
      <c r="F49" s="1770">
        <f t="shared" si="2"/>
        <v>0</v>
      </c>
      <c r="G49" s="1770">
        <f t="shared" si="2"/>
        <v>0</v>
      </c>
      <c r="H49" s="1770">
        <f t="shared" si="2"/>
        <v>5516599</v>
      </c>
      <c r="I49" s="1770">
        <f t="shared" si="2"/>
        <v>26627199</v>
      </c>
      <c r="J49" s="1770">
        <f t="shared" si="2"/>
        <v>26385933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39" t="s">
        <v>605</v>
      </c>
      <c r="C52" s="2240"/>
      <c r="D52" s="2240"/>
      <c r="E52" s="750" t="s">
        <v>900</v>
      </c>
      <c r="F52" s="2241" t="s">
        <v>2121</v>
      </c>
      <c r="G52" s="2242"/>
      <c r="H52" s="737"/>
      <c r="I52" s="737"/>
      <c r="J52" s="747"/>
    </row>
    <row r="53" spans="1:11" ht="11.25" customHeight="1" x14ac:dyDescent="0.2">
      <c r="A53" s="751" t="s">
        <v>969</v>
      </c>
      <c r="B53" s="752" t="s">
        <v>1008</v>
      </c>
      <c r="C53" s="747"/>
      <c r="D53" s="738"/>
      <c r="E53" s="750" t="s">
        <v>518</v>
      </c>
      <c r="F53" s="2243" t="s">
        <v>2122</v>
      </c>
      <c r="G53" s="2244"/>
      <c r="H53" s="737"/>
      <c r="I53" s="737"/>
      <c r="J53" s="747"/>
    </row>
    <row r="54" spans="1:11" ht="11.25" customHeight="1" x14ac:dyDescent="0.2">
      <c r="A54" s="753" t="s">
        <v>970</v>
      </c>
      <c r="B54" s="748" t="s">
        <v>1009</v>
      </c>
      <c r="C54" s="747"/>
      <c r="D54" s="738"/>
      <c r="E54" s="750" t="s">
        <v>519</v>
      </c>
      <c r="F54" s="2243"/>
      <c r="G54" s="224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K48"/>
  <sheetViews>
    <sheetView showGridLines="0" defaultGridColor="0" colorId="8" zoomScale="110" zoomScaleNormal="110" workbookViewId="0">
      <selection activeCell="J30" sqref="J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3" t="s">
        <v>911</v>
      </c>
      <c r="B1" s="2274"/>
      <c r="C1" s="2274"/>
      <c r="D1" s="2274"/>
      <c r="E1" s="2274"/>
      <c r="F1" s="2274"/>
      <c r="G1" s="2275"/>
      <c r="H1" s="1544"/>
      <c r="I1" s="761"/>
      <c r="J1" s="433"/>
    </row>
    <row r="2" spans="1:11" ht="26.25" x14ac:dyDescent="0.2">
      <c r="A2" s="2252" t="s">
        <v>1776</v>
      </c>
      <c r="B2" s="2253"/>
      <c r="C2" s="2253"/>
      <c r="D2" s="2253"/>
      <c r="E2" s="2254"/>
      <c r="F2" s="762" t="s">
        <v>960</v>
      </c>
      <c r="G2" s="763" t="s">
        <v>1773</v>
      </c>
      <c r="H2" s="763" t="s">
        <v>430</v>
      </c>
      <c r="I2" s="763" t="s">
        <v>1220</v>
      </c>
      <c r="J2" s="763" t="s">
        <v>1916</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40"/>
      <c r="F4" s="767"/>
      <c r="G4" s="768"/>
      <c r="H4" s="769"/>
      <c r="I4" s="768"/>
      <c r="J4" s="770"/>
      <c r="K4" s="770"/>
    </row>
    <row r="5" spans="1:11" x14ac:dyDescent="0.2">
      <c r="A5" s="2276" t="s">
        <v>1129</v>
      </c>
      <c r="B5" s="2249"/>
      <c r="C5" s="2249"/>
      <c r="D5" s="2249"/>
      <c r="E5" s="2277"/>
      <c r="F5" s="771" t="s">
        <v>903</v>
      </c>
      <c r="G5" s="772"/>
      <c r="H5" s="765">
        <v>678355</v>
      </c>
      <c r="I5" s="773"/>
      <c r="J5" s="774"/>
      <c r="K5" s="774"/>
    </row>
    <row r="6" spans="1:11" x14ac:dyDescent="0.2">
      <c r="A6" s="775" t="s">
        <v>744</v>
      </c>
      <c r="B6" s="776"/>
      <c r="C6" s="776"/>
      <c r="D6" s="776"/>
      <c r="E6" s="777"/>
      <c r="F6" s="778" t="s">
        <v>904</v>
      </c>
      <c r="G6" s="765"/>
      <c r="H6" s="765"/>
      <c r="I6" s="765"/>
      <c r="J6" s="766"/>
      <c r="K6" s="766">
        <v>84505</v>
      </c>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99615</v>
      </c>
    </row>
    <row r="10" spans="1:11" x14ac:dyDescent="0.2">
      <c r="A10" s="2276" t="s">
        <v>1917</v>
      </c>
      <c r="B10" s="2249"/>
      <c r="C10" s="2249"/>
      <c r="D10" s="2249"/>
      <c r="E10" s="2278"/>
      <c r="F10" s="784" t="s">
        <v>917</v>
      </c>
      <c r="G10" s="783"/>
      <c r="H10" s="785"/>
      <c r="I10" s="765"/>
      <c r="J10" s="766"/>
      <c r="K10" s="766"/>
    </row>
    <row r="11" spans="1:11" x14ac:dyDescent="0.2">
      <c r="A11" s="2276" t="s">
        <v>162</v>
      </c>
      <c r="B11" s="2249"/>
      <c r="C11" s="2249"/>
      <c r="D11" s="2249"/>
      <c r="E11" s="2277"/>
      <c r="F11" s="771" t="s">
        <v>907</v>
      </c>
      <c r="G11" s="772"/>
      <c r="H11" s="765"/>
      <c r="I11" s="765"/>
      <c r="J11" s="766"/>
      <c r="K11" s="774"/>
    </row>
    <row r="12" spans="1:11" ht="13.5" thickBot="1" x14ac:dyDescent="0.25">
      <c r="A12" s="2266" t="s">
        <v>961</v>
      </c>
      <c r="B12" s="2267"/>
      <c r="C12" s="2267"/>
      <c r="D12" s="2267"/>
      <c r="E12" s="2268"/>
      <c r="F12" s="1771"/>
      <c r="G12" s="1772">
        <f>SUM(G5:G11)</f>
        <v>0</v>
      </c>
      <c r="H12" s="1772">
        <f>SUM(H5:H11)</f>
        <v>678355</v>
      </c>
      <c r="I12" s="1772">
        <f>SUM(I5:I11)</f>
        <v>0</v>
      </c>
      <c r="J12" s="1772">
        <f>SUM(J5:J11)</f>
        <v>0</v>
      </c>
      <c r="K12" s="1772">
        <f>SUM(K5:K11)</f>
        <v>184120</v>
      </c>
    </row>
    <row r="13" spans="1:11" ht="13.5" thickTop="1" x14ac:dyDescent="0.2">
      <c r="A13" s="2260" t="s">
        <v>388</v>
      </c>
      <c r="B13" s="2261"/>
      <c r="C13" s="2261"/>
      <c r="D13" s="2261"/>
      <c r="E13" s="2262"/>
      <c r="F13" s="786"/>
      <c r="G13" s="787"/>
      <c r="H13" s="788"/>
      <c r="I13" s="789"/>
      <c r="J13" s="789"/>
      <c r="K13" s="789"/>
    </row>
    <row r="14" spans="1:11" x14ac:dyDescent="0.2">
      <c r="A14" s="2282" t="s">
        <v>476</v>
      </c>
      <c r="B14" s="2282"/>
      <c r="C14" s="2282"/>
      <c r="D14" s="2282"/>
      <c r="E14" s="2283"/>
      <c r="F14" s="790" t="s">
        <v>909</v>
      </c>
      <c r="G14" s="783"/>
      <c r="H14" s="765">
        <v>678355</v>
      </c>
      <c r="I14" s="772"/>
      <c r="J14" s="774"/>
      <c r="K14" s="766">
        <v>184120</v>
      </c>
    </row>
    <row r="15" spans="1:11" x14ac:dyDescent="0.2">
      <c r="A15" s="2249" t="s">
        <v>4</v>
      </c>
      <c r="B15" s="2249"/>
      <c r="C15" s="2249"/>
      <c r="D15" s="2249"/>
      <c r="E15" s="2277"/>
      <c r="F15" s="790" t="s">
        <v>910</v>
      </c>
      <c r="G15" s="772"/>
      <c r="H15" s="765"/>
      <c r="I15" s="765"/>
      <c r="J15" s="766"/>
      <c r="K15" s="766"/>
    </row>
    <row r="16" spans="1:11" x14ac:dyDescent="0.2">
      <c r="A16" s="2249" t="s">
        <v>316</v>
      </c>
      <c r="B16" s="2249"/>
      <c r="C16" s="2249"/>
      <c r="D16" s="2249"/>
      <c r="E16" s="2277"/>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63" t="s">
        <v>386</v>
      </c>
      <c r="B18" s="2264"/>
      <c r="C18" s="2264"/>
      <c r="D18" s="2264"/>
      <c r="E18" s="2265"/>
      <c r="F18" s="790" t="s">
        <v>989</v>
      </c>
      <c r="G18" s="783"/>
      <c r="H18" s="783"/>
      <c r="I18" s="783"/>
      <c r="J18" s="766"/>
      <c r="K18" s="796"/>
    </row>
    <row r="19" spans="1:11" ht="21.75" customHeight="1" x14ac:dyDescent="0.2">
      <c r="A19" s="2284" t="s">
        <v>1913</v>
      </c>
      <c r="B19" s="2284"/>
      <c r="C19" s="2284"/>
      <c r="D19" s="2284"/>
      <c r="E19" s="2285"/>
      <c r="F19" s="790" t="s">
        <v>990</v>
      </c>
      <c r="G19" s="783"/>
      <c r="H19" s="783"/>
      <c r="I19" s="783"/>
      <c r="J19" s="766"/>
      <c r="K19" s="796"/>
    </row>
    <row r="20" spans="1:11" x14ac:dyDescent="0.2">
      <c r="A20" s="2263" t="s">
        <v>1918</v>
      </c>
      <c r="B20" s="2264"/>
      <c r="C20" s="2264"/>
      <c r="D20" s="2264"/>
      <c r="E20" s="2265"/>
      <c r="F20" s="790" t="s">
        <v>991</v>
      </c>
      <c r="G20" s="783"/>
      <c r="H20" s="783"/>
      <c r="I20" s="783"/>
      <c r="J20" s="766"/>
      <c r="K20" s="796"/>
    </row>
    <row r="21" spans="1:11" ht="13.5" thickBot="1" x14ac:dyDescent="0.25">
      <c r="A21" s="2269" t="s">
        <v>659</v>
      </c>
      <c r="B21" s="2269"/>
      <c r="C21" s="2269"/>
      <c r="D21" s="2269"/>
      <c r="E21" s="2269"/>
      <c r="F21" s="1773"/>
      <c r="G21" s="793"/>
      <c r="H21" s="797"/>
      <c r="I21" s="797"/>
      <c r="J21" s="1774">
        <f>SUM(J18:J20)</f>
        <v>0</v>
      </c>
      <c r="K21" s="794"/>
    </row>
    <row r="22" spans="1:11" ht="13.5" thickTop="1" x14ac:dyDescent="0.2">
      <c r="A22" s="2249" t="s">
        <v>1919</v>
      </c>
      <c r="B22" s="2249"/>
      <c r="C22" s="2249"/>
      <c r="D22" s="2249"/>
      <c r="E22" s="2277"/>
      <c r="F22" s="790" t="s">
        <v>917</v>
      </c>
      <c r="G22" s="783"/>
      <c r="H22" s="765"/>
      <c r="I22" s="765"/>
      <c r="J22" s="798"/>
      <c r="K22" s="766"/>
    </row>
    <row r="23" spans="1:11" ht="13.5" thickBot="1" x14ac:dyDescent="0.25">
      <c r="A23" s="2270" t="s">
        <v>962</v>
      </c>
      <c r="B23" s="2269"/>
      <c r="C23" s="2269"/>
      <c r="D23" s="2269"/>
      <c r="E23" s="2269"/>
      <c r="F23" s="1775"/>
      <c r="G23" s="1772">
        <f>SUM(G14:G16,G21,G22)</f>
        <v>0</v>
      </c>
      <c r="H23" s="1772">
        <f>SUM(H14:H16,H21,H22)</f>
        <v>678355</v>
      </c>
      <c r="I23" s="1772">
        <f>SUM(I14:I16,I21,I22)</f>
        <v>0</v>
      </c>
      <c r="J23" s="1772">
        <f>SUM(J14:J16,J21,J22)</f>
        <v>0</v>
      </c>
      <c r="K23" s="1772">
        <f>SUM(K14:K16,K21,K22)</f>
        <v>184120</v>
      </c>
    </row>
    <row r="24" spans="1:11" ht="14.25" thickTop="1" thickBot="1" x14ac:dyDescent="0.25">
      <c r="A24" s="2270" t="s">
        <v>2023</v>
      </c>
      <c r="B24" s="2269"/>
      <c r="C24" s="2269"/>
      <c r="D24" s="2269"/>
      <c r="E24" s="2269"/>
      <c r="F24" s="1776"/>
      <c r="G24" s="1777">
        <f>SUM(G3,G12)-G23</f>
        <v>0</v>
      </c>
      <c r="H24" s="1777">
        <f>SUM(H3,H12)-H23</f>
        <v>0</v>
      </c>
      <c r="I24" s="1777">
        <f>SUM(I3,I12)-I23</f>
        <v>0</v>
      </c>
      <c r="J24" s="1777">
        <f>SUM(J3,J12)-J23</f>
        <v>0</v>
      </c>
      <c r="K24" s="177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5" t="s">
        <v>2033</v>
      </c>
      <c r="B28" s="1896"/>
      <c r="C28" s="1896"/>
      <c r="D28" s="1896"/>
      <c r="E28" s="189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9"/>
      <c r="I31" s="2280"/>
      <c r="J31" s="2280"/>
      <c r="K31" s="2280"/>
    </row>
    <row r="32" spans="1:11" x14ac:dyDescent="0.2">
      <c r="A32" s="810"/>
      <c r="B32" s="237"/>
      <c r="C32" s="237"/>
      <c r="D32" s="237"/>
      <c r="E32" s="806"/>
      <c r="F32" s="812" t="s">
        <v>561</v>
      </c>
      <c r="G32" s="765"/>
      <c r="H32" s="2281"/>
      <c r="I32" s="2280"/>
      <c r="J32" s="2280"/>
      <c r="K32" s="2280"/>
    </row>
    <row r="33" spans="1:11" ht="1.5" customHeight="1" x14ac:dyDescent="0.2">
      <c r="A33" s="813" t="s">
        <v>1231</v>
      </c>
      <c r="B33" s="364"/>
      <c r="C33" s="364"/>
      <c r="D33" s="364"/>
      <c r="E33" s="364"/>
      <c r="F33" s="364"/>
      <c r="G33" s="814"/>
      <c r="H33" s="2281"/>
      <c r="I33" s="2280"/>
      <c r="J33" s="2280"/>
      <c r="K33" s="228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9"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5" t="s">
        <v>1914</v>
      </c>
      <c r="B46" s="408" t="s">
        <v>1774</v>
      </c>
    </row>
    <row r="47" spans="1:11" s="824" customFormat="1" ht="12.75" customHeight="1" x14ac:dyDescent="0.2">
      <c r="A47" s="822"/>
      <c r="B47" s="823" t="s">
        <v>1775</v>
      </c>
      <c r="E47" s="823"/>
      <c r="K47" s="825"/>
    </row>
    <row r="48" spans="1:11" ht="12.75" customHeight="1" x14ac:dyDescent="0.2">
      <c r="A48" s="1546"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8" t="s">
        <v>2032</v>
      </c>
      <c r="B1" s="2289"/>
      <c r="C1" s="2290"/>
      <c r="D1" s="827"/>
      <c r="E1" s="828"/>
      <c r="F1" s="828"/>
      <c r="G1" s="829"/>
      <c r="H1" s="830"/>
      <c r="I1" s="831"/>
      <c r="J1" s="2286"/>
      <c r="K1" s="2287"/>
      <c r="L1" s="2287"/>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3" t="s">
        <v>948</v>
      </c>
      <c r="B3" s="1644">
        <v>210</v>
      </c>
      <c r="C3" s="836"/>
      <c r="D3" s="836"/>
      <c r="E3" s="836"/>
      <c r="F3" s="1774">
        <f>(C3+D3)-E3</f>
        <v>0</v>
      </c>
      <c r="G3" s="837"/>
      <c r="H3" s="836"/>
      <c r="I3" s="836"/>
      <c r="J3" s="836"/>
      <c r="K3" s="1783">
        <f>(H3+I3)-J3</f>
        <v>0</v>
      </c>
      <c r="L3" s="1783">
        <f>F3-K3</f>
        <v>0</v>
      </c>
      <c r="M3" s="835"/>
      <c r="N3" s="835"/>
    </row>
    <row r="4" spans="1:14" ht="15" customHeight="1" thickTop="1" x14ac:dyDescent="0.2">
      <c r="A4" s="1645" t="s">
        <v>160</v>
      </c>
      <c r="B4" s="1644">
        <v>220</v>
      </c>
      <c r="C4" s="782"/>
      <c r="D4" s="782"/>
      <c r="E4" s="782"/>
      <c r="F4" s="774"/>
      <c r="G4" s="838"/>
      <c r="H4" s="839"/>
      <c r="I4" s="839"/>
      <c r="J4" s="839"/>
      <c r="K4" s="840"/>
      <c r="L4" s="774"/>
    </row>
    <row r="5" spans="1:14" ht="13.5" thickBot="1" x14ac:dyDescent="0.25">
      <c r="A5" s="779" t="s">
        <v>949</v>
      </c>
      <c r="B5" s="841">
        <v>221</v>
      </c>
      <c r="C5" s="842">
        <v>558191</v>
      </c>
      <c r="D5" s="842"/>
      <c r="E5" s="842"/>
      <c r="F5" s="1774">
        <f>(C5+D5)-E5</f>
        <v>558191</v>
      </c>
      <c r="G5" s="838"/>
      <c r="H5" s="843"/>
      <c r="I5" s="843"/>
      <c r="J5" s="843"/>
      <c r="K5" s="794"/>
      <c r="L5" s="1783">
        <f>F5-K5</f>
        <v>558191</v>
      </c>
    </row>
    <row r="6" spans="1:14" ht="14.25" thickTop="1" thickBot="1" x14ac:dyDescent="0.25">
      <c r="A6" s="779" t="s">
        <v>1179</v>
      </c>
      <c r="B6" s="841">
        <v>222</v>
      </c>
      <c r="C6" s="766"/>
      <c r="D6" s="766"/>
      <c r="E6" s="766"/>
      <c r="F6" s="1774">
        <f>(C6+D6)-E6</f>
        <v>0</v>
      </c>
      <c r="G6" s="838">
        <v>50</v>
      </c>
      <c r="H6" s="766"/>
      <c r="I6" s="766"/>
      <c r="J6" s="766"/>
      <c r="K6" s="1783">
        <f>(H6+I6)-J6</f>
        <v>0</v>
      </c>
      <c r="L6" s="1783">
        <f>F6-K6</f>
        <v>0</v>
      </c>
    </row>
    <row r="7" spans="1:14" ht="15" customHeight="1" thickTop="1" x14ac:dyDescent="0.2">
      <c r="A7" s="1645" t="s">
        <v>161</v>
      </c>
      <c r="B7" s="1644">
        <v>230</v>
      </c>
      <c r="C7" s="782"/>
      <c r="D7" s="782"/>
      <c r="E7" s="782"/>
      <c r="F7" s="774"/>
      <c r="G7" s="844"/>
      <c r="H7" s="782"/>
      <c r="I7" s="782"/>
      <c r="J7" s="782"/>
      <c r="K7" s="774"/>
      <c r="L7" s="774"/>
    </row>
    <row r="8" spans="1:14" ht="13.5" thickBot="1" x14ac:dyDescent="0.25">
      <c r="A8" s="779" t="s">
        <v>1180</v>
      </c>
      <c r="B8" s="841">
        <v>231</v>
      </c>
      <c r="C8" s="845">
        <v>94052831</v>
      </c>
      <c r="D8" s="845">
        <v>277932</v>
      </c>
      <c r="E8" s="845"/>
      <c r="F8" s="1774">
        <f>(C8+D8)-E8</f>
        <v>94330763</v>
      </c>
      <c r="G8" s="844">
        <v>50</v>
      </c>
      <c r="H8" s="766">
        <v>32518293</v>
      </c>
      <c r="I8" s="766">
        <v>1886615</v>
      </c>
      <c r="J8" s="766"/>
      <c r="K8" s="1783">
        <f>(H8+I8)-J8</f>
        <v>34404908</v>
      </c>
      <c r="L8" s="1783">
        <f>F8-K8</f>
        <v>59925855</v>
      </c>
    </row>
    <row r="9" spans="1:14" ht="14.25" thickTop="1" thickBot="1" x14ac:dyDescent="0.25">
      <c r="A9" s="779" t="s">
        <v>1181</v>
      </c>
      <c r="B9" s="841">
        <v>232</v>
      </c>
      <c r="C9" s="766"/>
      <c r="D9" s="766"/>
      <c r="E9" s="766"/>
      <c r="F9" s="1774">
        <f>(C9+D9)-E9</f>
        <v>0</v>
      </c>
      <c r="G9" s="844">
        <v>20</v>
      </c>
      <c r="H9" s="766"/>
      <c r="I9" s="766"/>
      <c r="J9" s="766"/>
      <c r="K9" s="1783">
        <f>(H9+I9)-J9</f>
        <v>0</v>
      </c>
      <c r="L9" s="1783">
        <f>F9-K9</f>
        <v>0</v>
      </c>
    </row>
    <row r="10" spans="1:14" ht="24" thickTop="1" thickBot="1" x14ac:dyDescent="0.25">
      <c r="A10" s="846" t="s">
        <v>1182</v>
      </c>
      <c r="B10" s="841">
        <v>240</v>
      </c>
      <c r="C10" s="847">
        <v>6214764</v>
      </c>
      <c r="D10" s="847">
        <v>339709</v>
      </c>
      <c r="E10" s="847"/>
      <c r="F10" s="1778">
        <f>(C10+D10)-E10</f>
        <v>6554473</v>
      </c>
      <c r="G10" s="844">
        <v>20</v>
      </c>
      <c r="H10" s="848">
        <v>2478453</v>
      </c>
      <c r="I10" s="848">
        <v>221192</v>
      </c>
      <c r="J10" s="848"/>
      <c r="K10" s="1783">
        <f>(H10+I10)-J10</f>
        <v>2699645</v>
      </c>
      <c r="L10" s="1783">
        <f>F10-K10</f>
        <v>3854828</v>
      </c>
    </row>
    <row r="11" spans="1:14" ht="13.5" thickTop="1" x14ac:dyDescent="0.2">
      <c r="A11" s="1646" t="s">
        <v>1198</v>
      </c>
      <c r="B11" s="1644">
        <v>250</v>
      </c>
      <c r="C11" s="782"/>
      <c r="D11" s="782"/>
      <c r="E11" s="782"/>
      <c r="F11" s="774"/>
      <c r="G11" s="844"/>
      <c r="H11" s="782"/>
      <c r="I11" s="782"/>
      <c r="J11" s="782"/>
      <c r="K11" s="774"/>
      <c r="L11" s="774"/>
    </row>
    <row r="12" spans="1:14" ht="13.5" thickBot="1" x14ac:dyDescent="0.25">
      <c r="A12" s="849" t="s">
        <v>1183</v>
      </c>
      <c r="B12" s="841">
        <v>251</v>
      </c>
      <c r="C12" s="845"/>
      <c r="D12" s="845"/>
      <c r="E12" s="845"/>
      <c r="F12" s="1774">
        <f>(C12+D12)-E12</f>
        <v>0</v>
      </c>
      <c r="G12" s="844">
        <v>10</v>
      </c>
      <c r="H12" s="766"/>
      <c r="I12" s="766"/>
      <c r="J12" s="766"/>
      <c r="K12" s="1783">
        <f>(H12+I12)-J12</f>
        <v>0</v>
      </c>
      <c r="L12" s="1783">
        <f>F12-K12</f>
        <v>0</v>
      </c>
    </row>
    <row r="13" spans="1:14" ht="14.25" thickTop="1" thickBot="1" x14ac:dyDescent="0.25">
      <c r="A13" s="849" t="s">
        <v>1184</v>
      </c>
      <c r="B13" s="841">
        <v>252</v>
      </c>
      <c r="C13" s="845">
        <v>10244570</v>
      </c>
      <c r="D13" s="845">
        <v>4782268</v>
      </c>
      <c r="E13" s="845">
        <v>187915</v>
      </c>
      <c r="F13" s="1774">
        <f>(C13+D13)-E13</f>
        <v>14838923</v>
      </c>
      <c r="G13" s="844">
        <v>5</v>
      </c>
      <c r="H13" s="766">
        <v>6769922</v>
      </c>
      <c r="I13" s="766">
        <v>994871</v>
      </c>
      <c r="J13" s="766">
        <v>165215</v>
      </c>
      <c r="K13" s="1783">
        <f>(H13+I13)-J13</f>
        <v>7599578</v>
      </c>
      <c r="L13" s="1783">
        <f>F13-K13</f>
        <v>7239345</v>
      </c>
    </row>
    <row r="14" spans="1:14" ht="14.25" thickTop="1" thickBot="1" x14ac:dyDescent="0.25">
      <c r="A14" s="849" t="s">
        <v>1185</v>
      </c>
      <c r="B14" s="841">
        <v>253</v>
      </c>
      <c r="C14" s="766"/>
      <c r="D14" s="766"/>
      <c r="E14" s="766"/>
      <c r="F14" s="1774">
        <f>(C14+D14)-E14</f>
        <v>0</v>
      </c>
      <c r="G14" s="844">
        <v>3</v>
      </c>
      <c r="H14" s="766"/>
      <c r="I14" s="766"/>
      <c r="J14" s="766"/>
      <c r="K14" s="1783">
        <f>(H14+I14)-J14</f>
        <v>0</v>
      </c>
      <c r="L14" s="1783">
        <f>F14-K14</f>
        <v>0</v>
      </c>
    </row>
    <row r="15" spans="1:14" ht="15" customHeight="1" thickTop="1" thickBot="1" x14ac:dyDescent="0.25">
      <c r="A15" s="1645" t="s">
        <v>549</v>
      </c>
      <c r="B15" s="1644">
        <v>260</v>
      </c>
      <c r="C15" s="845">
        <v>4491124</v>
      </c>
      <c r="D15" s="845">
        <v>264802</v>
      </c>
      <c r="E15" s="845">
        <v>4491124</v>
      </c>
      <c r="F15" s="1774">
        <f>(C15+D15)-E15</f>
        <v>264802</v>
      </c>
      <c r="G15" s="850" t="s">
        <v>917</v>
      </c>
      <c r="H15" s="782"/>
      <c r="I15" s="782"/>
      <c r="J15" s="782"/>
      <c r="K15" s="782"/>
      <c r="L15" s="1783">
        <f>F15-K15</f>
        <v>264802</v>
      </c>
    </row>
    <row r="16" spans="1:14" ht="15" customHeight="1" thickTop="1" thickBot="1" x14ac:dyDescent="0.25">
      <c r="A16" s="1779" t="s">
        <v>664</v>
      </c>
      <c r="B16" s="1780">
        <v>200</v>
      </c>
      <c r="C16" s="1774">
        <f>SUM(C3,C5:C6,C8:C10,C12:C15)</f>
        <v>115561480</v>
      </c>
      <c r="D16" s="1774">
        <f>SUM(D3,D5:D6,D8:D10,D12:D15)</f>
        <v>5664711</v>
      </c>
      <c r="E16" s="1774">
        <f>SUM(E3,E5:E6,E8:E10,E12:E15)</f>
        <v>4679039</v>
      </c>
      <c r="F16" s="1774">
        <f>SUM(F3,F5:F6,F8:F10,F12:F15)</f>
        <v>116547152</v>
      </c>
      <c r="G16" s="844"/>
      <c r="H16" s="1774">
        <f>SUM(H3,H6,H8:H10,H12:H14,)</f>
        <v>41766668</v>
      </c>
      <c r="I16" s="1774">
        <f>SUM(I3,I6,I8:I10,I12:I14,)</f>
        <v>3102678</v>
      </c>
      <c r="J16" s="1774">
        <f>SUM(J3,J6,J8:J10,J12:J14,)</f>
        <v>165215</v>
      </c>
      <c r="K16" s="1774">
        <f>(H16+I16)-J16</f>
        <v>44704131</v>
      </c>
      <c r="L16" s="1774">
        <f>F16-K16</f>
        <v>71843021</v>
      </c>
    </row>
    <row r="17" spans="1:12" ht="15" customHeight="1" thickTop="1" thickBot="1" x14ac:dyDescent="0.25">
      <c r="A17" s="1647" t="s">
        <v>309</v>
      </c>
      <c r="B17" s="1644">
        <v>700</v>
      </c>
      <c r="C17" s="770"/>
      <c r="D17" s="770"/>
      <c r="E17" s="770"/>
      <c r="F17" s="1774">
        <f>SUM('Expenditures 15-22'!I114,'Expenditures 15-22'!I151,'Expenditures 15-22'!I210,'Expenditures 15-22'!I312,'Expenditures 15-22'!I342,'Expenditures 15-22'!I367)</f>
        <v>168231</v>
      </c>
      <c r="G17" s="838">
        <v>10</v>
      </c>
      <c r="H17" s="770"/>
      <c r="I17" s="1783">
        <f>F17/G17</f>
        <v>16823.099999999999</v>
      </c>
      <c r="J17" s="770"/>
      <c r="K17" s="796"/>
      <c r="L17" s="796"/>
    </row>
    <row r="18" spans="1:12" ht="14.25" thickTop="1" thickBot="1" x14ac:dyDescent="0.25">
      <c r="A18" s="1781" t="s">
        <v>706</v>
      </c>
      <c r="B18" s="1782"/>
      <c r="C18" s="772"/>
      <c r="D18" s="772"/>
      <c r="E18" s="772"/>
      <c r="F18" s="851"/>
      <c r="G18" s="852"/>
      <c r="H18" s="774"/>
      <c r="I18" s="1774">
        <f>SUM(I16,I17)</f>
        <v>3119501.1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6"/>
  <sheetViews>
    <sheetView showGridLines="0" defaultGridColor="0" colorId="8" zoomScale="110" zoomScaleNormal="110" workbookViewId="0">
      <pane ySplit="5" topLeftCell="A10" activePane="bottomLeft" state="frozen"/>
      <selection activeCell="J30" sqref="J30"/>
      <selection pane="bottomLeft" activeCell="J30" sqref="J3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4" t="s">
        <v>1699</v>
      </c>
      <c r="B1" s="2295"/>
      <c r="C1" s="2295"/>
      <c r="D1" s="2295"/>
      <c r="E1" s="2295"/>
      <c r="F1" s="2296"/>
      <c r="G1" s="856"/>
    </row>
    <row r="2" spans="1:7" ht="15" customHeight="1" thickBot="1" x14ac:dyDescent="0.25">
      <c r="A2" s="2297" t="s">
        <v>498</v>
      </c>
      <c r="B2" s="2298"/>
      <c r="C2" s="2298"/>
      <c r="D2" s="2298"/>
      <c r="E2" s="2298"/>
      <c r="F2" s="229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0"/>
      <c r="B5" s="2301"/>
      <c r="C5" s="2301"/>
      <c r="D5" s="2301"/>
      <c r="E5" s="2301"/>
      <c r="F5" s="2301"/>
    </row>
    <row r="6" spans="1:7" ht="13.5" customHeight="1" thickBot="1" x14ac:dyDescent="0.25">
      <c r="A6" s="2291" t="s">
        <v>1166</v>
      </c>
      <c r="B6" s="2292"/>
      <c r="C6" s="2292"/>
      <c r="D6" s="2292"/>
      <c r="E6" s="2292"/>
      <c r="F6" s="229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4">
        <f>'Expenditures 15-22'!K114</f>
        <v>37408463</v>
      </c>
      <c r="G8" s="866"/>
    </row>
    <row r="9" spans="1:7" x14ac:dyDescent="0.2">
      <c r="A9" s="870" t="s">
        <v>480</v>
      </c>
      <c r="B9" s="871" t="s">
        <v>1986</v>
      </c>
      <c r="C9" s="872"/>
      <c r="D9" s="870" t="s">
        <v>522</v>
      </c>
      <c r="E9" s="869"/>
      <c r="F9" s="1925">
        <f>'Expenditures 15-22'!K151</f>
        <v>4434419</v>
      </c>
      <c r="G9" s="873"/>
    </row>
    <row r="10" spans="1:7" x14ac:dyDescent="0.2">
      <c r="A10" s="870" t="s">
        <v>520</v>
      </c>
      <c r="B10" s="871" t="s">
        <v>1987</v>
      </c>
      <c r="C10" s="872"/>
      <c r="D10" s="870" t="s">
        <v>522</v>
      </c>
      <c r="E10" s="869"/>
      <c r="F10" s="1925">
        <f>'Expenditures 15-22'!K174</f>
        <v>6637142</v>
      </c>
      <c r="G10" s="873"/>
    </row>
    <row r="11" spans="1:7" x14ac:dyDescent="0.2">
      <c r="A11" s="870" t="s">
        <v>481</v>
      </c>
      <c r="B11" s="871" t="s">
        <v>1988</v>
      </c>
      <c r="C11" s="872"/>
      <c r="D11" s="870" t="s">
        <v>522</v>
      </c>
      <c r="E11" s="869"/>
      <c r="F11" s="1925">
        <f>'Expenditures 15-22'!K210</f>
        <v>2019130</v>
      </c>
      <c r="G11" s="873"/>
    </row>
    <row r="12" spans="1:7" x14ac:dyDescent="0.2">
      <c r="A12" s="870" t="s">
        <v>482</v>
      </c>
      <c r="B12" s="871" t="s">
        <v>1989</v>
      </c>
      <c r="C12" s="872"/>
      <c r="D12" s="870" t="s">
        <v>522</v>
      </c>
      <c r="E12" s="869"/>
      <c r="F12" s="1925">
        <f>'Expenditures 15-22'!K295</f>
        <v>1455184</v>
      </c>
      <c r="G12" s="873"/>
    </row>
    <row r="13" spans="1:7" x14ac:dyDescent="0.2">
      <c r="A13" s="870" t="s">
        <v>108</v>
      </c>
      <c r="B13" s="871" t="s">
        <v>1990</v>
      </c>
      <c r="C13" s="872"/>
      <c r="D13" s="870" t="s">
        <v>522</v>
      </c>
      <c r="E13" s="869"/>
      <c r="F13" s="1925">
        <f>'Expenditures 15-22'!K342</f>
        <v>0</v>
      </c>
      <c r="G13" s="874"/>
    </row>
    <row r="14" spans="1:7" ht="12" customHeight="1" thickBot="1" x14ac:dyDescent="0.25">
      <c r="A14" s="1784"/>
      <c r="B14" s="1785"/>
      <c r="C14" s="1786"/>
      <c r="D14" s="1787" t="s">
        <v>522</v>
      </c>
      <c r="E14" s="1788" t="s">
        <v>1015</v>
      </c>
      <c r="F14" s="1789">
        <f>SUM(F8:F13)</f>
        <v>51954338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6">
        <f>'Revenues 9-14'!F43</f>
        <v>0</v>
      </c>
      <c r="G18" s="866"/>
    </row>
    <row r="19" spans="1:7" x14ac:dyDescent="0.2">
      <c r="A19" s="870" t="s">
        <v>481</v>
      </c>
      <c r="B19" s="871" t="s">
        <v>1069</v>
      </c>
      <c r="C19" s="878">
        <f>'Revenues 9-14'!B47</f>
        <v>1421</v>
      </c>
      <c r="D19" s="879" t="str">
        <f>'Revenues 9-14'!A47</f>
        <v>Summer Sch - Transp. Fees from Pupils or Parents (In State)</v>
      </c>
      <c r="E19" s="880"/>
      <c r="F19" s="1927">
        <f>'Revenues 9-14'!F47</f>
        <v>5144</v>
      </c>
      <c r="G19" s="866"/>
    </row>
    <row r="20" spans="1:7" x14ac:dyDescent="0.2">
      <c r="A20" s="870" t="s">
        <v>481</v>
      </c>
      <c r="B20" s="871" t="s">
        <v>1070</v>
      </c>
      <c r="C20" s="876">
        <f>'Revenues 9-14'!B48</f>
        <v>1422</v>
      </c>
      <c r="D20" s="877" t="str">
        <f>'Revenues 9-14'!A48</f>
        <v>Summer Sch - Transp. Fees from Other Districts (In State)</v>
      </c>
      <c r="E20" s="869"/>
      <c r="F20" s="1928">
        <f>'Revenues 9-14'!F48</f>
        <v>0</v>
      </c>
      <c r="G20" s="866"/>
    </row>
    <row r="21" spans="1:7" x14ac:dyDescent="0.2">
      <c r="A21" s="870" t="s">
        <v>481</v>
      </c>
      <c r="B21" s="871" t="s">
        <v>1071</v>
      </c>
      <c r="C21" s="878">
        <f>'Revenues 9-14'!B49</f>
        <v>1423</v>
      </c>
      <c r="D21" s="877" t="str">
        <f>'Revenues 9-14'!A49</f>
        <v>Summer Sch - Transp. Fees from Other Sources (In State)</v>
      </c>
      <c r="E21" s="869"/>
      <c r="F21" s="1929">
        <f>'Revenues 9-14'!F49</f>
        <v>0</v>
      </c>
      <c r="G21" s="866"/>
    </row>
    <row r="22" spans="1:7" x14ac:dyDescent="0.2">
      <c r="A22" s="870" t="s">
        <v>481</v>
      </c>
      <c r="B22" s="871" t="s">
        <v>1072</v>
      </c>
      <c r="C22" s="878">
        <f>'Revenues 9-14'!B50</f>
        <v>1424</v>
      </c>
      <c r="D22" s="877" t="str">
        <f>'Revenues 9-14'!A50</f>
        <v>Summer Sch - Transp. Fees from Other Sources (Out of State)</v>
      </c>
      <c r="E22" s="869"/>
      <c r="F22" s="1929">
        <f>'Revenues 9-14'!F50</f>
        <v>0</v>
      </c>
      <c r="G22" s="866"/>
    </row>
    <row r="23" spans="1:7" x14ac:dyDescent="0.2">
      <c r="A23" s="870" t="s">
        <v>481</v>
      </c>
      <c r="B23" s="871" t="s">
        <v>1073</v>
      </c>
      <c r="C23" s="876">
        <f>'Revenues 9-14'!B52</f>
        <v>1432</v>
      </c>
      <c r="D23" s="877" t="str">
        <f>'Revenues 9-14'!A52</f>
        <v>CTE - Transp Fees from Other Districts (In State)</v>
      </c>
      <c r="E23" s="869"/>
      <c r="F23" s="1929">
        <f>'Revenues 9-14'!F52</f>
        <v>0</v>
      </c>
      <c r="G23" s="866"/>
    </row>
    <row r="24" spans="1:7" x14ac:dyDescent="0.2">
      <c r="A24" s="870" t="s">
        <v>481</v>
      </c>
      <c r="B24" s="871" t="s">
        <v>1074</v>
      </c>
      <c r="C24" s="876">
        <f>'Revenues 9-14'!B56</f>
        <v>1442</v>
      </c>
      <c r="D24" s="877" t="str">
        <f>'Revenues 9-14'!A56</f>
        <v>Special Ed - Transp Fees from Other Districts (In State)</v>
      </c>
      <c r="E24" s="869"/>
      <c r="F24" s="1929">
        <f>'Revenues 9-14'!F56</f>
        <v>0</v>
      </c>
      <c r="G24" s="866"/>
    </row>
    <row r="25" spans="1:7" x14ac:dyDescent="0.2">
      <c r="A25" s="870" t="s">
        <v>481</v>
      </c>
      <c r="B25" s="871" t="s">
        <v>1075</v>
      </c>
      <c r="C25" s="876">
        <f>'Revenues 9-14'!B59</f>
        <v>1451</v>
      </c>
      <c r="D25" s="877" t="str">
        <f>'Revenues 9-14'!A59</f>
        <v>Adult - Transp Fees from Pupils or Parents (In State)</v>
      </c>
      <c r="E25" s="869"/>
      <c r="F25" s="1929">
        <f>'Revenues 9-14'!F59</f>
        <v>0</v>
      </c>
      <c r="G25" s="866"/>
    </row>
    <row r="26" spans="1:7" x14ac:dyDescent="0.2">
      <c r="A26" s="870" t="s">
        <v>481</v>
      </c>
      <c r="B26" s="871" t="s">
        <v>1076</v>
      </c>
      <c r="C26" s="876">
        <f>'Revenues 9-14'!B60</f>
        <v>1452</v>
      </c>
      <c r="D26" s="877" t="str">
        <f>'Revenues 9-14'!A60</f>
        <v>Adult - Transp Fees from Other Districts (In State)</v>
      </c>
      <c r="E26" s="869"/>
      <c r="F26" s="1929">
        <f>'Revenues 9-14'!F60</f>
        <v>0</v>
      </c>
      <c r="G26" s="866"/>
    </row>
    <row r="27" spans="1:7" x14ac:dyDescent="0.2">
      <c r="A27" s="870" t="s">
        <v>481</v>
      </c>
      <c r="B27" s="871" t="s">
        <v>1077</v>
      </c>
      <c r="C27" s="876">
        <f>'Revenues 9-14'!B61</f>
        <v>1453</v>
      </c>
      <c r="D27" s="877" t="str">
        <f>'Revenues 9-14'!A61</f>
        <v>Adult - Transp Fees from Other Sources (In State)</v>
      </c>
      <c r="E27" s="869"/>
      <c r="F27" s="1929">
        <f>'Revenues 9-14'!F61</f>
        <v>0</v>
      </c>
      <c r="G27" s="866"/>
    </row>
    <row r="28" spans="1:7" x14ac:dyDescent="0.2">
      <c r="A28" s="870" t="s">
        <v>481</v>
      </c>
      <c r="B28" s="871" t="s">
        <v>1078</v>
      </c>
      <c r="C28" s="876">
        <f>'Revenues 9-14'!B62</f>
        <v>1454</v>
      </c>
      <c r="D28" s="877" t="str">
        <f>'Revenues 9-14'!A62</f>
        <v>Adult - Transp Fees from Other Sources (Out of State)</v>
      </c>
      <c r="E28" s="869"/>
      <c r="F28" s="1929">
        <f>'Revenues 9-14'!F62</f>
        <v>0</v>
      </c>
      <c r="G28" s="866"/>
    </row>
    <row r="29" spans="1:7" x14ac:dyDescent="0.2">
      <c r="A29" s="870" t="s">
        <v>1159</v>
      </c>
      <c r="B29" s="871" t="s">
        <v>1683</v>
      </c>
      <c r="C29" s="881">
        <f>'Revenues 9-14'!B148</f>
        <v>3410</v>
      </c>
      <c r="D29" s="882" t="str">
        <f>'Revenues 9-14'!A148</f>
        <v>Adult Ed (from ICCB)</v>
      </c>
      <c r="E29" s="869"/>
      <c r="F29" s="1929">
        <f>SUM('Revenues 9-14'!D148,F149)</f>
        <v>0</v>
      </c>
      <c r="G29" s="866"/>
    </row>
    <row r="30" spans="1:7" x14ac:dyDescent="0.2">
      <c r="A30" s="870" t="s">
        <v>1159</v>
      </c>
      <c r="B30" s="871" t="s">
        <v>861</v>
      </c>
      <c r="C30" s="881">
        <f>'Revenues 9-14'!B149</f>
        <v>3499</v>
      </c>
      <c r="D30" s="882" t="str">
        <f>'Revenues 9-14'!A149</f>
        <v>Adult Ed - Other (Describe &amp; Itemize)</v>
      </c>
      <c r="E30" s="869"/>
      <c r="F30" s="193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9">
        <f>SUM('Revenues 9-14'!D219,'Revenues 9-14'!F219)</f>
        <v>0</v>
      </c>
      <c r="G32" s="866"/>
    </row>
    <row r="33" spans="1:7" x14ac:dyDescent="0.2">
      <c r="A33" s="870" t="s">
        <v>480</v>
      </c>
      <c r="B33" s="871" t="s">
        <v>801</v>
      </c>
      <c r="C33" s="876">
        <f>'Revenues 9-14'!B229</f>
        <v>4810</v>
      </c>
      <c r="D33" s="884" t="str">
        <f>'Revenues 9-14'!A229</f>
        <v>Federal - Adult Education</v>
      </c>
      <c r="E33" s="869"/>
      <c r="F33" s="1929">
        <f>'Revenues 9-14'!D229</f>
        <v>0</v>
      </c>
      <c r="G33" s="866"/>
    </row>
    <row r="34" spans="1:7" x14ac:dyDescent="0.2">
      <c r="A34" s="870" t="s">
        <v>479</v>
      </c>
      <c r="B34" s="870" t="s">
        <v>1545</v>
      </c>
      <c r="C34" s="887" t="str">
        <f>'Expenditures 15-22'!B7</f>
        <v>1125</v>
      </c>
      <c r="D34" s="888" t="str">
        <f>'Expenditures 15-22'!A7</f>
        <v>Pre-K Programs</v>
      </c>
      <c r="E34" s="869"/>
      <c r="F34" s="192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9">
        <f>'Expenditures 15-22'!K15-SUM('Expenditures 15-22'!G15,'Expenditures 15-22'!I15)</f>
        <v>58455</v>
      </c>
      <c r="G38" s="866"/>
    </row>
    <row r="39" spans="1:7" x14ac:dyDescent="0.2">
      <c r="A39" s="870" t="s">
        <v>479</v>
      </c>
      <c r="B39" s="870" t="s">
        <v>119</v>
      </c>
      <c r="C39" s="887" t="str">
        <f>'Expenditures 15-22'!B20</f>
        <v>1910</v>
      </c>
      <c r="D39" s="889" t="str">
        <f>'Expenditures 15-22'!A20</f>
        <v>Pre-K Programs - Private Tuition</v>
      </c>
      <c r="E39" s="869"/>
      <c r="F39" s="1929">
        <f>'Expenditures 15-22'!K20</f>
        <v>0</v>
      </c>
      <c r="G39" s="866"/>
    </row>
    <row r="40" spans="1:7" x14ac:dyDescent="0.2">
      <c r="A40" s="870" t="s">
        <v>479</v>
      </c>
      <c r="B40" s="870" t="s">
        <v>120</v>
      </c>
      <c r="C40" s="887" t="str">
        <f>'Expenditures 15-22'!B21</f>
        <v>1911</v>
      </c>
      <c r="D40" s="889" t="str">
        <f>'Expenditures 15-22'!A21</f>
        <v>Regular K-12 Programs - Private Tuition</v>
      </c>
      <c r="E40" s="869"/>
      <c r="F40" s="1929">
        <f>'Expenditures 15-22'!K21</f>
        <v>13500</v>
      </c>
      <c r="G40" s="866"/>
    </row>
    <row r="41" spans="1:7" x14ac:dyDescent="0.2">
      <c r="A41" s="870" t="s">
        <v>479</v>
      </c>
      <c r="B41" s="870" t="s">
        <v>121</v>
      </c>
      <c r="C41" s="887" t="str">
        <f>'Expenditures 15-22'!B22</f>
        <v>1912</v>
      </c>
      <c r="D41" s="889" t="str">
        <f>'Expenditures 15-22'!A22</f>
        <v>Special Education Programs K-12 - Private Tuition</v>
      </c>
      <c r="E41" s="869"/>
      <c r="F41" s="1929">
        <f>'Expenditures 15-22'!K22</f>
        <v>823632</v>
      </c>
      <c r="G41" s="866"/>
    </row>
    <row r="42" spans="1:7" x14ac:dyDescent="0.2">
      <c r="A42" s="870" t="s">
        <v>479</v>
      </c>
      <c r="B42" s="870" t="s">
        <v>122</v>
      </c>
      <c r="C42" s="890" t="str">
        <f>'Expenditures 15-22'!B23</f>
        <v>1913</v>
      </c>
      <c r="D42" s="889" t="str">
        <f>'Expenditures 15-22'!A23</f>
        <v>Special Education Programs Pre-K - Tuition</v>
      </c>
      <c r="E42" s="869"/>
      <c r="F42" s="192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9">
        <f>'Expenditures 15-22'!K26</f>
        <v>0</v>
      </c>
      <c r="G45" s="866"/>
    </row>
    <row r="46" spans="1:7" x14ac:dyDescent="0.2">
      <c r="A46" s="870" t="s">
        <v>479</v>
      </c>
      <c r="B46" s="870" t="s">
        <v>126</v>
      </c>
      <c r="C46" s="887" t="str">
        <f>'Expenditures 15-22'!B27</f>
        <v>1917</v>
      </c>
      <c r="D46" s="889" t="str">
        <f>'Expenditures 15-22'!A27</f>
        <v>CTE Programs - Private Tuition</v>
      </c>
      <c r="E46" s="869"/>
      <c r="F46" s="192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9">
        <f>'Expenditures 15-22'!K29</f>
        <v>0</v>
      </c>
      <c r="G48" s="866"/>
    </row>
    <row r="49" spans="1:7" x14ac:dyDescent="0.2">
      <c r="A49" s="870" t="s">
        <v>479</v>
      </c>
      <c r="B49" s="870" t="s">
        <v>129</v>
      </c>
      <c r="C49" s="887" t="str">
        <f>'Expenditures 15-22'!B30</f>
        <v>1920</v>
      </c>
      <c r="D49" s="889" t="str">
        <f>'Expenditures 15-22'!A30</f>
        <v>Gifted Programs - Private Tuition</v>
      </c>
      <c r="E49" s="869"/>
      <c r="F49" s="1929">
        <f>'Expenditures 15-22'!K30</f>
        <v>0</v>
      </c>
      <c r="G49" s="866"/>
    </row>
    <row r="50" spans="1:7" x14ac:dyDescent="0.2">
      <c r="A50" s="870" t="s">
        <v>479</v>
      </c>
      <c r="B50" s="870" t="s">
        <v>130</v>
      </c>
      <c r="C50" s="887" t="str">
        <f>'Expenditures 15-22'!B31</f>
        <v>1921</v>
      </c>
      <c r="D50" s="889" t="str">
        <f>'Expenditures 15-22'!A31</f>
        <v>Bilingual Programs - Private Tuition</v>
      </c>
      <c r="E50" s="869"/>
      <c r="F50" s="192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9">
        <f>'Expenditures 15-22'!K32</f>
        <v>0</v>
      </c>
      <c r="G51" s="866"/>
    </row>
    <row r="52" spans="1:7" x14ac:dyDescent="0.2">
      <c r="A52" s="870" t="s">
        <v>479</v>
      </c>
      <c r="B52" s="870" t="s">
        <v>1550</v>
      </c>
      <c r="C52" s="890" t="str">
        <f>'Expenditures 15-22'!B75</f>
        <v>3000</v>
      </c>
      <c r="D52" s="889" t="s">
        <v>469</v>
      </c>
      <c r="E52" s="869"/>
      <c r="F52" s="1929">
        <f>'Expenditures 15-22'!K75-SUM('Expenditures 15-22'!G75,'Expenditures 15-22'!I75)</f>
        <v>369</v>
      </c>
      <c r="G52" s="866"/>
    </row>
    <row r="53" spans="1:7" x14ac:dyDescent="0.2">
      <c r="A53" s="870" t="s">
        <v>479</v>
      </c>
      <c r="B53" s="870" t="s">
        <v>1551</v>
      </c>
      <c r="C53" s="890">
        <f>'Expenditures 15-22'!B102</f>
        <v>4000</v>
      </c>
      <c r="D53" s="889" t="str">
        <f>'Expenditures 15-22'!A102</f>
        <v>Total Payments to Other Govt Units</v>
      </c>
      <c r="E53" s="869"/>
      <c r="F53" s="1929">
        <f>'Expenditures 15-22'!K102</f>
        <v>1753481</v>
      </c>
      <c r="G53" s="866"/>
    </row>
    <row r="54" spans="1:7" x14ac:dyDescent="0.2">
      <c r="A54" s="870" t="s">
        <v>479</v>
      </c>
      <c r="B54" s="870" t="s">
        <v>1552</v>
      </c>
      <c r="C54" s="890" t="s">
        <v>1039</v>
      </c>
      <c r="D54" s="886" t="s">
        <v>1157</v>
      </c>
      <c r="E54" s="869"/>
      <c r="F54" s="1929">
        <f>'Expenditures 15-22'!G114</f>
        <v>317636</v>
      </c>
      <c r="G54" s="866"/>
    </row>
    <row r="55" spans="1:7" x14ac:dyDescent="0.2">
      <c r="A55" s="870" t="s">
        <v>479</v>
      </c>
      <c r="B55" s="870" t="s">
        <v>1553</v>
      </c>
      <c r="C55" s="890" t="s">
        <v>1039</v>
      </c>
      <c r="D55" s="886" t="s">
        <v>309</v>
      </c>
      <c r="E55" s="869"/>
      <c r="F55" s="1929">
        <f>'Expenditures 15-22'!I114</f>
        <v>165182</v>
      </c>
      <c r="G55" s="866"/>
    </row>
    <row r="56" spans="1:7" x14ac:dyDescent="0.2">
      <c r="A56" s="870" t="s">
        <v>480</v>
      </c>
      <c r="B56" s="870" t="s">
        <v>1554</v>
      </c>
      <c r="C56" s="887" t="str">
        <f>'Expenditures 15-22'!B130</f>
        <v>3000</v>
      </c>
      <c r="D56" s="893" t="s">
        <v>469</v>
      </c>
      <c r="E56" s="869"/>
      <c r="F56" s="192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29">
        <f>'Expenditures 15-22'!K139</f>
        <v>0</v>
      </c>
      <c r="G57" s="866"/>
    </row>
    <row r="58" spans="1:7" x14ac:dyDescent="0.2">
      <c r="A58" s="870" t="s">
        <v>480</v>
      </c>
      <c r="B58" s="870" t="s">
        <v>1992</v>
      </c>
      <c r="C58" s="887" t="s">
        <v>1039</v>
      </c>
      <c r="D58" s="886" t="s">
        <v>1157</v>
      </c>
      <c r="E58" s="869"/>
      <c r="F58" s="1931">
        <f>'Expenditures 15-22'!G151</f>
        <v>65782</v>
      </c>
      <c r="G58" s="866"/>
    </row>
    <row r="59" spans="1:7" x14ac:dyDescent="0.2">
      <c r="A59" s="894" t="s">
        <v>480</v>
      </c>
      <c r="B59" s="857" t="s">
        <v>1993</v>
      </c>
      <c r="C59" s="895" t="s">
        <v>1039</v>
      </c>
      <c r="D59" s="857" t="s">
        <v>309</v>
      </c>
      <c r="F59" s="1932">
        <f>'Expenditures 15-22'!I151</f>
        <v>3049</v>
      </c>
      <c r="G59" s="866"/>
    </row>
    <row r="60" spans="1:7" x14ac:dyDescent="0.2">
      <c r="A60" s="894" t="s">
        <v>520</v>
      </c>
      <c r="B60" s="857" t="s">
        <v>1994</v>
      </c>
      <c r="C60" s="895">
        <v>4000</v>
      </c>
      <c r="D60" s="857" t="s">
        <v>330</v>
      </c>
      <c r="F60" s="1930">
        <f>'Expenditures 15-22'!K160</f>
        <v>0</v>
      </c>
      <c r="G60" s="866"/>
    </row>
    <row r="61" spans="1:7" x14ac:dyDescent="0.2">
      <c r="A61" s="896" t="s">
        <v>520</v>
      </c>
      <c r="B61" s="896" t="s">
        <v>1995</v>
      </c>
      <c r="C61" s="897" t="str">
        <f>'Expenditures 15-22'!B170</f>
        <v>5300</v>
      </c>
      <c r="D61" s="898" t="s">
        <v>329</v>
      </c>
      <c r="E61" s="880"/>
      <c r="F61" s="1929">
        <f>'Expenditures 15-22'!K170</f>
        <v>5473765</v>
      </c>
      <c r="G61" s="866"/>
    </row>
    <row r="62" spans="1:7" x14ac:dyDescent="0.2">
      <c r="A62" s="870" t="s">
        <v>481</v>
      </c>
      <c r="B62" s="870" t="s">
        <v>1996</v>
      </c>
      <c r="C62" s="887">
        <f>'Expenditures 15-22'!B185</f>
        <v>3000</v>
      </c>
      <c r="D62" s="877" t="s">
        <v>469</v>
      </c>
      <c r="E62" s="869"/>
      <c r="F62" s="192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29">
        <f>'Expenditures 15-22'!K196</f>
        <v>0</v>
      </c>
      <c r="G63" s="866"/>
    </row>
    <row r="64" spans="1:7" x14ac:dyDescent="0.2">
      <c r="A64" s="896" t="s">
        <v>481</v>
      </c>
      <c r="B64" s="896" t="s">
        <v>1998</v>
      </c>
      <c r="C64" s="897" t="str">
        <f>'Expenditures 15-22'!B206</f>
        <v>5300</v>
      </c>
      <c r="D64" s="893" t="s">
        <v>329</v>
      </c>
      <c r="E64" s="869"/>
      <c r="F64" s="1929">
        <f>'Expenditures 15-22'!K206</f>
        <v>42834</v>
      </c>
      <c r="G64" s="866"/>
    </row>
    <row r="65" spans="1:8" x14ac:dyDescent="0.2">
      <c r="A65" s="870" t="s">
        <v>481</v>
      </c>
      <c r="B65" s="870" t="s">
        <v>1999</v>
      </c>
      <c r="C65" s="887" t="s">
        <v>1039</v>
      </c>
      <c r="D65" s="886" t="s">
        <v>1157</v>
      </c>
      <c r="E65" s="869"/>
      <c r="F65" s="1929">
        <f>'Expenditures 15-22'!G210</f>
        <v>0</v>
      </c>
      <c r="G65" s="866"/>
    </row>
    <row r="66" spans="1:8" x14ac:dyDescent="0.2">
      <c r="A66" s="870" t="s">
        <v>481</v>
      </c>
      <c r="B66" s="870" t="s">
        <v>2000</v>
      </c>
      <c r="C66" s="887" t="s">
        <v>1039</v>
      </c>
      <c r="D66" s="886" t="s">
        <v>309</v>
      </c>
      <c r="E66" s="869"/>
      <c r="F66" s="1929">
        <f>'Expenditures 15-22'!I210</f>
        <v>0</v>
      </c>
      <c r="G66" s="866"/>
    </row>
    <row r="67" spans="1:8" x14ac:dyDescent="0.2">
      <c r="A67" s="870" t="s">
        <v>482</v>
      </c>
      <c r="B67" s="870" t="s">
        <v>2001</v>
      </c>
      <c r="C67" s="887" t="str">
        <f>'Expenditures 15-22'!B216</f>
        <v>1125</v>
      </c>
      <c r="D67" s="893" t="str">
        <f>'Expenditures 15-22'!A216</f>
        <v>Pre-K Programs</v>
      </c>
      <c r="E67" s="869"/>
      <c r="F67" s="1929">
        <f>'Expenditures 15-22'!K216</f>
        <v>0</v>
      </c>
      <c r="G67" s="866"/>
    </row>
    <row r="68" spans="1:8" x14ac:dyDescent="0.2">
      <c r="A68" s="870" t="s">
        <v>482</v>
      </c>
      <c r="B68" s="870" t="s">
        <v>1555</v>
      </c>
      <c r="C68" s="887" t="str">
        <f>'Expenditures 15-22'!B218</f>
        <v>1225</v>
      </c>
      <c r="D68" s="893" t="str">
        <f>'Expenditures 15-22'!A218</f>
        <v>Special Education Programs - Pre-K</v>
      </c>
      <c r="E68" s="869"/>
      <c r="F68" s="192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29">
        <f>'Expenditures 15-22'!K220</f>
        <v>0</v>
      </c>
      <c r="G69" s="866"/>
    </row>
    <row r="70" spans="1:8" x14ac:dyDescent="0.2">
      <c r="A70" s="870" t="s">
        <v>482</v>
      </c>
      <c r="B70" s="870" t="s">
        <v>2003</v>
      </c>
      <c r="C70" s="887">
        <f>'Expenditures 15-22'!B221</f>
        <v>1300</v>
      </c>
      <c r="D70" s="888" t="str">
        <f>'Expenditures 15-22'!A221</f>
        <v>Adult/Continuing Education Programs</v>
      </c>
      <c r="E70" s="869"/>
      <c r="F70" s="1929">
        <f>'Expenditures 15-22'!K221</f>
        <v>0</v>
      </c>
      <c r="G70" s="866"/>
    </row>
    <row r="71" spans="1:8" x14ac:dyDescent="0.2">
      <c r="A71" s="870" t="s">
        <v>482</v>
      </c>
      <c r="B71" s="870" t="s">
        <v>2004</v>
      </c>
      <c r="C71" s="887">
        <f>'Expenditures 15-22'!B224</f>
        <v>1600</v>
      </c>
      <c r="D71" s="888" t="str">
        <f>'Expenditures 15-22'!A224</f>
        <v>Summer School Programs</v>
      </c>
      <c r="E71" s="869"/>
      <c r="F71" s="1929">
        <f>'Expenditures 15-22'!K224</f>
        <v>811</v>
      </c>
      <c r="G71" s="866"/>
    </row>
    <row r="72" spans="1:8" x14ac:dyDescent="0.2">
      <c r="A72" s="870" t="s">
        <v>482</v>
      </c>
      <c r="B72" s="870" t="s">
        <v>2005</v>
      </c>
      <c r="C72" s="887">
        <f>'Expenditures 15-22'!B280</f>
        <v>3000</v>
      </c>
      <c r="D72" s="877" t="s">
        <v>469</v>
      </c>
      <c r="E72" s="869"/>
      <c r="F72" s="192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29">
        <f>'Expenditures 15-22'!K285</f>
        <v>0</v>
      </c>
      <c r="G73" s="866"/>
    </row>
    <row r="74" spans="1:8" x14ac:dyDescent="0.2">
      <c r="A74" s="870" t="s">
        <v>456</v>
      </c>
      <c r="B74" s="870" t="s">
        <v>2007</v>
      </c>
      <c r="C74" s="887" t="s">
        <v>915</v>
      </c>
      <c r="D74" s="888" t="s">
        <v>1567</v>
      </c>
      <c r="E74" s="869"/>
      <c r="F74" s="1933">
        <f>'Expenditures 15-22'!K334</f>
        <v>0</v>
      </c>
      <c r="G74" s="866"/>
    </row>
    <row r="75" spans="1:8" ht="5.25" customHeight="1" x14ac:dyDescent="0.2">
      <c r="A75" s="866"/>
      <c r="B75" s="876"/>
      <c r="C75" s="876"/>
      <c r="D75" s="866"/>
      <c r="E75" s="869"/>
      <c r="F75" s="883"/>
      <c r="G75" s="868"/>
    </row>
    <row r="76" spans="1:8" ht="12" thickBot="1" x14ac:dyDescent="0.25">
      <c r="A76" s="1784"/>
      <c r="B76" s="1790"/>
      <c r="C76" s="1786"/>
      <c r="D76" s="1791" t="s">
        <v>2008</v>
      </c>
      <c r="E76" s="1788" t="s">
        <v>1015</v>
      </c>
      <c r="F76" s="1792">
        <f>SUM(F18:F74)</f>
        <v>8723640</v>
      </c>
      <c r="G76" s="866"/>
    </row>
    <row r="77" spans="1:8" s="894" customFormat="1" ht="12" customHeight="1" thickTop="1" thickBot="1" x14ac:dyDescent="0.25">
      <c r="A77" s="1793"/>
      <c r="B77" s="1790"/>
      <c r="C77" s="1786"/>
      <c r="D77" s="1791" t="s">
        <v>2009</v>
      </c>
      <c r="E77" s="1788"/>
      <c r="F77" s="1794">
        <f>(F14-F76)</f>
        <v>43230698</v>
      </c>
      <c r="G77" s="870"/>
    </row>
    <row r="78" spans="1:8" s="894" customFormat="1" ht="12" customHeight="1" thickTop="1" x14ac:dyDescent="0.2">
      <c r="A78" s="1795"/>
      <c r="B78" s="1790"/>
      <c r="C78" s="1786"/>
      <c r="D78" s="1791" t="s">
        <v>2056</v>
      </c>
      <c r="E78" s="1788"/>
      <c r="F78" s="899">
        <v>2353.64</v>
      </c>
      <c r="G78" s="900"/>
      <c r="H78" s="870"/>
    </row>
    <row r="79" spans="1:8" s="894" customFormat="1" ht="12" customHeight="1" thickBot="1" x14ac:dyDescent="0.25">
      <c r="A79" s="1796"/>
      <c r="B79" s="1790"/>
      <c r="C79" s="1786"/>
      <c r="D79" s="1791" t="s">
        <v>2010</v>
      </c>
      <c r="E79" s="1788" t="s">
        <v>1015</v>
      </c>
      <c r="F79" s="1797">
        <f>IF(F78&gt;0,F77/F78," Complete Line 78")</f>
        <v>18367.591475331828</v>
      </c>
      <c r="G79" s="870"/>
    </row>
    <row r="80" spans="1:8" s="894" customFormat="1" ht="8.25" customHeight="1" thickTop="1" x14ac:dyDescent="0.2">
      <c r="A80" s="901"/>
      <c r="B80" s="870"/>
      <c r="C80" s="872"/>
      <c r="D80" s="902"/>
      <c r="E80" s="869"/>
      <c r="F80" s="903"/>
      <c r="G80" s="870"/>
    </row>
    <row r="81" spans="1:7" s="894" customFormat="1" ht="12" thickBot="1" x14ac:dyDescent="0.25">
      <c r="A81" s="2291" t="s">
        <v>1167</v>
      </c>
      <c r="B81" s="2292"/>
      <c r="C81" s="2292"/>
      <c r="D81" s="2292"/>
      <c r="E81" s="2292"/>
      <c r="F81" s="229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3">
        <f>'Revenues 9-14'!F42</f>
        <v>11602</v>
      </c>
      <c r="G84" s="913"/>
    </row>
    <row r="85" spans="1:7" x14ac:dyDescent="0.2">
      <c r="A85" s="909" t="s">
        <v>481</v>
      </c>
      <c r="B85" s="909" t="s">
        <v>192</v>
      </c>
      <c r="C85" s="914">
        <f>'Revenues 9-14'!B44</f>
        <v>1413</v>
      </c>
      <c r="D85" s="912" t="str">
        <f>'Revenues 9-14'!A44</f>
        <v>Regular - Transp Fees from Other Sources (In State)</v>
      </c>
      <c r="E85" s="907"/>
      <c r="F85" s="1803">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3">
        <f>'Revenues 9-14'!F45</f>
        <v>0</v>
      </c>
      <c r="G86" s="915"/>
    </row>
    <row r="87" spans="1:7" x14ac:dyDescent="0.2">
      <c r="A87" s="909" t="s">
        <v>481</v>
      </c>
      <c r="B87" s="909" t="s">
        <v>169</v>
      </c>
      <c r="C87" s="911">
        <v>1416</v>
      </c>
      <c r="D87" s="912" t="str">
        <f>'Revenues 9-14'!A46</f>
        <v>Regular Transp Fees from Other Sources (Out of State)</v>
      </c>
      <c r="E87" s="907"/>
      <c r="F87" s="1803">
        <f>'Revenues 9-14'!F46</f>
        <v>0</v>
      </c>
      <c r="G87" s="915"/>
    </row>
    <row r="88" spans="1:7" x14ac:dyDescent="0.2">
      <c r="A88" s="909" t="s">
        <v>481</v>
      </c>
      <c r="B88" s="909" t="s">
        <v>170</v>
      </c>
      <c r="C88" s="911">
        <f>'Revenues 9-14'!B51</f>
        <v>1431</v>
      </c>
      <c r="D88" s="912" t="str">
        <f>'Revenues 9-14'!A51</f>
        <v>CTE - Transp Fees from Pupils or Parents (In State)</v>
      </c>
      <c r="E88" s="907"/>
      <c r="F88" s="1803">
        <f>'Revenues 9-14'!F51</f>
        <v>0</v>
      </c>
      <c r="G88" s="915"/>
    </row>
    <row r="89" spans="1:7" x14ac:dyDescent="0.2">
      <c r="A89" s="909" t="s">
        <v>481</v>
      </c>
      <c r="B89" s="909" t="s">
        <v>171</v>
      </c>
      <c r="C89" s="911">
        <f>'Revenues 9-14'!B53</f>
        <v>1433</v>
      </c>
      <c r="D89" s="912" t="str">
        <f>'Revenues 9-14'!A53</f>
        <v>CTE - Transp Fees from Other Sources (In State)</v>
      </c>
      <c r="E89" s="907"/>
      <c r="F89" s="1803">
        <f>'Revenues 9-14'!F53</f>
        <v>0</v>
      </c>
      <c r="G89" s="915"/>
    </row>
    <row r="90" spans="1:7" x14ac:dyDescent="0.2">
      <c r="A90" s="909" t="s">
        <v>481</v>
      </c>
      <c r="B90" s="909" t="s">
        <v>172</v>
      </c>
      <c r="C90" s="911">
        <f>'Revenues 9-14'!B54</f>
        <v>1434</v>
      </c>
      <c r="D90" s="912" t="str">
        <f>'Revenues 9-14'!A54</f>
        <v>CTE - Transp Fees from Other Sources (Out of State)</v>
      </c>
      <c r="E90" s="907"/>
      <c r="F90" s="1803">
        <f>'Revenues 9-14'!F54</f>
        <v>0</v>
      </c>
      <c r="G90" s="915"/>
    </row>
    <row r="91" spans="1:7" x14ac:dyDescent="0.2">
      <c r="A91" s="909" t="s">
        <v>481</v>
      </c>
      <c r="B91" s="909" t="s">
        <v>173</v>
      </c>
      <c r="C91" s="916">
        <f>'Revenues 9-14'!B55</f>
        <v>1441</v>
      </c>
      <c r="D91" s="912" t="str">
        <f>'Revenues 9-14'!A55</f>
        <v>Special Ed - Transp Fees from Pupils or Parents (In State)</v>
      </c>
      <c r="E91" s="907"/>
      <c r="F91" s="1803">
        <f>'Revenues 9-14'!F55</f>
        <v>0</v>
      </c>
      <c r="G91" s="915"/>
    </row>
    <row r="92" spans="1:7" x14ac:dyDescent="0.2">
      <c r="A92" s="909" t="s">
        <v>481</v>
      </c>
      <c r="B92" s="909" t="s">
        <v>174</v>
      </c>
      <c r="C92" s="911">
        <f>'Revenues 9-14'!B57</f>
        <v>1443</v>
      </c>
      <c r="D92" s="912" t="str">
        <f>'Revenues 9-14'!A57</f>
        <v>Special Ed - Transp Fees from Other Sources (In State)</v>
      </c>
      <c r="E92" s="907"/>
      <c r="F92" s="1803">
        <f>'Revenues 9-14'!F57</f>
        <v>0</v>
      </c>
      <c r="G92" s="917"/>
    </row>
    <row r="93" spans="1:7" x14ac:dyDescent="0.2">
      <c r="A93" s="909" t="s">
        <v>481</v>
      </c>
      <c r="B93" s="909" t="s">
        <v>175</v>
      </c>
      <c r="C93" s="911">
        <f>'Revenues 9-14'!B58</f>
        <v>1444</v>
      </c>
      <c r="D93" s="912" t="str">
        <f>'Revenues 9-14'!A58</f>
        <v>Special Ed - Transp Fees from Other Sources (Out of State)</v>
      </c>
      <c r="E93" s="907"/>
      <c r="F93" s="1803">
        <f>'Revenues 9-14'!F58</f>
        <v>0</v>
      </c>
      <c r="G93" s="917"/>
    </row>
    <row r="94" spans="1:7" x14ac:dyDescent="0.2">
      <c r="A94" s="909" t="s">
        <v>479</v>
      </c>
      <c r="B94" s="909" t="s">
        <v>176</v>
      </c>
      <c r="C94" s="911">
        <v>1600</v>
      </c>
      <c r="D94" s="918" t="str">
        <f>'Revenues 9-14'!A75</f>
        <v>Total Food Service</v>
      </c>
      <c r="E94" s="907"/>
      <c r="F94" s="1803">
        <f>'Revenues 9-14'!C75</f>
        <v>1056150</v>
      </c>
      <c r="G94" s="913"/>
    </row>
    <row r="95" spans="1:7" x14ac:dyDescent="0.2">
      <c r="A95" s="909" t="s">
        <v>142</v>
      </c>
      <c r="B95" s="909" t="s">
        <v>177</v>
      </c>
      <c r="C95" s="911">
        <v>1700</v>
      </c>
      <c r="D95" s="919" t="str">
        <f>'Revenues 9-14'!A82</f>
        <v>Total District/School Activity Income</v>
      </c>
      <c r="E95" s="907"/>
      <c r="F95" s="1803">
        <f>SUM('Revenues 9-14'!C82,'Revenues 9-14'!D82)</f>
        <v>1322482</v>
      </c>
      <c r="G95" s="913"/>
    </row>
    <row r="96" spans="1:7" x14ac:dyDescent="0.2">
      <c r="A96" s="909" t="s">
        <v>479</v>
      </c>
      <c r="B96" s="909" t="s">
        <v>178</v>
      </c>
      <c r="C96" s="911">
        <f>'Revenues 9-14'!B84</f>
        <v>1811</v>
      </c>
      <c r="D96" s="912" t="str">
        <f>'Revenues 9-14'!A84</f>
        <v>Rentals - Regular Textbooks</v>
      </c>
      <c r="E96" s="907"/>
      <c r="F96" s="1803">
        <f>'Revenues 9-14'!C84</f>
        <v>0</v>
      </c>
      <c r="G96" s="913"/>
    </row>
    <row r="97" spans="1:7" x14ac:dyDescent="0.2">
      <c r="A97" s="909" t="s">
        <v>479</v>
      </c>
      <c r="B97" s="909" t="s">
        <v>179</v>
      </c>
      <c r="C97" s="911">
        <f>'Revenues 9-14'!B87</f>
        <v>1819</v>
      </c>
      <c r="D97" s="912" t="str">
        <f>'Revenues 9-14'!A87</f>
        <v>Rentals - Other (Describe &amp; Itemize)</v>
      </c>
      <c r="E97" s="907"/>
      <c r="F97" s="1803">
        <f>'Revenues 9-14'!C87</f>
        <v>0</v>
      </c>
      <c r="G97" s="913"/>
    </row>
    <row r="98" spans="1:7" x14ac:dyDescent="0.2">
      <c r="A98" s="909" t="s">
        <v>479</v>
      </c>
      <c r="B98" s="909" t="s">
        <v>180</v>
      </c>
      <c r="C98" s="911">
        <f>'Revenues 9-14'!B88</f>
        <v>1821</v>
      </c>
      <c r="D98" s="912" t="str">
        <f>'Revenues 9-14'!A88</f>
        <v>Sales - Regular Textbooks</v>
      </c>
      <c r="E98" s="907"/>
      <c r="F98" s="1803">
        <f>'Revenues 9-14'!C88</f>
        <v>0</v>
      </c>
      <c r="G98" s="913"/>
    </row>
    <row r="99" spans="1:7" x14ac:dyDescent="0.2">
      <c r="A99" s="909" t="s">
        <v>479</v>
      </c>
      <c r="B99" s="909" t="s">
        <v>181</v>
      </c>
      <c r="C99" s="911">
        <f>'Revenues 9-14'!B91</f>
        <v>1829</v>
      </c>
      <c r="D99" s="912" t="str">
        <f>'Revenues 9-14'!A91</f>
        <v>Sales - Other (Describe &amp; Itemize)</v>
      </c>
      <c r="E99" s="907"/>
      <c r="F99" s="1803">
        <f>'Revenues 9-14'!C91</f>
        <v>2225</v>
      </c>
      <c r="G99" s="913"/>
    </row>
    <row r="100" spans="1:7" x14ac:dyDescent="0.2">
      <c r="A100" s="909" t="s">
        <v>479</v>
      </c>
      <c r="B100" s="909" t="s">
        <v>182</v>
      </c>
      <c r="C100" s="911">
        <f>'Revenues 9-14'!B92</f>
        <v>1890</v>
      </c>
      <c r="D100" s="912" t="str">
        <f>'Revenues 9-14'!A92</f>
        <v>Other (Describe &amp; Itemize)</v>
      </c>
      <c r="E100" s="907"/>
      <c r="F100" s="1803">
        <f>'Revenues 9-14'!C92</f>
        <v>0</v>
      </c>
      <c r="G100" s="913"/>
    </row>
    <row r="101" spans="1:7" x14ac:dyDescent="0.2">
      <c r="A101" s="909" t="s">
        <v>142</v>
      </c>
      <c r="B101" s="909" t="s">
        <v>183</v>
      </c>
      <c r="C101" s="911">
        <f>'Revenues 9-14'!B95</f>
        <v>1910</v>
      </c>
      <c r="D101" s="912" t="str">
        <f>'Revenues 9-14'!A95</f>
        <v>Rentals</v>
      </c>
      <c r="E101" s="907"/>
      <c r="F101" s="1803">
        <f>SUM('Revenues 9-14'!C95:D95)</f>
        <v>156099</v>
      </c>
      <c r="G101" s="913"/>
    </row>
    <row r="102" spans="1:7" x14ac:dyDescent="0.2">
      <c r="A102" s="909" t="s">
        <v>524</v>
      </c>
      <c r="B102" s="909" t="s">
        <v>184</v>
      </c>
      <c r="C102" s="911">
        <f>'Revenues 9-14'!B98</f>
        <v>1940</v>
      </c>
      <c r="D102" s="912" t="str">
        <f>'Revenues 9-14'!A98</f>
        <v>Services Provided Other Districts</v>
      </c>
      <c r="E102" s="907"/>
      <c r="F102" s="180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3">
        <f>('Revenues 9-14'!C106)</f>
        <v>10079</v>
      </c>
      <c r="G104" s="913"/>
    </row>
    <row r="105" spans="1:7" x14ac:dyDescent="0.2">
      <c r="A105" s="909" t="s">
        <v>524</v>
      </c>
      <c r="B105" s="909" t="s">
        <v>842</v>
      </c>
      <c r="C105" s="914">
        <v>3100</v>
      </c>
      <c r="D105" s="920" t="str">
        <f>'Revenues 9-14'!A131</f>
        <v>Total Special Education</v>
      </c>
      <c r="E105" s="907"/>
      <c r="F105" s="1803">
        <f>SUM('Revenues 9-14'!C131:D131,'Revenues 9-14'!F131)</f>
        <v>567901</v>
      </c>
      <c r="G105" s="913"/>
    </row>
    <row r="106" spans="1:7" x14ac:dyDescent="0.2">
      <c r="A106" s="909" t="s">
        <v>694</v>
      </c>
      <c r="B106" s="909" t="s">
        <v>1483</v>
      </c>
      <c r="C106" s="921">
        <v>3200</v>
      </c>
      <c r="D106" s="912" t="str">
        <f>'Revenues 9-14'!A140</f>
        <v>Total Career and Technical Education</v>
      </c>
      <c r="E106" s="907"/>
      <c r="F106" s="1803">
        <f>SUM('Revenues 9-14'!C140,'Revenues 9-14'!D140,'Revenues 9-14'!G140)</f>
        <v>42423</v>
      </c>
      <c r="G106" s="913"/>
    </row>
    <row r="107" spans="1:7" x14ac:dyDescent="0.2">
      <c r="A107" s="922" t="s">
        <v>685</v>
      </c>
      <c r="B107" s="909" t="s">
        <v>843</v>
      </c>
      <c r="C107" s="921">
        <v>3300</v>
      </c>
      <c r="D107" s="912" t="str">
        <f>'Revenues 9-14'!A144</f>
        <v>Total Bilingual Ed</v>
      </c>
      <c r="E107" s="907"/>
      <c r="F107" s="1803">
        <f>SUM('Revenues 9-14'!C144,'Revenues 9-14'!G144)</f>
        <v>7389</v>
      </c>
      <c r="G107" s="913"/>
    </row>
    <row r="108" spans="1:7" x14ac:dyDescent="0.2">
      <c r="A108" s="909" t="s">
        <v>479</v>
      </c>
      <c r="B108" s="909" t="s">
        <v>844</v>
      </c>
      <c r="C108" s="921">
        <f>'Revenues 9-14'!B145</f>
        <v>3360</v>
      </c>
      <c r="D108" s="912" t="str">
        <f>'Revenues 9-14'!A145</f>
        <v>State Free Lunch &amp; Breakfast</v>
      </c>
      <c r="E108" s="907"/>
      <c r="F108" s="1803">
        <f>'Revenues 9-14'!C145</f>
        <v>2734</v>
      </c>
      <c r="G108" s="913"/>
    </row>
    <row r="109" spans="1:7" x14ac:dyDescent="0.2">
      <c r="A109" s="909" t="s">
        <v>694</v>
      </c>
      <c r="B109" s="909" t="s">
        <v>845</v>
      </c>
      <c r="C109" s="921">
        <f>'Revenues 9-14'!B146</f>
        <v>3365</v>
      </c>
      <c r="D109" s="912" t="str">
        <f>'Revenues 9-14'!A146</f>
        <v>School Breakfast Initiative</v>
      </c>
      <c r="E109" s="907"/>
      <c r="F109" s="180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3">
        <f>SUM('Revenues 9-14'!C147,'Revenues 9-14'!D147)</f>
        <v>99615</v>
      </c>
      <c r="G110" s="913"/>
    </row>
    <row r="111" spans="1:7" x14ac:dyDescent="0.2">
      <c r="A111" s="909" t="s">
        <v>689</v>
      </c>
      <c r="B111" s="909" t="s">
        <v>802</v>
      </c>
      <c r="C111" s="923">
        <v>3500</v>
      </c>
      <c r="D111" s="912" t="str">
        <f>'Revenues 9-14'!A154</f>
        <v>Total Transportation</v>
      </c>
      <c r="E111" s="907"/>
      <c r="F111" s="1803">
        <f>SUM('Revenues 9-14'!C154,'Revenues 9-14'!D154,'Revenues 9-14'!F154,'Revenues 9-14'!G154)</f>
        <v>345637</v>
      </c>
      <c r="G111" s="913"/>
    </row>
    <row r="112" spans="1:7" x14ac:dyDescent="0.2">
      <c r="A112" s="909" t="s">
        <v>479</v>
      </c>
      <c r="B112" s="909" t="s">
        <v>847</v>
      </c>
      <c r="C112" s="921">
        <f>'Revenues 9-14'!B155</f>
        <v>3610</v>
      </c>
      <c r="D112" s="912" t="str">
        <f>'Revenues 9-14'!A155</f>
        <v>Learning Improvement - Change Grants</v>
      </c>
      <c r="E112" s="907"/>
      <c r="F112" s="1803">
        <f>'Revenues 9-14'!C155</f>
        <v>0</v>
      </c>
      <c r="G112" s="913"/>
    </row>
    <row r="113" spans="1:7" x14ac:dyDescent="0.2">
      <c r="A113" s="909" t="s">
        <v>689</v>
      </c>
      <c r="B113" s="909" t="s">
        <v>848</v>
      </c>
      <c r="C113" s="921">
        <f>'Revenues 9-14'!B156</f>
        <v>3660</v>
      </c>
      <c r="D113" s="912" t="str">
        <f>'Revenues 9-14'!A156</f>
        <v>Scientific Literacy</v>
      </c>
      <c r="E113" s="907"/>
      <c r="F113" s="180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3">
        <f>SUM('Revenues 9-14'!C166:G166)</f>
        <v>0</v>
      </c>
      <c r="G122" s="913"/>
    </row>
    <row r="123" spans="1:7" x14ac:dyDescent="0.2">
      <c r="A123" s="924" t="s">
        <v>525</v>
      </c>
      <c r="B123" s="924" t="s">
        <v>853</v>
      </c>
      <c r="C123" s="925">
        <f>'Revenues 9-14'!B167</f>
        <v>3815</v>
      </c>
      <c r="D123" s="926" t="str">
        <f>'Revenues 9-14'!A167</f>
        <v>State Charter Schools</v>
      </c>
      <c r="E123" s="907"/>
      <c r="F123" s="192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3">
        <f>'Revenues 9-14'!D170</f>
        <v>0</v>
      </c>
      <c r="G124" s="931"/>
    </row>
    <row r="125" spans="1:7" x14ac:dyDescent="0.2">
      <c r="A125" s="928" t="s">
        <v>521</v>
      </c>
      <c r="B125" s="928" t="s">
        <v>855</v>
      </c>
      <c r="C125" s="929">
        <f>'Revenues 9-14'!B171</f>
        <v>3999</v>
      </c>
      <c r="D125" s="930" t="s">
        <v>564</v>
      </c>
      <c r="E125" s="932"/>
      <c r="F125" s="1803">
        <f>SUM('Revenues 9-14'!C171:G171,'Revenues 9-14'!J171)</f>
        <v>1678</v>
      </c>
      <c r="G125" s="931"/>
    </row>
    <row r="126" spans="1:7" x14ac:dyDescent="0.2">
      <c r="A126" s="928" t="s">
        <v>479</v>
      </c>
      <c r="B126" s="928" t="s">
        <v>856</v>
      </c>
      <c r="C126" s="933">
        <f>'Revenues 9-14'!B180</f>
        <v>4045</v>
      </c>
      <c r="D126" s="930" t="str">
        <f>'Revenues 9-14'!A180 &amp; " (Subtract)"</f>
        <v>Head Start (Subtract)</v>
      </c>
      <c r="E126" s="907"/>
      <c r="F126" s="180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3">
        <f>SUM('Revenues 9-14'!C184,'Revenues 9-14'!D184,'Revenues 9-14'!F184,'Revenues 9-14'!G184)</f>
        <v>0</v>
      </c>
      <c r="G127" s="931"/>
    </row>
    <row r="128" spans="1:7" x14ac:dyDescent="0.2">
      <c r="A128" s="928" t="s">
        <v>689</v>
      </c>
      <c r="B128" s="928" t="s">
        <v>858</v>
      </c>
      <c r="C128" s="933">
        <v>4100</v>
      </c>
      <c r="D128" s="934" t="str">
        <f>'Revenues 9-14'!A191</f>
        <v>Total Title V</v>
      </c>
      <c r="E128" s="907"/>
      <c r="F128" s="180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3">
        <f>SUM('Revenues 9-14'!C201,'Revenues 9-14'!G201)</f>
        <v>0</v>
      </c>
      <c r="G129" s="931"/>
    </row>
    <row r="130" spans="1:7" x14ac:dyDescent="0.2">
      <c r="A130" s="928" t="s">
        <v>689</v>
      </c>
      <c r="B130" s="928" t="s">
        <v>804</v>
      </c>
      <c r="C130" s="933">
        <v>4300</v>
      </c>
      <c r="D130" s="934" t="str">
        <f>'Revenues 9-14'!A211</f>
        <v>Total Title I</v>
      </c>
      <c r="E130" s="907"/>
      <c r="F130" s="1803">
        <f>SUM('Revenues 9-14'!C211,'Revenues 9-14'!D211,'Revenues 9-14'!F211,'Revenues 9-14'!G211)</f>
        <v>229215</v>
      </c>
      <c r="G130" s="931"/>
    </row>
    <row r="131" spans="1:7" x14ac:dyDescent="0.2">
      <c r="A131" s="928" t="s">
        <v>689</v>
      </c>
      <c r="B131" s="928" t="s">
        <v>805</v>
      </c>
      <c r="C131" s="933">
        <v>4400</v>
      </c>
      <c r="D131" s="934" t="str">
        <f>'Revenues 9-14'!A216</f>
        <v>Total Title IV</v>
      </c>
      <c r="E131" s="907"/>
      <c r="F131" s="1803">
        <f>SUM('Revenues 9-14'!C216,'Revenues 9-14'!D216,'Revenues 9-14'!F216,'Revenues 9-14'!G216)</f>
        <v>14500</v>
      </c>
      <c r="G131" s="931"/>
    </row>
    <row r="132" spans="1:7" x14ac:dyDescent="0.2">
      <c r="A132" s="928" t="s">
        <v>689</v>
      </c>
      <c r="B132" s="928" t="s">
        <v>190</v>
      </c>
      <c r="C132" s="933">
        <f>'Revenues 9-14'!B220</f>
        <v>4620</v>
      </c>
      <c r="D132" s="934" t="str">
        <f>'Revenues 9-14'!A220</f>
        <v>Fed - Spec Education - IDEA - Flow Through</v>
      </c>
      <c r="E132" s="907"/>
      <c r="F132" s="1803">
        <f>SUM('Revenues 9-14'!C220:D220,'Revenues 9-14'!F220:G220)</f>
        <v>477225</v>
      </c>
      <c r="G132" s="931"/>
    </row>
    <row r="133" spans="1:7" x14ac:dyDescent="0.2">
      <c r="A133" s="928" t="s">
        <v>689</v>
      </c>
      <c r="B133" s="928" t="s">
        <v>191</v>
      </c>
      <c r="C133" s="933">
        <f>'Revenues 9-14'!B221</f>
        <v>4625</v>
      </c>
      <c r="D133" s="934" t="str">
        <f>'Revenues 9-14'!A221</f>
        <v>Fed - Spec Education - IDEA - Room &amp; Board</v>
      </c>
      <c r="E133" s="907"/>
      <c r="F133" s="1803">
        <f>SUM('Revenues 9-14'!C221,'Revenues 9-14'!D221,'Revenues 9-14'!F221,'Revenues 9-14'!G221)</f>
        <v>159618</v>
      </c>
      <c r="G133" s="931"/>
    </row>
    <row r="134" spans="1:7" x14ac:dyDescent="0.2">
      <c r="A134" s="928" t="s">
        <v>689</v>
      </c>
      <c r="B134" s="928" t="s">
        <v>859</v>
      </c>
      <c r="C134" s="933">
        <f>'Revenues 9-14'!B222</f>
        <v>4630</v>
      </c>
      <c r="D134" s="934" t="str">
        <f>'Revenues 9-14'!A222</f>
        <v>Fed - Spec Education - IDEA - Discretionary</v>
      </c>
      <c r="E134" s="907"/>
      <c r="F134" s="180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3">
        <f>SUM('Revenues 9-14'!C223:D223,'Revenues 9-14'!F223:G223)</f>
        <v>0</v>
      </c>
      <c r="G135" s="931"/>
    </row>
    <row r="136" spans="1:7" x14ac:dyDescent="0.2">
      <c r="A136" s="928" t="s">
        <v>694</v>
      </c>
      <c r="B136" s="928" t="s">
        <v>807</v>
      </c>
      <c r="C136" s="933">
        <v>4700</v>
      </c>
      <c r="D136" s="930" t="str">
        <f>'Revenues 9-14'!A228</f>
        <v>Total CTE - Perkins</v>
      </c>
      <c r="E136" s="907"/>
      <c r="F136" s="1803">
        <f>SUM('Revenues 9-14'!C228,'Revenues 9-14'!D228,'Revenues 9-14'!G228)</f>
        <v>27232</v>
      </c>
      <c r="G136" s="931">
        <v>6303</v>
      </c>
    </row>
    <row r="137" spans="1:7" s="868" customFormat="1" hidden="1" x14ac:dyDescent="0.2">
      <c r="A137" s="935" t="s">
        <v>215</v>
      </c>
      <c r="B137" s="935" t="s">
        <v>1484</v>
      </c>
      <c r="C137" s="936" t="s">
        <v>216</v>
      </c>
      <c r="D137" s="937" t="str">
        <f>'Revenues 9-14'!A231</f>
        <v>ARRA - Title I - Low Income</v>
      </c>
      <c r="E137" s="938"/>
      <c r="F137" s="192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3">
        <v>0</v>
      </c>
      <c r="G142" s="906"/>
    </row>
    <row r="143" spans="1:7" s="868" customFormat="1" hidden="1" x14ac:dyDescent="0.2">
      <c r="A143" s="935" t="s">
        <v>215</v>
      </c>
      <c r="B143" s="935" t="s">
        <v>228</v>
      </c>
      <c r="C143" s="936" t="s">
        <v>225</v>
      </c>
      <c r="D143" s="937" t="str">
        <f>'Revenues 9-14'!A237</f>
        <v>ARRA - IDEA - Part B - Flow-Through</v>
      </c>
      <c r="E143" s="938"/>
      <c r="F143" s="180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3">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3">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3">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3">
        <v>0</v>
      </c>
      <c r="G155" s="906"/>
    </row>
    <row r="156" spans="1:7" s="868" customFormat="1" hidden="1" x14ac:dyDescent="0.2">
      <c r="A156" s="935" t="s">
        <v>215</v>
      </c>
      <c r="B156" s="935" t="s">
        <v>250</v>
      </c>
      <c r="C156" s="936" t="s">
        <v>247</v>
      </c>
      <c r="D156" s="937" t="str">
        <f>'Revenues 9-14'!A254</f>
        <v>Other ARRA Funds VII</v>
      </c>
      <c r="E156" s="938"/>
      <c r="F156" s="180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3">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3">
        <f>SUM('Revenues 9-14'!C258:G258,'Revenues 9-14'!J258)</f>
        <v>0</v>
      </c>
      <c r="G160" s="906"/>
    </row>
    <row r="161" spans="1:7" s="868" customFormat="1" x14ac:dyDescent="0.2">
      <c r="A161" s="939" t="s">
        <v>521</v>
      </c>
      <c r="B161" s="940" t="s">
        <v>1564</v>
      </c>
      <c r="C161" s="941" t="s">
        <v>896</v>
      </c>
      <c r="D161" s="942" t="s">
        <v>808</v>
      </c>
      <c r="E161" s="943"/>
      <c r="F161" s="1803">
        <f>SUM(F137:F160)</f>
        <v>0</v>
      </c>
      <c r="G161" s="906"/>
    </row>
    <row r="162" spans="1:7" s="868" customFormat="1" x14ac:dyDescent="0.2">
      <c r="A162" s="939" t="s">
        <v>479</v>
      </c>
      <c r="B162" s="940" t="s">
        <v>1501</v>
      </c>
      <c r="C162" s="941" t="s">
        <v>1499</v>
      </c>
      <c r="D162" s="942" t="s">
        <v>1500</v>
      </c>
      <c r="E162" s="943"/>
      <c r="F162" s="1803">
        <f>SUM('Revenues 9-14'!C260)</f>
        <v>0</v>
      </c>
      <c r="G162" s="906"/>
    </row>
    <row r="163" spans="1:7" s="868" customFormat="1" x14ac:dyDescent="0.2">
      <c r="A163" s="939" t="s">
        <v>521</v>
      </c>
      <c r="B163" s="940" t="s">
        <v>1541</v>
      </c>
      <c r="C163" s="941" t="s">
        <v>1542</v>
      </c>
      <c r="D163" s="942" t="s">
        <v>1543</v>
      </c>
      <c r="E163" s="943"/>
      <c r="F163" s="1803">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3">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3">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3">
        <f>SUM('Revenues 9-14'!C268,'Revenues 9-14'!D268,'Revenues 9-14'!F268,'Revenues 9-14'!G268)</f>
        <v>58217</v>
      </c>
      <c r="G170" s="931"/>
    </row>
    <row r="171" spans="1:7" x14ac:dyDescent="0.2">
      <c r="A171" s="928" t="s">
        <v>689</v>
      </c>
      <c r="B171" s="928" t="s">
        <v>864</v>
      </c>
      <c r="C171" s="933">
        <f>'Revenues 9-14'!B269</f>
        <v>4960</v>
      </c>
      <c r="D171" s="930" t="str">
        <f>'Revenues 9-14'!A269</f>
        <v>Federal Charter Schools</v>
      </c>
      <c r="E171" s="907"/>
      <c r="F171" s="180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3">
        <f>SUM('Revenues 9-14'!C270:D270,'Revenues 9-14'!F270:G270)</f>
        <v>42699</v>
      </c>
      <c r="G172" s="948">
        <v>6320</v>
      </c>
    </row>
    <row r="173" spans="1:7" x14ac:dyDescent="0.2">
      <c r="A173" s="928" t="s">
        <v>689</v>
      </c>
      <c r="B173" s="928" t="s">
        <v>1503</v>
      </c>
      <c r="C173" s="933">
        <f>'Revenues 9-14'!B271</f>
        <v>4992</v>
      </c>
      <c r="D173" s="934" t="str">
        <f>'Revenues 9-14'!A271</f>
        <v>Medicaid Matching Funds - Fee-for-Service Program</v>
      </c>
      <c r="E173" s="907"/>
      <c r="F173" s="1803">
        <f>SUM('Revenues 9-14'!C271:D271,'Revenues 9-14'!F271:G271)</f>
        <v>84954</v>
      </c>
      <c r="G173" s="948"/>
    </row>
    <row r="174" spans="1:7" x14ac:dyDescent="0.2">
      <c r="A174" s="949" t="s">
        <v>689</v>
      </c>
      <c r="B174" s="945" t="s">
        <v>1558</v>
      </c>
      <c r="C174" s="946">
        <f>'Revenues 9-14'!B272</f>
        <v>4999</v>
      </c>
      <c r="D174" s="947" t="str">
        <f>'Revenues 9-14'!A272</f>
        <v>Other Restricted Revenue from Federal Sources (Describe &amp; Itemize)</v>
      </c>
      <c r="E174" s="907"/>
      <c r="F174" s="1803">
        <f>SUM('Revenues 9-14'!C272:D272,'Revenues 9-14'!F272:G272)</f>
        <v>0</v>
      </c>
      <c r="G174" s="928"/>
    </row>
    <row r="175" spans="1:7" x14ac:dyDescent="0.2">
      <c r="A175" s="1934" t="s">
        <v>5</v>
      </c>
      <c r="B175" s="1935" t="s">
        <v>2055</v>
      </c>
      <c r="C175" s="1936">
        <v>3100</v>
      </c>
      <c r="D175" s="1937" t="s">
        <v>2058</v>
      </c>
      <c r="E175" s="907"/>
      <c r="F175" s="1921">
        <v>672572</v>
      </c>
      <c r="G175" s="928"/>
    </row>
    <row r="176" spans="1:7" x14ac:dyDescent="0.2">
      <c r="A176" s="1934" t="s">
        <v>685</v>
      </c>
      <c r="B176" s="1935" t="s">
        <v>2055</v>
      </c>
      <c r="C176" s="1936">
        <v>3300</v>
      </c>
      <c r="D176" s="1937" t="s">
        <v>2059</v>
      </c>
      <c r="E176" s="907"/>
      <c r="F176" s="1921">
        <v>7418</v>
      </c>
      <c r="G176" s="928"/>
    </row>
    <row r="177" spans="1:7" ht="6" customHeight="1" x14ac:dyDescent="0.2">
      <c r="A177" s="928"/>
      <c r="B177" s="928"/>
      <c r="C177" s="950"/>
      <c r="D177" s="928"/>
      <c r="E177" s="907"/>
      <c r="F177" s="951"/>
      <c r="G177" s="948"/>
    </row>
    <row r="178" spans="1:7" x14ac:dyDescent="0.2">
      <c r="A178" s="1784"/>
      <c r="B178" s="1798"/>
      <c r="C178" s="1799"/>
      <c r="D178" s="1800" t="s">
        <v>2011</v>
      </c>
      <c r="E178" s="1801" t="s">
        <v>1015</v>
      </c>
      <c r="F178" s="1802">
        <f>SUM(F84:F136,F161:F176)</f>
        <v>5399664</v>
      </c>
    </row>
    <row r="179" spans="1:7" ht="12" customHeight="1" x14ac:dyDescent="0.2">
      <c r="A179" s="1784"/>
      <c r="B179" s="1798"/>
      <c r="C179" s="1799"/>
      <c r="D179" s="1800" t="s">
        <v>2012</v>
      </c>
      <c r="E179" s="1801"/>
      <c r="F179" s="1803">
        <f>'PCTC-OEPP 27-28'!F77-F178</f>
        <v>37831034</v>
      </c>
    </row>
    <row r="180" spans="1:7" ht="12" customHeight="1" x14ac:dyDescent="0.2">
      <c r="A180" s="1784"/>
      <c r="B180" s="1798"/>
      <c r="C180" s="1799"/>
      <c r="D180" s="1800" t="s">
        <v>1921</v>
      </c>
      <c r="E180" s="1801"/>
      <c r="F180" s="1803">
        <f>'Cap Outlay Deprec 26'!I18</f>
        <v>3119501.1</v>
      </c>
    </row>
    <row r="181" spans="1:7" ht="12" customHeight="1" x14ac:dyDescent="0.2">
      <c r="A181" s="1784"/>
      <c r="B181" s="1798"/>
      <c r="C181" s="1799"/>
      <c r="D181" s="1800" t="s">
        <v>2013</v>
      </c>
      <c r="E181" s="1801"/>
      <c r="F181" s="1803">
        <f>F179+F180</f>
        <v>40950535.100000001</v>
      </c>
    </row>
    <row r="182" spans="1:7" ht="12" customHeight="1" x14ac:dyDescent="0.2">
      <c r="A182" s="1784"/>
      <c r="B182" s="1804"/>
      <c r="C182" s="1799"/>
      <c r="D182" s="1800" t="str">
        <f>D78</f>
        <v>9 Month ADA from District Average Daily Attendance/Prior General State Aid Inquiry 2017-2018</v>
      </c>
      <c r="E182" s="1801"/>
      <c r="F182" s="1805">
        <f>'PCTC-OEPP 27-28'!F78</f>
        <v>2353.64</v>
      </c>
      <c r="G182" s="931"/>
    </row>
    <row r="183" spans="1:7" ht="12" customHeight="1" thickBot="1" x14ac:dyDescent="0.25">
      <c r="A183" s="1784"/>
      <c r="B183" s="1804"/>
      <c r="C183" s="1799"/>
      <c r="D183" s="1800" t="s">
        <v>2014</v>
      </c>
      <c r="E183" s="1801" t="s">
        <v>1626</v>
      </c>
      <c r="F183" s="1806">
        <f>F181/F182</f>
        <v>17398.809970938633</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8" customFormat="1" ht="12.2" customHeight="1" x14ac:dyDescent="0.2">
      <c r="A186" s="1938" t="s">
        <v>2062</v>
      </c>
      <c r="B186" s="1939"/>
      <c r="C186" s="1940"/>
      <c r="D186" s="1939"/>
      <c r="E186" s="1940"/>
      <c r="F186" s="1939"/>
      <c r="G186" s="1939"/>
    </row>
    <row r="187" spans="1:7" s="1938" customFormat="1" ht="12.2" customHeight="1" x14ac:dyDescent="0.2">
      <c r="A187" s="1941" t="s">
        <v>2063</v>
      </c>
      <c r="C187" s="1940"/>
      <c r="D187" s="1939"/>
      <c r="E187" s="1940"/>
      <c r="F187" s="1939"/>
      <c r="G187" s="1939"/>
    </row>
    <row r="188" spans="1:7" ht="12" customHeight="1" x14ac:dyDescent="0.2">
      <c r="C188" s="950"/>
      <c r="D188" s="931"/>
      <c r="E188" s="950"/>
      <c r="F188" s="931"/>
      <c r="G188" s="931"/>
    </row>
    <row r="189" spans="1:7" x14ac:dyDescent="0.2">
      <c r="A189" s="1942" t="s">
        <v>2061</v>
      </c>
      <c r="B189" s="194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J30" sqref="J30"/>
      <selection pane="bottomLeft" activeCell="C17" sqref="C17:D47"/>
    </sheetView>
  </sheetViews>
  <sheetFormatPr defaultColWidth="9.140625" defaultRowHeight="15" x14ac:dyDescent="0.25"/>
  <cols>
    <col min="1" max="1" width="52" style="1556" customWidth="1"/>
    <col min="2" max="2" width="16.42578125" style="1557" bestFit="1" customWidth="1"/>
    <col min="3" max="3" width="33.7109375" style="1557" customWidth="1"/>
    <col min="4" max="4" width="16.28515625" style="1558" customWidth="1"/>
    <col min="5" max="5" width="0.140625" style="1558" hidden="1" customWidth="1"/>
    <col min="6" max="6" width="23.5703125" style="1558" customWidth="1"/>
    <col min="7" max="7" width="23.28515625" style="1557" customWidth="1"/>
    <col min="8" max="16384" width="9.140625" style="1547"/>
  </cols>
  <sheetData>
    <row r="1" spans="1:7" ht="15" customHeight="1" x14ac:dyDescent="0.25">
      <c r="A1" s="1673" t="s">
        <v>1937</v>
      </c>
      <c r="B1" s="1674"/>
      <c r="C1" s="1674"/>
      <c r="D1" s="1674"/>
      <c r="E1" s="1674"/>
      <c r="F1" s="1674"/>
      <c r="G1" s="1674"/>
    </row>
    <row r="2" spans="1:7" x14ac:dyDescent="0.25">
      <c r="A2" s="1671"/>
      <c r="B2" s="1671"/>
      <c r="C2" s="1672" t="s">
        <v>1036</v>
      </c>
      <c r="D2" s="1671"/>
      <c r="E2" s="1671"/>
      <c r="F2" s="1671"/>
      <c r="G2" s="1671"/>
    </row>
    <row r="3" spans="1:7" ht="5.25" customHeight="1" x14ac:dyDescent="0.25">
      <c r="A3" s="1559"/>
      <c r="B3" s="1559"/>
      <c r="C3" s="1559"/>
      <c r="D3" s="1559"/>
      <c r="E3" s="1559"/>
      <c r="F3" s="1559"/>
      <c r="G3" s="1559"/>
    </row>
    <row r="4" spans="1:7" ht="18.75" customHeight="1" x14ac:dyDescent="0.25">
      <c r="A4" s="2305" t="s">
        <v>1922</v>
      </c>
      <c r="B4" s="2306"/>
      <c r="C4" s="2306"/>
      <c r="D4" s="2306"/>
      <c r="E4" s="2306"/>
      <c r="F4" s="2306"/>
      <c r="G4" s="2307"/>
    </row>
    <row r="5" spans="1:7" x14ac:dyDescent="0.25">
      <c r="A5" s="2308"/>
      <c r="B5" s="2309"/>
      <c r="C5" s="2309"/>
      <c r="D5" s="2309"/>
      <c r="E5" s="2309"/>
      <c r="F5" s="2309"/>
      <c r="G5" s="2310"/>
    </row>
    <row r="6" spans="1:7" ht="18.75" x14ac:dyDescent="0.25">
      <c r="A6" s="1548" t="s">
        <v>1923</v>
      </c>
      <c r="B6" s="1549"/>
      <c r="C6" s="1549"/>
      <c r="D6" s="1549"/>
      <c r="E6" s="1549"/>
      <c r="F6" s="1549"/>
      <c r="G6" s="1550"/>
    </row>
    <row r="7" spans="1:7" ht="30.75" customHeight="1" x14ac:dyDescent="0.25">
      <c r="A7" s="2311" t="s">
        <v>2072</v>
      </c>
      <c r="B7" s="2312"/>
      <c r="C7" s="2312"/>
      <c r="D7" s="2312"/>
      <c r="E7" s="2312"/>
      <c r="F7" s="2312"/>
      <c r="G7" s="2313"/>
    </row>
    <row r="8" spans="1:7" ht="15.75" customHeight="1" x14ac:dyDescent="0.25">
      <c r="A8" s="2314" t="s">
        <v>2021</v>
      </c>
      <c r="B8" s="2315"/>
      <c r="C8" s="2315"/>
      <c r="D8" s="2315"/>
      <c r="E8" s="2315"/>
      <c r="F8" s="2315"/>
      <c r="G8" s="2316"/>
    </row>
    <row r="9" spans="1:7" ht="35.25" customHeight="1" x14ac:dyDescent="0.25">
      <c r="A9" s="2311" t="s">
        <v>2020</v>
      </c>
      <c r="B9" s="2312"/>
      <c r="C9" s="2312"/>
      <c r="D9" s="2312"/>
      <c r="E9" s="2312"/>
      <c r="F9" s="2312"/>
      <c r="G9" s="2313"/>
    </row>
    <row r="10" spans="1:7" ht="15" customHeight="1" x14ac:dyDescent="0.25">
      <c r="A10" s="1551" t="s">
        <v>1924</v>
      </c>
      <c r="B10" s="1552"/>
      <c r="C10" s="1552"/>
      <c r="D10" s="1552"/>
      <c r="E10" s="1552"/>
      <c r="F10" s="1552"/>
      <c r="G10" s="1553"/>
    </row>
    <row r="11" spans="1:7" ht="17.25" customHeight="1" x14ac:dyDescent="0.25">
      <c r="A11" s="2311" t="s">
        <v>1938</v>
      </c>
      <c r="B11" s="2312"/>
      <c r="C11" s="2312"/>
      <c r="D11" s="2312"/>
      <c r="E11" s="2312"/>
      <c r="F11" s="2312"/>
      <c r="G11" s="2313"/>
    </row>
    <row r="12" spans="1:7" ht="15" customHeight="1" x14ac:dyDescent="0.25">
      <c r="A12" s="1551" t="s">
        <v>1929</v>
      </c>
      <c r="B12" s="1552"/>
      <c r="C12" s="1552"/>
      <c r="D12" s="1552"/>
      <c r="E12" s="1552"/>
      <c r="F12" s="1552"/>
      <c r="G12" s="1553"/>
    </row>
    <row r="13" spans="1:7" ht="32.25" customHeight="1" x14ac:dyDescent="0.25">
      <c r="A13" s="2302" t="s">
        <v>1930</v>
      </c>
      <c r="B13" s="2303"/>
      <c r="C13" s="2303"/>
      <c r="D13" s="2303"/>
      <c r="E13" s="2303"/>
      <c r="F13" s="2303"/>
      <c r="G13" s="2304"/>
    </row>
    <row r="14" spans="1:7" x14ac:dyDescent="0.25">
      <c r="A14" s="1675" t="s">
        <v>1939</v>
      </c>
      <c r="B14" s="1676"/>
      <c r="C14" s="1676"/>
      <c r="D14" s="1676"/>
      <c r="E14" s="1676"/>
      <c r="F14" s="1676"/>
      <c r="G14" s="1677"/>
    </row>
    <row r="15" spans="1:7" ht="61.5" customHeight="1" x14ac:dyDescent="0.25">
      <c r="A15" s="1560" t="s">
        <v>1931</v>
      </c>
      <c r="B15" s="1560" t="s">
        <v>1932</v>
      </c>
      <c r="C15" s="1560" t="s">
        <v>1933</v>
      </c>
      <c r="D15" s="1561" t="s">
        <v>1934</v>
      </c>
      <c r="E15" s="1561" t="s">
        <v>1925</v>
      </c>
      <c r="F15" s="1561" t="s">
        <v>1935</v>
      </c>
      <c r="G15" s="1561" t="s">
        <v>1936</v>
      </c>
    </row>
    <row r="16" spans="1:7" x14ac:dyDescent="0.25">
      <c r="A16" s="1662" t="s">
        <v>1940</v>
      </c>
      <c r="B16" s="1663" t="s">
        <v>1928</v>
      </c>
      <c r="C16" s="1664" t="s">
        <v>1926</v>
      </c>
      <c r="D16" s="1665">
        <v>500000</v>
      </c>
      <c r="E16" s="1665">
        <f>IF(D16&lt;=25000,D16,IF(D16&gt;25000,25000,0))</f>
        <v>25000</v>
      </c>
      <c r="F16" s="166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6">
        <f>IF(F16=0,"0",D16-F16)</f>
        <v>475000</v>
      </c>
    </row>
    <row r="17" spans="1:8" ht="30" x14ac:dyDescent="0.25">
      <c r="A17" s="1970" t="s">
        <v>2180</v>
      </c>
      <c r="B17" s="1972" t="s">
        <v>2181</v>
      </c>
      <c r="C17" s="1974" t="s">
        <v>2214</v>
      </c>
      <c r="D17" s="1975">
        <v>20506.37</v>
      </c>
      <c r="E17" s="1554">
        <f t="shared" ref="E17:E141" si="1">IF(D17&lt;=25000,D17,IF(D17&gt;25000,25000,0))</f>
        <v>20506.37</v>
      </c>
      <c r="F17" s="1807">
        <f t="shared" si="0"/>
        <v>20506.37</v>
      </c>
      <c r="G17" s="1808">
        <f>IF(F17=0,0,D17-F17)</f>
        <v>0</v>
      </c>
      <c r="H17" s="1661"/>
    </row>
    <row r="18" spans="1:8" ht="30" x14ac:dyDescent="0.25">
      <c r="A18" s="1970" t="s">
        <v>2180</v>
      </c>
      <c r="B18" s="1972" t="s">
        <v>2181</v>
      </c>
      <c r="C18" s="1974" t="s">
        <v>2215</v>
      </c>
      <c r="D18" s="1975">
        <v>23210.22</v>
      </c>
      <c r="E18" s="1554">
        <f t="shared" ref="E18:E140" si="2">IF(D18&lt;=25000,D18,IF(D18&gt;25000,25000,0))</f>
        <v>23210.22</v>
      </c>
      <c r="F18" s="180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23210.22</v>
      </c>
      <c r="G18" s="1808">
        <f t="shared" ref="G18:G140" si="4">IF(F18=0,0,D18-F18)</f>
        <v>0</v>
      </c>
    </row>
    <row r="19" spans="1:8" x14ac:dyDescent="0.25">
      <c r="A19" s="1970" t="s">
        <v>2186</v>
      </c>
      <c r="B19" s="1972" t="s">
        <v>2182</v>
      </c>
      <c r="C19" s="1974" t="s">
        <v>2216</v>
      </c>
      <c r="D19" s="1975">
        <v>101214.55</v>
      </c>
      <c r="E19" s="1554">
        <f t="shared" si="2"/>
        <v>25000</v>
      </c>
      <c r="F19" s="1807">
        <f t="shared" si="3"/>
        <v>25000</v>
      </c>
      <c r="G19" s="1808">
        <f t="shared" si="4"/>
        <v>76214.55</v>
      </c>
    </row>
    <row r="20" spans="1:8" x14ac:dyDescent="0.25">
      <c r="A20" s="1970" t="s">
        <v>2187</v>
      </c>
      <c r="B20" s="1972" t="s">
        <v>2183</v>
      </c>
      <c r="C20" s="1974" t="s">
        <v>2217</v>
      </c>
      <c r="D20" s="1975">
        <v>56961.310000000005</v>
      </c>
      <c r="E20" s="1554">
        <f t="shared" si="2"/>
        <v>25000</v>
      </c>
      <c r="F20" s="1807">
        <f t="shared" si="3"/>
        <v>25000</v>
      </c>
      <c r="G20" s="1808">
        <f t="shared" si="4"/>
        <v>31961.310000000005</v>
      </c>
    </row>
    <row r="21" spans="1:8" ht="30" x14ac:dyDescent="0.25">
      <c r="A21" s="1970" t="s">
        <v>2188</v>
      </c>
      <c r="B21" s="1972" t="s">
        <v>2184</v>
      </c>
      <c r="C21" s="1974" t="s">
        <v>2218</v>
      </c>
      <c r="D21" s="1975">
        <v>341693</v>
      </c>
      <c r="E21" s="1554">
        <f t="shared" si="2"/>
        <v>25000</v>
      </c>
      <c r="F21" s="1807">
        <f t="shared" si="3"/>
        <v>25000</v>
      </c>
      <c r="G21" s="1808">
        <f t="shared" si="4"/>
        <v>316693</v>
      </c>
    </row>
    <row r="22" spans="1:8" ht="30" x14ac:dyDescent="0.25">
      <c r="A22" s="1970" t="s">
        <v>2189</v>
      </c>
      <c r="B22" s="1972" t="s">
        <v>2185</v>
      </c>
      <c r="C22" s="1974" t="s">
        <v>2219</v>
      </c>
      <c r="D22" s="1975">
        <v>454679.83999999997</v>
      </c>
      <c r="E22" s="1554">
        <f t="shared" si="2"/>
        <v>25000</v>
      </c>
      <c r="F22" s="1807">
        <f t="shared" si="3"/>
        <v>25000</v>
      </c>
      <c r="G22" s="1808">
        <f t="shared" si="4"/>
        <v>429679.83999999997</v>
      </c>
    </row>
    <row r="23" spans="1:8" ht="30" x14ac:dyDescent="0.25">
      <c r="A23" s="1970" t="s">
        <v>2188</v>
      </c>
      <c r="B23" s="1972" t="s">
        <v>2184</v>
      </c>
      <c r="C23" s="1974" t="s">
        <v>2220</v>
      </c>
      <c r="D23" s="1975">
        <v>33000</v>
      </c>
      <c r="E23" s="1554">
        <f t="shared" si="2"/>
        <v>25000</v>
      </c>
      <c r="F23" s="1807">
        <f t="shared" si="3"/>
        <v>25000</v>
      </c>
      <c r="G23" s="1808">
        <f t="shared" si="4"/>
        <v>8000</v>
      </c>
    </row>
    <row r="24" spans="1:8" x14ac:dyDescent="0.25">
      <c r="A24" s="1970" t="s">
        <v>2190</v>
      </c>
      <c r="B24" s="1972" t="s">
        <v>2202</v>
      </c>
      <c r="C24" s="1974" t="s">
        <v>2221</v>
      </c>
      <c r="D24" s="1975">
        <v>32240</v>
      </c>
      <c r="E24" s="1554">
        <f t="shared" si="2"/>
        <v>25000</v>
      </c>
      <c r="F24" s="1807">
        <f t="shared" si="3"/>
        <v>25000</v>
      </c>
      <c r="G24" s="1808">
        <f t="shared" si="4"/>
        <v>7240</v>
      </c>
    </row>
    <row r="25" spans="1:8" x14ac:dyDescent="0.25">
      <c r="A25" s="1970" t="s">
        <v>2186</v>
      </c>
      <c r="B25" s="1972" t="s">
        <v>2182</v>
      </c>
      <c r="C25" s="1974" t="s">
        <v>2222</v>
      </c>
      <c r="D25" s="1975">
        <v>1239.2</v>
      </c>
      <c r="E25" s="1554">
        <f t="shared" si="2"/>
        <v>1239.2</v>
      </c>
      <c r="F25" s="1807">
        <f t="shared" si="3"/>
        <v>1239.2</v>
      </c>
      <c r="G25" s="1808">
        <f t="shared" si="4"/>
        <v>0</v>
      </c>
    </row>
    <row r="26" spans="1:8" x14ac:dyDescent="0.25">
      <c r="A26" s="1970" t="s">
        <v>2187</v>
      </c>
      <c r="B26" s="1972" t="s">
        <v>2183</v>
      </c>
      <c r="C26" s="1974" t="s">
        <v>2222</v>
      </c>
      <c r="D26" s="1975">
        <v>3717.5700000000006</v>
      </c>
      <c r="E26" s="1554">
        <f t="shared" si="2"/>
        <v>3717.5700000000006</v>
      </c>
      <c r="F26" s="1807">
        <f t="shared" si="3"/>
        <v>3717.5700000000006</v>
      </c>
      <c r="G26" s="1808">
        <f t="shared" si="4"/>
        <v>0</v>
      </c>
    </row>
    <row r="27" spans="1:8" ht="30" x14ac:dyDescent="0.25">
      <c r="A27" s="1970" t="s">
        <v>2191</v>
      </c>
      <c r="B27" s="1972" t="s">
        <v>2203</v>
      </c>
      <c r="C27" s="1974" t="s">
        <v>2222</v>
      </c>
      <c r="D27" s="1975">
        <v>14978.12</v>
      </c>
      <c r="E27" s="1554">
        <f t="shared" si="2"/>
        <v>14978.12</v>
      </c>
      <c r="F27" s="1807">
        <f t="shared" si="3"/>
        <v>14978.12</v>
      </c>
      <c r="G27" s="1808">
        <f t="shared" si="4"/>
        <v>0</v>
      </c>
    </row>
    <row r="28" spans="1:8" ht="30" x14ac:dyDescent="0.25">
      <c r="A28" s="1970" t="s">
        <v>2188</v>
      </c>
      <c r="B28" s="1972" t="s">
        <v>2184</v>
      </c>
      <c r="C28" s="1974" t="s">
        <v>2222</v>
      </c>
      <c r="D28" s="1975">
        <v>1133.0999999999999</v>
      </c>
      <c r="E28" s="1554">
        <f t="shared" si="2"/>
        <v>1133.0999999999999</v>
      </c>
      <c r="F28" s="1807">
        <f t="shared" si="3"/>
        <v>1133.0999999999999</v>
      </c>
      <c r="G28" s="1808">
        <f t="shared" si="4"/>
        <v>0</v>
      </c>
    </row>
    <row r="29" spans="1:8" ht="30" x14ac:dyDescent="0.25">
      <c r="A29" s="1970" t="s">
        <v>2192</v>
      </c>
      <c r="B29" s="1972" t="s">
        <v>2204</v>
      </c>
      <c r="C29" s="1974" t="s">
        <v>2222</v>
      </c>
      <c r="D29" s="1975">
        <v>5071.8899999999994</v>
      </c>
      <c r="E29" s="1554">
        <f t="shared" si="2"/>
        <v>5071.8899999999994</v>
      </c>
      <c r="F29" s="1807">
        <f t="shared" si="3"/>
        <v>5071.8899999999994</v>
      </c>
      <c r="G29" s="1808">
        <f t="shared" si="4"/>
        <v>0</v>
      </c>
    </row>
    <row r="30" spans="1:8" ht="30" x14ac:dyDescent="0.25">
      <c r="A30" s="1970" t="s">
        <v>2193</v>
      </c>
      <c r="B30" s="1972" t="s">
        <v>2205</v>
      </c>
      <c r="C30" s="1974" t="s">
        <v>2222</v>
      </c>
      <c r="D30" s="1975">
        <v>427.6</v>
      </c>
      <c r="E30" s="1554">
        <f t="shared" si="2"/>
        <v>427.6</v>
      </c>
      <c r="F30" s="1807">
        <f t="shared" si="3"/>
        <v>427.6</v>
      </c>
      <c r="G30" s="1808">
        <f t="shared" si="4"/>
        <v>0</v>
      </c>
    </row>
    <row r="31" spans="1:8" x14ac:dyDescent="0.25">
      <c r="A31" s="1970" t="s">
        <v>2194</v>
      </c>
      <c r="B31" s="1972" t="s">
        <v>2206</v>
      </c>
      <c r="C31" s="1974" t="s">
        <v>2222</v>
      </c>
      <c r="D31" s="1975">
        <v>1089.2199999999998</v>
      </c>
      <c r="E31" s="1554">
        <f t="shared" si="2"/>
        <v>1089.2199999999998</v>
      </c>
      <c r="F31" s="1807">
        <f t="shared" si="3"/>
        <v>1089.2199999999998</v>
      </c>
      <c r="G31" s="1808">
        <f t="shared" si="4"/>
        <v>0</v>
      </c>
    </row>
    <row r="32" spans="1:8" ht="30" x14ac:dyDescent="0.25">
      <c r="A32" s="1970" t="s">
        <v>2180</v>
      </c>
      <c r="B32" s="1972" t="s">
        <v>2181</v>
      </c>
      <c r="C32" s="1974" t="s">
        <v>2222</v>
      </c>
      <c r="D32" s="1975">
        <v>1711.1100000000001</v>
      </c>
      <c r="E32" s="1554">
        <f t="shared" si="2"/>
        <v>1711.1100000000001</v>
      </c>
      <c r="F32" s="1807">
        <f t="shared" si="3"/>
        <v>1711.1100000000001</v>
      </c>
      <c r="G32" s="1808">
        <f t="shared" si="4"/>
        <v>0</v>
      </c>
    </row>
    <row r="33" spans="1:7" x14ac:dyDescent="0.25">
      <c r="A33" s="1970" t="s">
        <v>2195</v>
      </c>
      <c r="B33" s="1972" t="s">
        <v>2207</v>
      </c>
      <c r="C33" s="1974" t="s">
        <v>2222</v>
      </c>
      <c r="D33" s="1975">
        <v>40529.150000000009</v>
      </c>
      <c r="E33" s="1554">
        <f t="shared" si="2"/>
        <v>25000</v>
      </c>
      <c r="F33" s="1807">
        <f t="shared" si="3"/>
        <v>25000</v>
      </c>
      <c r="G33" s="1808">
        <f t="shared" si="4"/>
        <v>15529.150000000009</v>
      </c>
    </row>
    <row r="34" spans="1:7" ht="30" x14ac:dyDescent="0.25">
      <c r="A34" s="1970" t="s">
        <v>2196</v>
      </c>
      <c r="B34" s="1972" t="s">
        <v>2208</v>
      </c>
      <c r="C34" s="1974" t="s">
        <v>2222</v>
      </c>
      <c r="D34" s="1975">
        <v>229.12</v>
      </c>
      <c r="E34" s="1554">
        <f t="shared" si="2"/>
        <v>229.12</v>
      </c>
      <c r="F34" s="1807">
        <f t="shared" si="3"/>
        <v>229.12</v>
      </c>
      <c r="G34" s="1808">
        <f t="shared" si="4"/>
        <v>0</v>
      </c>
    </row>
    <row r="35" spans="1:7" x14ac:dyDescent="0.25">
      <c r="A35" s="1970" t="s">
        <v>2197</v>
      </c>
      <c r="B35" s="1972" t="s">
        <v>2209</v>
      </c>
      <c r="C35" s="1974" t="s">
        <v>2222</v>
      </c>
      <c r="D35" s="1975">
        <v>229.12</v>
      </c>
      <c r="E35" s="1554">
        <f t="shared" si="2"/>
        <v>229.12</v>
      </c>
      <c r="F35" s="1807">
        <f t="shared" si="3"/>
        <v>229.12</v>
      </c>
      <c r="G35" s="1808">
        <f t="shared" si="4"/>
        <v>0</v>
      </c>
    </row>
    <row r="36" spans="1:7" x14ac:dyDescent="0.25">
      <c r="A36" s="1970" t="s">
        <v>2198</v>
      </c>
      <c r="B36" s="1972" t="s">
        <v>2210</v>
      </c>
      <c r="C36" s="1974" t="s">
        <v>2222</v>
      </c>
      <c r="D36" s="1975">
        <v>661.46</v>
      </c>
      <c r="E36" s="1554">
        <f t="shared" si="2"/>
        <v>661.46</v>
      </c>
      <c r="F36" s="1807">
        <f t="shared" si="3"/>
        <v>661.46</v>
      </c>
      <c r="G36" s="1808">
        <f t="shared" si="4"/>
        <v>0</v>
      </c>
    </row>
    <row r="37" spans="1:7" x14ac:dyDescent="0.25">
      <c r="A37" s="1970" t="s">
        <v>2199</v>
      </c>
      <c r="B37" s="1972" t="s">
        <v>2211</v>
      </c>
      <c r="C37" s="1973" t="s">
        <v>2223</v>
      </c>
      <c r="D37" s="1975">
        <v>1392373.31</v>
      </c>
      <c r="E37" s="1554">
        <f t="shared" si="2"/>
        <v>25000</v>
      </c>
      <c r="F37" s="1807">
        <f t="shared" si="3"/>
        <v>25000</v>
      </c>
      <c r="G37" s="1808">
        <f t="shared" si="4"/>
        <v>1367373.31</v>
      </c>
    </row>
    <row r="38" spans="1:7" x14ac:dyDescent="0.25">
      <c r="A38" s="1970" t="s">
        <v>2187</v>
      </c>
      <c r="B38" s="1971" t="s">
        <v>2183</v>
      </c>
      <c r="C38" s="1973" t="s">
        <v>2224</v>
      </c>
      <c r="D38" s="1975">
        <v>43062.8</v>
      </c>
      <c r="E38" s="1554">
        <f t="shared" si="2"/>
        <v>25000</v>
      </c>
      <c r="F38" s="1807">
        <f t="shared" si="3"/>
        <v>25000</v>
      </c>
      <c r="G38" s="1808">
        <f t="shared" si="4"/>
        <v>18062.800000000003</v>
      </c>
    </row>
    <row r="39" spans="1:7" x14ac:dyDescent="0.25">
      <c r="A39" s="1970" t="s">
        <v>2190</v>
      </c>
      <c r="B39" s="1971" t="s">
        <v>2202</v>
      </c>
      <c r="C39" s="1973" t="s">
        <v>2225</v>
      </c>
      <c r="D39" s="1975">
        <v>45951.7</v>
      </c>
      <c r="E39" s="1554">
        <f t="shared" si="2"/>
        <v>25000</v>
      </c>
      <c r="F39" s="1807">
        <f t="shared" si="3"/>
        <v>25000</v>
      </c>
      <c r="G39" s="1808">
        <f t="shared" si="4"/>
        <v>20951.699999999997</v>
      </c>
    </row>
    <row r="40" spans="1:7" x14ac:dyDescent="0.25">
      <c r="A40" s="1970" t="s">
        <v>2187</v>
      </c>
      <c r="B40" s="1971" t="s">
        <v>2183</v>
      </c>
      <c r="C40" s="1973" t="s">
        <v>2226</v>
      </c>
      <c r="D40" s="1975">
        <v>24375</v>
      </c>
      <c r="E40" s="1554">
        <f t="shared" si="2"/>
        <v>24375</v>
      </c>
      <c r="F40" s="1807">
        <f t="shared" si="3"/>
        <v>24375</v>
      </c>
      <c r="G40" s="1808">
        <f t="shared" si="4"/>
        <v>0</v>
      </c>
    </row>
    <row r="41" spans="1:7" x14ac:dyDescent="0.25">
      <c r="A41" s="1970" t="s">
        <v>2199</v>
      </c>
      <c r="B41" s="1971" t="s">
        <v>2211</v>
      </c>
      <c r="C41" s="1973" t="s">
        <v>2227</v>
      </c>
      <c r="D41" s="1975">
        <v>49704</v>
      </c>
      <c r="E41" s="1554">
        <f t="shared" si="2"/>
        <v>25000</v>
      </c>
      <c r="F41" s="1807">
        <f t="shared" si="3"/>
        <v>25000</v>
      </c>
      <c r="G41" s="1808">
        <f t="shared" si="4"/>
        <v>24704</v>
      </c>
    </row>
    <row r="42" spans="1:7" x14ac:dyDescent="0.25">
      <c r="A42" s="1970" t="s">
        <v>2187</v>
      </c>
      <c r="B42" s="1971" t="s">
        <v>2183</v>
      </c>
      <c r="C42" s="1973" t="s">
        <v>2228</v>
      </c>
      <c r="D42" s="1975">
        <v>36319.660000000003</v>
      </c>
      <c r="E42" s="1554">
        <f t="shared" si="2"/>
        <v>25000</v>
      </c>
      <c r="F42" s="1807">
        <f t="shared" si="3"/>
        <v>25000</v>
      </c>
      <c r="G42" s="1808">
        <f t="shared" si="4"/>
        <v>11319.660000000003</v>
      </c>
    </row>
    <row r="43" spans="1:7" x14ac:dyDescent="0.25">
      <c r="A43" s="1970" t="s">
        <v>2199</v>
      </c>
      <c r="B43" s="1971" t="s">
        <v>2211</v>
      </c>
      <c r="C43" s="1973" t="s">
        <v>2229</v>
      </c>
      <c r="D43" s="1975">
        <v>339583.7</v>
      </c>
      <c r="E43" s="1554">
        <f t="shared" si="2"/>
        <v>25000</v>
      </c>
      <c r="F43" s="1807">
        <f t="shared" si="3"/>
        <v>25000</v>
      </c>
      <c r="G43" s="1808">
        <f t="shared" si="4"/>
        <v>314583.7</v>
      </c>
    </row>
    <row r="44" spans="1:7" ht="30" x14ac:dyDescent="0.25">
      <c r="A44" s="1970" t="s">
        <v>2180</v>
      </c>
      <c r="B44" s="1971" t="s">
        <v>2181</v>
      </c>
      <c r="C44" s="1973" t="s">
        <v>2230</v>
      </c>
      <c r="D44" s="1975">
        <v>270093.77999999997</v>
      </c>
      <c r="E44" s="1554">
        <f t="shared" si="2"/>
        <v>25000</v>
      </c>
      <c r="F44" s="1807">
        <f t="shared" si="3"/>
        <v>25000</v>
      </c>
      <c r="G44" s="1808">
        <f t="shared" si="4"/>
        <v>245093.77999999997</v>
      </c>
    </row>
    <row r="45" spans="1:7" x14ac:dyDescent="0.25">
      <c r="A45" s="1970" t="s">
        <v>2200</v>
      </c>
      <c r="B45" s="1971" t="s">
        <v>2212</v>
      </c>
      <c r="C45" s="1973" t="s">
        <v>2231</v>
      </c>
      <c r="D45" s="1975">
        <v>1364464.92</v>
      </c>
      <c r="E45" s="1554">
        <f t="shared" si="2"/>
        <v>25000</v>
      </c>
      <c r="F45" s="1807">
        <f t="shared" si="3"/>
        <v>25000</v>
      </c>
      <c r="G45" s="1808">
        <f t="shared" si="4"/>
        <v>1339464.92</v>
      </c>
    </row>
    <row r="46" spans="1:7" ht="30" x14ac:dyDescent="0.25">
      <c r="A46" s="1970" t="s">
        <v>2180</v>
      </c>
      <c r="B46" s="1971" t="s">
        <v>2181</v>
      </c>
      <c r="C46" s="1973" t="s">
        <v>2232</v>
      </c>
      <c r="D46" s="1975">
        <v>33530.559999999998</v>
      </c>
      <c r="E46" s="1554">
        <f t="shared" si="2"/>
        <v>25000</v>
      </c>
      <c r="F46" s="1807">
        <f t="shared" si="3"/>
        <v>25000</v>
      </c>
      <c r="G46" s="1808">
        <f t="shared" si="4"/>
        <v>8530.5599999999977</v>
      </c>
    </row>
    <row r="47" spans="1:7" ht="30" x14ac:dyDescent="0.25">
      <c r="A47" s="1970" t="s">
        <v>2201</v>
      </c>
      <c r="B47" s="1971" t="s">
        <v>2213</v>
      </c>
      <c r="C47" s="1973" t="s">
        <v>2233</v>
      </c>
      <c r="D47" s="1975">
        <v>237689.72</v>
      </c>
      <c r="E47" s="1554">
        <f t="shared" si="2"/>
        <v>25000</v>
      </c>
      <c r="F47" s="1807">
        <f t="shared" si="3"/>
        <v>25000</v>
      </c>
      <c r="G47" s="1808">
        <f t="shared" si="4"/>
        <v>212689.72</v>
      </c>
    </row>
    <row r="48" spans="1:7" x14ac:dyDescent="0.25">
      <c r="A48" s="1667"/>
      <c r="B48" s="1681"/>
      <c r="C48" s="1668"/>
      <c r="D48" s="1859"/>
      <c r="E48" s="1554">
        <f t="shared" si="2"/>
        <v>0</v>
      </c>
      <c r="F48" s="1807">
        <f t="shared" si="3"/>
        <v>0</v>
      </c>
      <c r="G48" s="1808">
        <f t="shared" si="4"/>
        <v>0</v>
      </c>
    </row>
    <row r="49" spans="1:7" x14ac:dyDescent="0.25">
      <c r="A49" s="1667"/>
      <c r="B49" s="1681"/>
      <c r="C49" s="1668"/>
      <c r="D49" s="1859"/>
      <c r="E49" s="1554">
        <f t="shared" si="2"/>
        <v>0</v>
      </c>
      <c r="F49" s="1807">
        <f t="shared" si="3"/>
        <v>0</v>
      </c>
      <c r="G49" s="1808">
        <f t="shared" si="4"/>
        <v>0</v>
      </c>
    </row>
    <row r="50" spans="1:7" x14ac:dyDescent="0.25">
      <c r="A50" s="1667"/>
      <c r="B50" s="1681"/>
      <c r="C50" s="1668"/>
      <c r="D50" s="1859"/>
      <c r="E50" s="1554">
        <f t="shared" si="2"/>
        <v>0</v>
      </c>
      <c r="F50" s="1807">
        <f t="shared" si="3"/>
        <v>0</v>
      </c>
      <c r="G50" s="1808">
        <f t="shared" si="4"/>
        <v>0</v>
      </c>
    </row>
    <row r="51" spans="1:7" x14ac:dyDescent="0.25">
      <c r="A51" s="1667"/>
      <c r="B51" s="1681"/>
      <c r="C51" s="1668"/>
      <c r="D51" s="1859"/>
      <c r="E51" s="1554">
        <f t="shared" si="2"/>
        <v>0</v>
      </c>
      <c r="F51" s="1807">
        <f t="shared" si="3"/>
        <v>0</v>
      </c>
      <c r="G51" s="1808">
        <f t="shared" si="4"/>
        <v>0</v>
      </c>
    </row>
    <row r="52" spans="1:7" x14ac:dyDescent="0.25">
      <c r="A52" s="1667"/>
      <c r="B52" s="1681"/>
      <c r="C52" s="1668"/>
      <c r="D52" s="1859"/>
      <c r="E52" s="1554">
        <f t="shared" si="2"/>
        <v>0</v>
      </c>
      <c r="F52" s="1807">
        <f t="shared" si="3"/>
        <v>0</v>
      </c>
      <c r="G52" s="1808">
        <f t="shared" si="4"/>
        <v>0</v>
      </c>
    </row>
    <row r="53" spans="1:7" x14ac:dyDescent="0.25">
      <c r="A53" s="1667"/>
      <c r="B53" s="1681"/>
      <c r="C53" s="1668"/>
      <c r="D53" s="1859"/>
      <c r="E53" s="1554">
        <f t="shared" si="2"/>
        <v>0</v>
      </c>
      <c r="F53" s="1807">
        <f t="shared" si="3"/>
        <v>0</v>
      </c>
      <c r="G53" s="1808">
        <f t="shared" si="4"/>
        <v>0</v>
      </c>
    </row>
    <row r="54" spans="1:7" x14ac:dyDescent="0.25">
      <c r="A54" s="1667"/>
      <c r="B54" s="1681"/>
      <c r="C54" s="1668"/>
      <c r="D54" s="1859"/>
      <c r="E54" s="1554">
        <f t="shared" si="2"/>
        <v>0</v>
      </c>
      <c r="F54" s="1807">
        <f t="shared" si="3"/>
        <v>0</v>
      </c>
      <c r="G54" s="1808">
        <f t="shared" si="4"/>
        <v>0</v>
      </c>
    </row>
    <row r="55" spans="1:7" x14ac:dyDescent="0.25">
      <c r="A55" s="1667"/>
      <c r="B55" s="1681"/>
      <c r="C55" s="1668"/>
      <c r="D55" s="1859"/>
      <c r="E55" s="1554">
        <f t="shared" si="2"/>
        <v>0</v>
      </c>
      <c r="F55" s="1807">
        <f t="shared" si="3"/>
        <v>0</v>
      </c>
      <c r="G55" s="1808">
        <f t="shared" si="4"/>
        <v>0</v>
      </c>
    </row>
    <row r="56" spans="1:7" x14ac:dyDescent="0.25">
      <c r="A56" s="1667"/>
      <c r="B56" s="1681"/>
      <c r="C56" s="1668"/>
      <c r="D56" s="1859"/>
      <c r="E56" s="1554">
        <f t="shared" si="2"/>
        <v>0</v>
      </c>
      <c r="F56" s="1807">
        <f t="shared" si="3"/>
        <v>0</v>
      </c>
      <c r="G56" s="1808">
        <f t="shared" si="4"/>
        <v>0</v>
      </c>
    </row>
    <row r="57" spans="1:7" x14ac:dyDescent="0.25">
      <c r="A57" s="1667"/>
      <c r="B57" s="1681"/>
      <c r="C57" s="1668"/>
      <c r="D57" s="1859"/>
      <c r="E57" s="1554">
        <f t="shared" si="2"/>
        <v>0</v>
      </c>
      <c r="F57" s="1807">
        <f t="shared" si="3"/>
        <v>0</v>
      </c>
      <c r="G57" s="1808">
        <f t="shared" si="4"/>
        <v>0</v>
      </c>
    </row>
    <row r="58" spans="1:7" x14ac:dyDescent="0.25">
      <c r="A58" s="1667"/>
      <c r="B58" s="1681"/>
      <c r="C58" s="1668"/>
      <c r="D58" s="1859"/>
      <c r="E58" s="1554">
        <f t="shared" si="2"/>
        <v>0</v>
      </c>
      <c r="F58" s="1807">
        <f t="shared" si="3"/>
        <v>0</v>
      </c>
      <c r="G58" s="1808">
        <f t="shared" si="4"/>
        <v>0</v>
      </c>
    </row>
    <row r="59" spans="1:7" x14ac:dyDescent="0.25">
      <c r="A59" s="1667"/>
      <c r="B59" s="1681"/>
      <c r="C59" s="1668"/>
      <c r="D59" s="1859"/>
      <c r="E59" s="1554">
        <f t="shared" si="2"/>
        <v>0</v>
      </c>
      <c r="F59" s="1807">
        <f t="shared" si="3"/>
        <v>0</v>
      </c>
      <c r="G59" s="1808">
        <f t="shared" si="4"/>
        <v>0</v>
      </c>
    </row>
    <row r="60" spans="1:7" x14ac:dyDescent="0.25">
      <c r="A60" s="1667"/>
      <c r="B60" s="1681"/>
      <c r="C60" s="1668"/>
      <c r="D60" s="1859"/>
      <c r="E60" s="1554">
        <f t="shared" si="2"/>
        <v>0</v>
      </c>
      <c r="F60" s="1807">
        <f t="shared" si="3"/>
        <v>0</v>
      </c>
      <c r="G60" s="1808">
        <f t="shared" si="4"/>
        <v>0</v>
      </c>
    </row>
    <row r="61" spans="1:7" x14ac:dyDescent="0.25">
      <c r="A61" s="1667"/>
      <c r="B61" s="1681"/>
      <c r="C61" s="1668"/>
      <c r="D61" s="1859"/>
      <c r="E61" s="1554">
        <f t="shared" si="2"/>
        <v>0</v>
      </c>
      <c r="F61" s="1807">
        <f t="shared" si="3"/>
        <v>0</v>
      </c>
      <c r="G61" s="1808">
        <f t="shared" si="4"/>
        <v>0</v>
      </c>
    </row>
    <row r="62" spans="1:7" x14ac:dyDescent="0.25">
      <c r="A62" s="1667"/>
      <c r="B62" s="1681"/>
      <c r="C62" s="1668"/>
      <c r="D62" s="1859"/>
      <c r="E62" s="1554">
        <f t="shared" si="2"/>
        <v>0</v>
      </c>
      <c r="F62" s="1807">
        <f t="shared" si="3"/>
        <v>0</v>
      </c>
      <c r="G62" s="1808">
        <f t="shared" si="4"/>
        <v>0</v>
      </c>
    </row>
    <row r="63" spans="1:7" x14ac:dyDescent="0.25">
      <c r="A63" s="1667"/>
      <c r="B63" s="1681"/>
      <c r="C63" s="1668"/>
      <c r="D63" s="1859"/>
      <c r="E63" s="1554">
        <f t="shared" si="2"/>
        <v>0</v>
      </c>
      <c r="F63" s="1807">
        <f t="shared" si="3"/>
        <v>0</v>
      </c>
      <c r="G63" s="1808">
        <f t="shared" si="4"/>
        <v>0</v>
      </c>
    </row>
    <row r="64" spans="1:7" x14ac:dyDescent="0.25">
      <c r="A64" s="1669"/>
      <c r="B64" s="1681"/>
      <c r="C64" s="1670"/>
      <c r="D64" s="1859"/>
      <c r="E64" s="1554">
        <f t="shared" si="2"/>
        <v>0</v>
      </c>
      <c r="F64" s="1807">
        <f t="shared" si="3"/>
        <v>0</v>
      </c>
      <c r="G64" s="1808">
        <f t="shared" si="4"/>
        <v>0</v>
      </c>
    </row>
    <row r="65" spans="1:7" x14ac:dyDescent="0.25">
      <c r="A65" s="1667"/>
      <c r="B65" s="1681"/>
      <c r="C65" s="1668"/>
      <c r="D65" s="1859"/>
      <c r="E65" s="1554">
        <f t="shared" si="2"/>
        <v>0</v>
      </c>
      <c r="F65" s="1807">
        <f t="shared" si="3"/>
        <v>0</v>
      </c>
      <c r="G65" s="1808">
        <f t="shared" si="4"/>
        <v>0</v>
      </c>
    </row>
    <row r="66" spans="1:7" x14ac:dyDescent="0.25">
      <c r="A66" s="1667"/>
      <c r="B66" s="1681"/>
      <c r="C66" s="1668"/>
      <c r="D66" s="1859"/>
      <c r="E66" s="1554">
        <f t="shared" si="2"/>
        <v>0</v>
      </c>
      <c r="F66" s="1807">
        <f t="shared" si="3"/>
        <v>0</v>
      </c>
      <c r="G66" s="1808">
        <f t="shared" si="4"/>
        <v>0</v>
      </c>
    </row>
    <row r="67" spans="1:7" x14ac:dyDescent="0.25">
      <c r="A67" s="1667"/>
      <c r="B67" s="1681"/>
      <c r="C67" s="1668"/>
      <c r="D67" s="1859"/>
      <c r="E67" s="1554">
        <f t="shared" si="2"/>
        <v>0</v>
      </c>
      <c r="F67" s="1807">
        <f t="shared" si="3"/>
        <v>0</v>
      </c>
      <c r="G67" s="1808">
        <f t="shared" si="4"/>
        <v>0</v>
      </c>
    </row>
    <row r="68" spans="1:7" x14ac:dyDescent="0.25">
      <c r="A68" s="1667"/>
      <c r="B68" s="1681"/>
      <c r="C68" s="1668"/>
      <c r="D68" s="1859"/>
      <c r="E68" s="1554">
        <f t="shared" si="2"/>
        <v>0</v>
      </c>
      <c r="F68" s="1807">
        <f t="shared" si="3"/>
        <v>0</v>
      </c>
      <c r="G68" s="1808">
        <f t="shared" si="4"/>
        <v>0</v>
      </c>
    </row>
    <row r="69" spans="1:7" x14ac:dyDescent="0.25">
      <c r="A69" s="1667"/>
      <c r="B69" s="1681"/>
      <c r="C69" s="1668"/>
      <c r="D69" s="1859"/>
      <c r="E69" s="1554">
        <f t="shared" si="2"/>
        <v>0</v>
      </c>
      <c r="F69" s="1807">
        <f t="shared" si="3"/>
        <v>0</v>
      </c>
      <c r="G69" s="1808">
        <f t="shared" si="4"/>
        <v>0</v>
      </c>
    </row>
    <row r="70" spans="1:7" x14ac:dyDescent="0.25">
      <c r="A70" s="1667"/>
      <c r="B70" s="1681"/>
      <c r="C70" s="1668"/>
      <c r="D70" s="1859"/>
      <c r="E70" s="1554">
        <f t="shared" si="2"/>
        <v>0</v>
      </c>
      <c r="F70" s="1807">
        <f t="shared" si="3"/>
        <v>0</v>
      </c>
      <c r="G70" s="1808">
        <f t="shared" si="4"/>
        <v>0</v>
      </c>
    </row>
    <row r="71" spans="1:7" x14ac:dyDescent="0.25">
      <c r="A71" s="1667"/>
      <c r="B71" s="1681"/>
      <c r="C71" s="1668"/>
      <c r="D71" s="1859"/>
      <c r="E71" s="1554">
        <f t="shared" si="2"/>
        <v>0</v>
      </c>
      <c r="F71" s="1807">
        <f t="shared" si="3"/>
        <v>0</v>
      </c>
      <c r="G71" s="1808">
        <f t="shared" si="4"/>
        <v>0</v>
      </c>
    </row>
    <row r="72" spans="1:7" x14ac:dyDescent="0.25">
      <c r="A72" s="1667"/>
      <c r="B72" s="1681"/>
      <c r="C72" s="1668"/>
      <c r="D72" s="1859"/>
      <c r="E72" s="1554">
        <f t="shared" si="2"/>
        <v>0</v>
      </c>
      <c r="F72" s="1807">
        <f t="shared" si="3"/>
        <v>0</v>
      </c>
      <c r="G72" s="1808">
        <f t="shared" si="4"/>
        <v>0</v>
      </c>
    </row>
    <row r="73" spans="1:7" x14ac:dyDescent="0.25">
      <c r="A73" s="1667"/>
      <c r="B73" s="1681"/>
      <c r="C73" s="1668"/>
      <c r="D73" s="1859"/>
      <c r="E73" s="1554">
        <f t="shared" ref="E73:E84" si="5">IF(D73&lt;=25000,D73,IF(D73&gt;25000,25000,0))</f>
        <v>0</v>
      </c>
      <c r="F73" s="180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8">
        <f t="shared" ref="G73:G84" si="7">IF(F73=0,0,D73-F73)</f>
        <v>0</v>
      </c>
    </row>
    <row r="74" spans="1:7" x14ac:dyDescent="0.25">
      <c r="A74" s="1667"/>
      <c r="B74" s="1681"/>
      <c r="C74" s="1668"/>
      <c r="D74" s="1859"/>
      <c r="E74" s="1554">
        <f t="shared" si="5"/>
        <v>0</v>
      </c>
      <c r="F74" s="1807">
        <f t="shared" si="6"/>
        <v>0</v>
      </c>
      <c r="G74" s="1808">
        <f t="shared" si="7"/>
        <v>0</v>
      </c>
    </row>
    <row r="75" spans="1:7" x14ac:dyDescent="0.25">
      <c r="A75" s="1667"/>
      <c r="B75" s="1681"/>
      <c r="C75" s="1668"/>
      <c r="D75" s="1859"/>
      <c r="E75" s="1554">
        <f t="shared" si="5"/>
        <v>0</v>
      </c>
      <c r="F75" s="1807">
        <f t="shared" si="6"/>
        <v>0</v>
      </c>
      <c r="G75" s="1808">
        <f t="shared" si="7"/>
        <v>0</v>
      </c>
    </row>
    <row r="76" spans="1:7" x14ac:dyDescent="0.25">
      <c r="A76" s="1667"/>
      <c r="B76" s="1681"/>
      <c r="C76" s="1668"/>
      <c r="D76" s="1859"/>
      <c r="E76" s="1554">
        <f t="shared" si="5"/>
        <v>0</v>
      </c>
      <c r="F76" s="1807">
        <f t="shared" si="6"/>
        <v>0</v>
      </c>
      <c r="G76" s="1808">
        <f t="shared" si="7"/>
        <v>0</v>
      </c>
    </row>
    <row r="77" spans="1:7" x14ac:dyDescent="0.25">
      <c r="A77" s="1667"/>
      <c r="B77" s="1681"/>
      <c r="C77" s="1668"/>
      <c r="D77" s="1859"/>
      <c r="E77" s="1554">
        <f t="shared" si="5"/>
        <v>0</v>
      </c>
      <c r="F77" s="1807">
        <f t="shared" si="6"/>
        <v>0</v>
      </c>
      <c r="G77" s="1808">
        <f t="shared" si="7"/>
        <v>0</v>
      </c>
    </row>
    <row r="78" spans="1:7" x14ac:dyDescent="0.25">
      <c r="A78" s="1667"/>
      <c r="B78" s="1681"/>
      <c r="C78" s="1668"/>
      <c r="D78" s="1859"/>
      <c r="E78" s="1554">
        <f t="shared" si="5"/>
        <v>0</v>
      </c>
      <c r="F78" s="1807">
        <f t="shared" si="6"/>
        <v>0</v>
      </c>
      <c r="G78" s="1808">
        <f t="shared" si="7"/>
        <v>0</v>
      </c>
    </row>
    <row r="79" spans="1:7" x14ac:dyDescent="0.25">
      <c r="A79" s="1667"/>
      <c r="B79" s="1681"/>
      <c r="C79" s="1668"/>
      <c r="D79" s="1859"/>
      <c r="E79" s="1554">
        <f t="shared" si="5"/>
        <v>0</v>
      </c>
      <c r="F79" s="1807">
        <f t="shared" si="6"/>
        <v>0</v>
      </c>
      <c r="G79" s="1808">
        <f t="shared" si="7"/>
        <v>0</v>
      </c>
    </row>
    <row r="80" spans="1:7" x14ac:dyDescent="0.25">
      <c r="A80" s="1667"/>
      <c r="B80" s="1681"/>
      <c r="C80" s="1668"/>
      <c r="D80" s="1859"/>
      <c r="E80" s="1554">
        <f t="shared" si="5"/>
        <v>0</v>
      </c>
      <c r="F80" s="1807">
        <f t="shared" si="6"/>
        <v>0</v>
      </c>
      <c r="G80" s="1808">
        <f t="shared" si="7"/>
        <v>0</v>
      </c>
    </row>
    <row r="81" spans="1:7" x14ac:dyDescent="0.25">
      <c r="A81" s="1667"/>
      <c r="B81" s="1681"/>
      <c r="C81" s="1668"/>
      <c r="D81" s="1859"/>
      <c r="E81" s="1554">
        <f t="shared" si="5"/>
        <v>0</v>
      </c>
      <c r="F81" s="1807">
        <f t="shared" si="6"/>
        <v>0</v>
      </c>
      <c r="G81" s="1808">
        <f t="shared" si="7"/>
        <v>0</v>
      </c>
    </row>
    <row r="82" spans="1:7" x14ac:dyDescent="0.25">
      <c r="A82" s="1667"/>
      <c r="B82" s="1681"/>
      <c r="C82" s="1668"/>
      <c r="D82" s="1859"/>
      <c r="E82" s="1554">
        <f t="shared" si="5"/>
        <v>0</v>
      </c>
      <c r="F82" s="1807">
        <f t="shared" si="6"/>
        <v>0</v>
      </c>
      <c r="G82" s="1808">
        <f t="shared" si="7"/>
        <v>0</v>
      </c>
    </row>
    <row r="83" spans="1:7" x14ac:dyDescent="0.25">
      <c r="A83" s="1667"/>
      <c r="B83" s="1681"/>
      <c r="C83" s="1668"/>
      <c r="D83" s="1859"/>
      <c r="E83" s="1554">
        <f t="shared" si="5"/>
        <v>0</v>
      </c>
      <c r="F83" s="1807">
        <f t="shared" si="6"/>
        <v>0</v>
      </c>
      <c r="G83" s="1808">
        <f t="shared" si="7"/>
        <v>0</v>
      </c>
    </row>
    <row r="84" spans="1:7" x14ac:dyDescent="0.25">
      <c r="A84" s="1667"/>
      <c r="B84" s="1681"/>
      <c r="C84" s="1668"/>
      <c r="D84" s="1859"/>
      <c r="E84" s="1554">
        <f t="shared" si="5"/>
        <v>0</v>
      </c>
      <c r="F84" s="1807">
        <f t="shared" si="6"/>
        <v>0</v>
      </c>
      <c r="G84" s="1808">
        <f t="shared" si="7"/>
        <v>0</v>
      </c>
    </row>
    <row r="85" spans="1:7" x14ac:dyDescent="0.25">
      <c r="A85" s="1667"/>
      <c r="B85" s="1681"/>
      <c r="C85" s="1668"/>
      <c r="D85" s="1859"/>
      <c r="E85" s="1554">
        <f t="shared" si="2"/>
        <v>0</v>
      </c>
      <c r="F85" s="1807">
        <f t="shared" si="3"/>
        <v>0</v>
      </c>
      <c r="G85" s="1808">
        <f t="shared" si="4"/>
        <v>0</v>
      </c>
    </row>
    <row r="86" spans="1:7" x14ac:dyDescent="0.25">
      <c r="A86" s="1667"/>
      <c r="B86" s="1681"/>
      <c r="C86" s="1668"/>
      <c r="D86" s="1859"/>
      <c r="E86" s="1554">
        <f t="shared" si="2"/>
        <v>0</v>
      </c>
      <c r="F86" s="1807">
        <f t="shared" si="3"/>
        <v>0</v>
      </c>
      <c r="G86" s="1808">
        <f t="shared" si="4"/>
        <v>0</v>
      </c>
    </row>
    <row r="87" spans="1:7" x14ac:dyDescent="0.25">
      <c r="A87" s="1667"/>
      <c r="B87" s="1681"/>
      <c r="C87" s="1668"/>
      <c r="D87" s="1859"/>
      <c r="E87" s="1554">
        <f t="shared" si="2"/>
        <v>0</v>
      </c>
      <c r="F87" s="1807">
        <f t="shared" si="3"/>
        <v>0</v>
      </c>
      <c r="G87" s="1808">
        <f t="shared" si="4"/>
        <v>0</v>
      </c>
    </row>
    <row r="88" spans="1:7" x14ac:dyDescent="0.25">
      <c r="A88" s="1667"/>
      <c r="B88" s="1681"/>
      <c r="C88" s="1668"/>
      <c r="D88" s="1859"/>
      <c r="E88" s="1554">
        <f t="shared" si="2"/>
        <v>0</v>
      </c>
      <c r="F88" s="1807">
        <f t="shared" si="3"/>
        <v>0</v>
      </c>
      <c r="G88" s="1808">
        <f t="shared" si="4"/>
        <v>0</v>
      </c>
    </row>
    <row r="89" spans="1:7" x14ac:dyDescent="0.25">
      <c r="A89" s="1667"/>
      <c r="B89" s="1681"/>
      <c r="C89" s="1668"/>
      <c r="D89" s="1859"/>
      <c r="E89" s="1554">
        <f t="shared" si="2"/>
        <v>0</v>
      </c>
      <c r="F89" s="1807">
        <f t="shared" si="3"/>
        <v>0</v>
      </c>
      <c r="G89" s="1808">
        <f t="shared" si="4"/>
        <v>0</v>
      </c>
    </row>
    <row r="90" spans="1:7" x14ac:dyDescent="0.25">
      <c r="A90" s="1667"/>
      <c r="B90" s="1681"/>
      <c r="C90" s="1668"/>
      <c r="D90" s="1859"/>
      <c r="E90" s="1554">
        <f t="shared" si="2"/>
        <v>0</v>
      </c>
      <c r="F90" s="1807">
        <f t="shared" si="3"/>
        <v>0</v>
      </c>
      <c r="G90" s="1808">
        <f t="shared" si="4"/>
        <v>0</v>
      </c>
    </row>
    <row r="91" spans="1:7" x14ac:dyDescent="0.25">
      <c r="A91" s="1667"/>
      <c r="B91" s="1681"/>
      <c r="C91" s="1668"/>
      <c r="D91" s="1859"/>
      <c r="E91" s="1554">
        <f t="shared" si="2"/>
        <v>0</v>
      </c>
      <c r="F91" s="1807">
        <f t="shared" si="3"/>
        <v>0</v>
      </c>
      <c r="G91" s="1808">
        <f t="shared" si="4"/>
        <v>0</v>
      </c>
    </row>
    <row r="92" spans="1:7" x14ac:dyDescent="0.25">
      <c r="A92" s="1667"/>
      <c r="B92" s="1681"/>
      <c r="C92" s="1668"/>
      <c r="D92" s="1859"/>
      <c r="E92" s="1554">
        <f t="shared" si="2"/>
        <v>0</v>
      </c>
      <c r="F92" s="1807">
        <f t="shared" si="3"/>
        <v>0</v>
      </c>
      <c r="G92" s="1808">
        <f t="shared" si="4"/>
        <v>0</v>
      </c>
    </row>
    <row r="93" spans="1:7" x14ac:dyDescent="0.25">
      <c r="A93" s="1667"/>
      <c r="B93" s="1681"/>
      <c r="C93" s="1668"/>
      <c r="D93" s="1859"/>
      <c r="E93" s="1554">
        <f t="shared" ref="E93" si="8">IF(D93&lt;=25000,D93,IF(D93&gt;25000,25000,0))</f>
        <v>0</v>
      </c>
      <c r="F93" s="180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8">
        <f t="shared" ref="G93" si="10">IF(F93=0,0,D93-F93)</f>
        <v>0</v>
      </c>
    </row>
    <row r="94" spans="1:7" x14ac:dyDescent="0.25">
      <c r="A94" s="1667"/>
      <c r="B94" s="1681"/>
      <c r="C94" s="1668"/>
      <c r="D94" s="1859"/>
      <c r="E94" s="1554">
        <f t="shared" si="2"/>
        <v>0</v>
      </c>
      <c r="F94" s="1807">
        <f t="shared" si="3"/>
        <v>0</v>
      </c>
      <c r="G94" s="1808">
        <f t="shared" si="4"/>
        <v>0</v>
      </c>
    </row>
    <row r="95" spans="1:7" x14ac:dyDescent="0.25">
      <c r="A95" s="1667"/>
      <c r="B95" s="1681"/>
      <c r="C95" s="1668"/>
      <c r="D95" s="1859"/>
      <c r="E95" s="1554">
        <f t="shared" ref="E95:E98" si="11">IF(D95&lt;=25000,D95,IF(D95&gt;25000,25000,0))</f>
        <v>0</v>
      </c>
      <c r="F95" s="180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8">
        <f t="shared" ref="G95:G98" si="13">IF(F95=0,0,D95-F95)</f>
        <v>0</v>
      </c>
    </row>
    <row r="96" spans="1:7" x14ac:dyDescent="0.25">
      <c r="A96" s="1667"/>
      <c r="B96" s="1681"/>
      <c r="C96" s="1668"/>
      <c r="D96" s="1859"/>
      <c r="E96" s="1554">
        <f t="shared" si="11"/>
        <v>0</v>
      </c>
      <c r="F96" s="1807">
        <f t="shared" si="12"/>
        <v>0</v>
      </c>
      <c r="G96" s="1808">
        <f t="shared" si="13"/>
        <v>0</v>
      </c>
    </row>
    <row r="97" spans="1:7" x14ac:dyDescent="0.25">
      <c r="A97" s="1667"/>
      <c r="B97" s="1681"/>
      <c r="C97" s="1668"/>
      <c r="D97" s="1859"/>
      <c r="E97" s="1554">
        <f t="shared" si="11"/>
        <v>0</v>
      </c>
      <c r="F97" s="1807">
        <f t="shared" si="12"/>
        <v>0</v>
      </c>
      <c r="G97" s="1808">
        <f t="shared" si="13"/>
        <v>0</v>
      </c>
    </row>
    <row r="98" spans="1:7" x14ac:dyDescent="0.25">
      <c r="A98" s="1667"/>
      <c r="B98" s="1681"/>
      <c r="C98" s="1668"/>
      <c r="D98" s="1859"/>
      <c r="E98" s="1554">
        <f t="shared" si="11"/>
        <v>0</v>
      </c>
      <c r="F98" s="1807">
        <f t="shared" si="12"/>
        <v>0</v>
      </c>
      <c r="G98" s="1808">
        <f t="shared" si="13"/>
        <v>0</v>
      </c>
    </row>
    <row r="99" spans="1:7" x14ac:dyDescent="0.25">
      <c r="A99" s="1667"/>
      <c r="B99" s="1681"/>
      <c r="C99" s="1668"/>
      <c r="D99" s="1859"/>
      <c r="E99" s="1554">
        <f t="shared" ref="E99" si="14">IF(D99&lt;=25000,D99,IF(D99&gt;25000,25000,0))</f>
        <v>0</v>
      </c>
      <c r="F99" s="180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8">
        <f t="shared" ref="G99" si="16">IF(F99=0,0,D99-F99)</f>
        <v>0</v>
      </c>
    </row>
    <row r="100" spans="1:7" x14ac:dyDescent="0.25">
      <c r="A100" s="1667"/>
      <c r="B100" s="1681"/>
      <c r="C100" s="1668"/>
      <c r="D100" s="1859"/>
      <c r="E100" s="1554">
        <f t="shared" ref="E100:E112" si="17">IF(D100&lt;=25000,D100,IF(D100&gt;25000,25000,0))</f>
        <v>0</v>
      </c>
      <c r="F100" s="180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8">
        <f t="shared" ref="G100:G112" si="19">IF(F100=0,0,D100-F100)</f>
        <v>0</v>
      </c>
    </row>
    <row r="101" spans="1:7" x14ac:dyDescent="0.25">
      <c r="A101" s="1667"/>
      <c r="B101" s="1681"/>
      <c r="C101" s="1668"/>
      <c r="D101" s="1859"/>
      <c r="E101" s="1554">
        <f t="shared" si="17"/>
        <v>0</v>
      </c>
      <c r="F101" s="1807">
        <f t="shared" si="18"/>
        <v>0</v>
      </c>
      <c r="G101" s="1808">
        <f t="shared" si="19"/>
        <v>0</v>
      </c>
    </row>
    <row r="102" spans="1:7" x14ac:dyDescent="0.25">
      <c r="A102" s="1667"/>
      <c r="B102" s="1681"/>
      <c r="C102" s="1668"/>
      <c r="D102" s="1859"/>
      <c r="E102" s="1554">
        <f t="shared" si="17"/>
        <v>0</v>
      </c>
      <c r="F102" s="1807">
        <f t="shared" si="18"/>
        <v>0</v>
      </c>
      <c r="G102" s="1808">
        <f t="shared" si="19"/>
        <v>0</v>
      </c>
    </row>
    <row r="103" spans="1:7" x14ac:dyDescent="0.25">
      <c r="A103" s="1667"/>
      <c r="B103" s="1681"/>
      <c r="C103" s="1668"/>
      <c r="D103" s="1859"/>
      <c r="E103" s="1554">
        <f t="shared" si="17"/>
        <v>0</v>
      </c>
      <c r="F103" s="1807">
        <f t="shared" si="18"/>
        <v>0</v>
      </c>
      <c r="G103" s="1808">
        <f t="shared" si="19"/>
        <v>0</v>
      </c>
    </row>
    <row r="104" spans="1:7" x14ac:dyDescent="0.25">
      <c r="A104" s="1667"/>
      <c r="B104" s="1681"/>
      <c r="C104" s="1668"/>
      <c r="D104" s="1859"/>
      <c r="E104" s="1554">
        <f t="shared" si="17"/>
        <v>0</v>
      </c>
      <c r="F104" s="1807">
        <f t="shared" si="18"/>
        <v>0</v>
      </c>
      <c r="G104" s="1808">
        <f t="shared" si="19"/>
        <v>0</v>
      </c>
    </row>
    <row r="105" spans="1:7" x14ac:dyDescent="0.25">
      <c r="A105" s="1667"/>
      <c r="B105" s="1681"/>
      <c r="C105" s="1668"/>
      <c r="D105" s="1859"/>
      <c r="E105" s="1554">
        <f t="shared" si="17"/>
        <v>0</v>
      </c>
      <c r="F105" s="1807">
        <f t="shared" si="18"/>
        <v>0</v>
      </c>
      <c r="G105" s="1808">
        <f t="shared" si="19"/>
        <v>0</v>
      </c>
    </row>
    <row r="106" spans="1:7" x14ac:dyDescent="0.25">
      <c r="A106" s="1667"/>
      <c r="B106" s="1681"/>
      <c r="C106" s="1668"/>
      <c r="D106" s="1859"/>
      <c r="E106" s="1554">
        <f t="shared" si="17"/>
        <v>0</v>
      </c>
      <c r="F106" s="1807">
        <f t="shared" si="18"/>
        <v>0</v>
      </c>
      <c r="G106" s="1808">
        <f t="shared" si="19"/>
        <v>0</v>
      </c>
    </row>
    <row r="107" spans="1:7" x14ac:dyDescent="0.25">
      <c r="A107" s="1667"/>
      <c r="B107" s="1681"/>
      <c r="C107" s="1668"/>
      <c r="D107" s="1859"/>
      <c r="E107" s="1554">
        <f t="shared" si="17"/>
        <v>0</v>
      </c>
      <c r="F107" s="1807">
        <f t="shared" si="18"/>
        <v>0</v>
      </c>
      <c r="G107" s="1808">
        <f t="shared" si="19"/>
        <v>0</v>
      </c>
    </row>
    <row r="108" spans="1:7" x14ac:dyDescent="0.25">
      <c r="A108" s="1667"/>
      <c r="B108" s="1681"/>
      <c r="C108" s="1668"/>
      <c r="D108" s="1859"/>
      <c r="E108" s="1554">
        <f t="shared" si="17"/>
        <v>0</v>
      </c>
      <c r="F108" s="1807">
        <f t="shared" si="18"/>
        <v>0</v>
      </c>
      <c r="G108" s="1808">
        <f t="shared" si="19"/>
        <v>0</v>
      </c>
    </row>
    <row r="109" spans="1:7" x14ac:dyDescent="0.25">
      <c r="A109" s="1667"/>
      <c r="B109" s="1681"/>
      <c r="C109" s="1668"/>
      <c r="D109" s="1859"/>
      <c r="E109" s="1554">
        <f t="shared" si="17"/>
        <v>0</v>
      </c>
      <c r="F109" s="1807">
        <f t="shared" si="18"/>
        <v>0</v>
      </c>
      <c r="G109" s="1808">
        <f t="shared" si="19"/>
        <v>0</v>
      </c>
    </row>
    <row r="110" spans="1:7" x14ac:dyDescent="0.25">
      <c r="A110" s="1667"/>
      <c r="B110" s="1681"/>
      <c r="C110" s="1668"/>
      <c r="D110" s="1859"/>
      <c r="E110" s="1554">
        <f t="shared" si="17"/>
        <v>0</v>
      </c>
      <c r="F110" s="1807">
        <f t="shared" si="18"/>
        <v>0</v>
      </c>
      <c r="G110" s="1808">
        <f t="shared" si="19"/>
        <v>0</v>
      </c>
    </row>
    <row r="111" spans="1:7" x14ac:dyDescent="0.25">
      <c r="A111" s="1667"/>
      <c r="B111" s="1681"/>
      <c r="C111" s="1668"/>
      <c r="D111" s="1859"/>
      <c r="E111" s="1554">
        <f t="shared" si="17"/>
        <v>0</v>
      </c>
      <c r="F111" s="1807">
        <f t="shared" si="18"/>
        <v>0</v>
      </c>
      <c r="G111" s="1808">
        <f t="shared" si="19"/>
        <v>0</v>
      </c>
    </row>
    <row r="112" spans="1:7" x14ac:dyDescent="0.25">
      <c r="A112" s="1667"/>
      <c r="B112" s="1681"/>
      <c r="C112" s="1668"/>
      <c r="D112" s="1859"/>
      <c r="E112" s="1554">
        <f t="shared" si="17"/>
        <v>0</v>
      </c>
      <c r="F112" s="1807">
        <f t="shared" si="18"/>
        <v>0</v>
      </c>
      <c r="G112" s="1808">
        <f t="shared" si="19"/>
        <v>0</v>
      </c>
    </row>
    <row r="113" spans="1:7" x14ac:dyDescent="0.25">
      <c r="A113" s="1667"/>
      <c r="B113" s="1681"/>
      <c r="C113" s="1668"/>
      <c r="D113" s="1859"/>
      <c r="E113" s="1554">
        <f t="shared" ref="E113:E125" si="20">IF(D113&lt;=25000,D113,IF(D113&gt;25000,25000,0))</f>
        <v>0</v>
      </c>
      <c r="F113" s="180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8">
        <f t="shared" ref="G113:G125" si="22">IF(F113=0,0,D113-F113)</f>
        <v>0</v>
      </c>
    </row>
    <row r="114" spans="1:7" x14ac:dyDescent="0.25">
      <c r="A114" s="1667"/>
      <c r="B114" s="1681"/>
      <c r="C114" s="1668"/>
      <c r="D114" s="1859"/>
      <c r="E114" s="1554">
        <f t="shared" si="20"/>
        <v>0</v>
      </c>
      <c r="F114" s="1807">
        <f t="shared" si="21"/>
        <v>0</v>
      </c>
      <c r="G114" s="1808">
        <f t="shared" si="22"/>
        <v>0</v>
      </c>
    </row>
    <row r="115" spans="1:7" x14ac:dyDescent="0.25">
      <c r="A115" s="1667"/>
      <c r="B115" s="1681"/>
      <c r="C115" s="1668"/>
      <c r="D115" s="1859"/>
      <c r="E115" s="1554">
        <f t="shared" si="20"/>
        <v>0</v>
      </c>
      <c r="F115" s="1807">
        <f t="shared" si="21"/>
        <v>0</v>
      </c>
      <c r="G115" s="1808">
        <f t="shared" si="22"/>
        <v>0</v>
      </c>
    </row>
    <row r="116" spans="1:7" x14ac:dyDescent="0.25">
      <c r="A116" s="1667"/>
      <c r="B116" s="1681"/>
      <c r="C116" s="1668"/>
      <c r="D116" s="1859"/>
      <c r="E116" s="1554">
        <f t="shared" si="20"/>
        <v>0</v>
      </c>
      <c r="F116" s="1807">
        <f t="shared" si="21"/>
        <v>0</v>
      </c>
      <c r="G116" s="1808">
        <f t="shared" si="22"/>
        <v>0</v>
      </c>
    </row>
    <row r="117" spans="1:7" x14ac:dyDescent="0.25">
      <c r="A117" s="1667"/>
      <c r="B117" s="1681"/>
      <c r="C117" s="1668"/>
      <c r="D117" s="1859"/>
      <c r="E117" s="1554">
        <f t="shared" si="20"/>
        <v>0</v>
      </c>
      <c r="F117" s="1807">
        <f t="shared" si="21"/>
        <v>0</v>
      </c>
      <c r="G117" s="1808">
        <f t="shared" si="22"/>
        <v>0</v>
      </c>
    </row>
    <row r="118" spans="1:7" x14ac:dyDescent="0.25">
      <c r="A118" s="1667"/>
      <c r="B118" s="1681"/>
      <c r="C118" s="1668"/>
      <c r="D118" s="1859"/>
      <c r="E118" s="1554">
        <f t="shared" si="20"/>
        <v>0</v>
      </c>
      <c r="F118" s="1807">
        <f t="shared" si="21"/>
        <v>0</v>
      </c>
      <c r="G118" s="1808">
        <f t="shared" si="22"/>
        <v>0</v>
      </c>
    </row>
    <row r="119" spans="1:7" x14ac:dyDescent="0.25">
      <c r="A119" s="1667"/>
      <c r="B119" s="1681"/>
      <c r="C119" s="1668"/>
      <c r="D119" s="1859"/>
      <c r="E119" s="1554">
        <f t="shared" si="20"/>
        <v>0</v>
      </c>
      <c r="F119" s="1807">
        <f t="shared" si="21"/>
        <v>0</v>
      </c>
      <c r="G119" s="1808">
        <f t="shared" si="22"/>
        <v>0</v>
      </c>
    </row>
    <row r="120" spans="1:7" x14ac:dyDescent="0.25">
      <c r="A120" s="1667"/>
      <c r="B120" s="1681"/>
      <c r="C120" s="1668"/>
      <c r="D120" s="1859"/>
      <c r="E120" s="1554">
        <f t="shared" si="20"/>
        <v>0</v>
      </c>
      <c r="F120" s="1807">
        <f t="shared" si="21"/>
        <v>0</v>
      </c>
      <c r="G120" s="1808">
        <f t="shared" si="22"/>
        <v>0</v>
      </c>
    </row>
    <row r="121" spans="1:7" x14ac:dyDescent="0.25">
      <c r="A121" s="1667"/>
      <c r="B121" s="1681"/>
      <c r="C121" s="1668"/>
      <c r="D121" s="1859"/>
      <c r="E121" s="1554">
        <f t="shared" si="20"/>
        <v>0</v>
      </c>
      <c r="F121" s="1807">
        <f t="shared" si="21"/>
        <v>0</v>
      </c>
      <c r="G121" s="1808">
        <f t="shared" si="22"/>
        <v>0</v>
      </c>
    </row>
    <row r="122" spans="1:7" x14ac:dyDescent="0.25">
      <c r="A122" s="1667"/>
      <c r="B122" s="1681"/>
      <c r="C122" s="1668"/>
      <c r="D122" s="1859"/>
      <c r="E122" s="1554">
        <f t="shared" si="20"/>
        <v>0</v>
      </c>
      <c r="F122" s="1807">
        <f t="shared" si="21"/>
        <v>0</v>
      </c>
      <c r="G122" s="1808">
        <f t="shared" si="22"/>
        <v>0</v>
      </c>
    </row>
    <row r="123" spans="1:7" x14ac:dyDescent="0.25">
      <c r="A123" s="1667"/>
      <c r="B123" s="1681"/>
      <c r="C123" s="1668"/>
      <c r="D123" s="1859"/>
      <c r="E123" s="1554">
        <f t="shared" si="20"/>
        <v>0</v>
      </c>
      <c r="F123" s="1807">
        <f t="shared" si="21"/>
        <v>0</v>
      </c>
      <c r="G123" s="1808">
        <f t="shared" si="22"/>
        <v>0</v>
      </c>
    </row>
    <row r="124" spans="1:7" x14ac:dyDescent="0.25">
      <c r="A124" s="1667"/>
      <c r="B124" s="1681"/>
      <c r="C124" s="1668"/>
      <c r="D124" s="1859"/>
      <c r="E124" s="1554">
        <f t="shared" si="20"/>
        <v>0</v>
      </c>
      <c r="F124" s="1807">
        <f t="shared" si="21"/>
        <v>0</v>
      </c>
      <c r="G124" s="1808">
        <f t="shared" si="22"/>
        <v>0</v>
      </c>
    </row>
    <row r="125" spans="1:7" x14ac:dyDescent="0.25">
      <c r="A125" s="1667"/>
      <c r="B125" s="1681"/>
      <c r="C125" s="1668"/>
      <c r="D125" s="1859"/>
      <c r="E125" s="1554">
        <f t="shared" si="20"/>
        <v>0</v>
      </c>
      <c r="F125" s="1807">
        <f t="shared" si="21"/>
        <v>0</v>
      </c>
      <c r="G125" s="1808">
        <f t="shared" si="22"/>
        <v>0</v>
      </c>
    </row>
    <row r="126" spans="1:7" x14ac:dyDescent="0.25">
      <c r="A126" s="1667"/>
      <c r="B126" s="1681"/>
      <c r="C126" s="1668"/>
      <c r="D126" s="1859"/>
      <c r="E126" s="1554">
        <f t="shared" ref="E126:E134" si="23">IF(D126&lt;=25000,D126,IF(D126&gt;25000,25000,0))</f>
        <v>0</v>
      </c>
      <c r="F126" s="180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8">
        <f t="shared" ref="G126:G134" si="25">IF(F126=0,0,D126-F126)</f>
        <v>0</v>
      </c>
    </row>
    <row r="127" spans="1:7" x14ac:dyDescent="0.25">
      <c r="A127" s="1667"/>
      <c r="B127" s="1681"/>
      <c r="C127" s="1668"/>
      <c r="D127" s="1859"/>
      <c r="E127" s="1554">
        <f t="shared" si="23"/>
        <v>0</v>
      </c>
      <c r="F127" s="1807">
        <f t="shared" si="24"/>
        <v>0</v>
      </c>
      <c r="G127" s="1808">
        <f t="shared" si="25"/>
        <v>0</v>
      </c>
    </row>
    <row r="128" spans="1:7" x14ac:dyDescent="0.25">
      <c r="A128" s="1667"/>
      <c r="B128" s="1681"/>
      <c r="C128" s="1668"/>
      <c r="D128" s="1859"/>
      <c r="E128" s="1554">
        <f t="shared" si="23"/>
        <v>0</v>
      </c>
      <c r="F128" s="1807">
        <f t="shared" si="24"/>
        <v>0</v>
      </c>
      <c r="G128" s="1808">
        <f t="shared" si="25"/>
        <v>0</v>
      </c>
    </row>
    <row r="129" spans="1:7" x14ac:dyDescent="0.25">
      <c r="A129" s="1667"/>
      <c r="B129" s="1681"/>
      <c r="C129" s="1668"/>
      <c r="D129" s="1859"/>
      <c r="E129" s="1554">
        <f t="shared" si="23"/>
        <v>0</v>
      </c>
      <c r="F129" s="1807">
        <f t="shared" si="24"/>
        <v>0</v>
      </c>
      <c r="G129" s="1808">
        <f t="shared" si="25"/>
        <v>0</v>
      </c>
    </row>
    <row r="130" spans="1:7" x14ac:dyDescent="0.25">
      <c r="A130" s="1667"/>
      <c r="B130" s="1681"/>
      <c r="C130" s="1668"/>
      <c r="D130" s="1859"/>
      <c r="E130" s="1554">
        <f t="shared" si="23"/>
        <v>0</v>
      </c>
      <c r="F130" s="1807">
        <f t="shared" si="24"/>
        <v>0</v>
      </c>
      <c r="G130" s="1808">
        <f t="shared" si="25"/>
        <v>0</v>
      </c>
    </row>
    <row r="131" spans="1:7" x14ac:dyDescent="0.25">
      <c r="A131" s="1667"/>
      <c r="B131" s="1852"/>
      <c r="C131" s="1668"/>
      <c r="D131" s="1859"/>
      <c r="E131" s="1554">
        <f t="shared" si="23"/>
        <v>0</v>
      </c>
      <c r="F131" s="1807">
        <f t="shared" si="24"/>
        <v>0</v>
      </c>
      <c r="G131" s="1808">
        <f t="shared" si="25"/>
        <v>0</v>
      </c>
    </row>
    <row r="132" spans="1:7" x14ac:dyDescent="0.25">
      <c r="A132" s="1667"/>
      <c r="B132" s="1852"/>
      <c r="C132" s="1668"/>
      <c r="D132" s="1859"/>
      <c r="E132" s="1554">
        <f t="shared" si="23"/>
        <v>0</v>
      </c>
      <c r="F132" s="1807">
        <f t="shared" si="24"/>
        <v>0</v>
      </c>
      <c r="G132" s="1808">
        <f t="shared" si="25"/>
        <v>0</v>
      </c>
    </row>
    <row r="133" spans="1:7" x14ac:dyDescent="0.25">
      <c r="A133" s="1667"/>
      <c r="B133" s="1681"/>
      <c r="C133" s="1668"/>
      <c r="D133" s="1859"/>
      <c r="E133" s="1554">
        <f t="shared" si="23"/>
        <v>0</v>
      </c>
      <c r="F133" s="1807">
        <f t="shared" si="24"/>
        <v>0</v>
      </c>
      <c r="G133" s="1808">
        <f t="shared" si="25"/>
        <v>0</v>
      </c>
    </row>
    <row r="134" spans="1:7" x14ac:dyDescent="0.25">
      <c r="A134" s="1667"/>
      <c r="B134" s="1681"/>
      <c r="C134" s="1668"/>
      <c r="D134" s="1859"/>
      <c r="E134" s="1554">
        <f t="shared" si="23"/>
        <v>0</v>
      </c>
      <c r="F134" s="1807">
        <f t="shared" si="24"/>
        <v>0</v>
      </c>
      <c r="G134" s="1808">
        <f t="shared" si="25"/>
        <v>0</v>
      </c>
    </row>
    <row r="135" spans="1:7" x14ac:dyDescent="0.25">
      <c r="A135" s="1667"/>
      <c r="B135" s="1681"/>
      <c r="C135" s="1668"/>
      <c r="D135" s="1859"/>
      <c r="E135" s="1554">
        <f t="shared" ref="E135:E139" si="26">IF(D135&lt;=25000,D135,IF(D135&gt;25000,25000,0))</f>
        <v>0</v>
      </c>
      <c r="F135" s="180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8">
        <f t="shared" ref="G135:G139" si="28">IF(F135=0,0,D135-F135)</f>
        <v>0</v>
      </c>
    </row>
    <row r="136" spans="1:7" x14ac:dyDescent="0.25">
      <c r="A136" s="1667"/>
      <c r="B136" s="1681"/>
      <c r="C136" s="1668"/>
      <c r="D136" s="1859"/>
      <c r="E136" s="1554">
        <f t="shared" si="26"/>
        <v>0</v>
      </c>
      <c r="F136" s="1807">
        <f t="shared" si="27"/>
        <v>0</v>
      </c>
      <c r="G136" s="1808">
        <f t="shared" si="28"/>
        <v>0</v>
      </c>
    </row>
    <row r="137" spans="1:7" x14ac:dyDescent="0.25">
      <c r="A137" s="1667"/>
      <c r="B137" s="1681"/>
      <c r="C137" s="1668"/>
      <c r="D137" s="1859"/>
      <c r="E137" s="1554">
        <f t="shared" si="26"/>
        <v>0</v>
      </c>
      <c r="F137" s="1807">
        <f t="shared" si="27"/>
        <v>0</v>
      </c>
      <c r="G137" s="1808">
        <f t="shared" si="28"/>
        <v>0</v>
      </c>
    </row>
    <row r="138" spans="1:7" x14ac:dyDescent="0.25">
      <c r="A138" s="1667"/>
      <c r="B138" s="1681"/>
      <c r="C138" s="1668"/>
      <c r="D138" s="1859"/>
      <c r="E138" s="1554">
        <f t="shared" si="26"/>
        <v>0</v>
      </c>
      <c r="F138" s="1807">
        <f t="shared" si="27"/>
        <v>0</v>
      </c>
      <c r="G138" s="1808">
        <f t="shared" si="28"/>
        <v>0</v>
      </c>
    </row>
    <row r="139" spans="1:7" x14ac:dyDescent="0.25">
      <c r="A139" s="1667"/>
      <c r="B139" s="1681"/>
      <c r="C139" s="1668"/>
      <c r="D139" s="1859"/>
      <c r="E139" s="1554">
        <f t="shared" si="26"/>
        <v>0</v>
      </c>
      <c r="F139" s="1807">
        <f t="shared" si="27"/>
        <v>0</v>
      </c>
      <c r="G139" s="1808">
        <f t="shared" si="28"/>
        <v>0</v>
      </c>
    </row>
    <row r="140" spans="1:7" x14ac:dyDescent="0.25">
      <c r="A140" s="1667"/>
      <c r="B140" s="1680"/>
      <c r="C140" s="1668"/>
      <c r="D140" s="1859"/>
      <c r="E140" s="1554">
        <f t="shared" si="2"/>
        <v>0</v>
      </c>
      <c r="F140" s="1807">
        <f t="shared" si="3"/>
        <v>0</v>
      </c>
      <c r="G140" s="1808">
        <f t="shared" si="4"/>
        <v>0</v>
      </c>
    </row>
    <row r="141" spans="1:7" x14ac:dyDescent="0.25">
      <c r="A141" s="1811" t="s">
        <v>158</v>
      </c>
      <c r="B141" s="1812"/>
      <c r="C141" s="1813"/>
      <c r="D141" s="1809">
        <f>SUM(D17:D140)</f>
        <v>4971671.0999999996</v>
      </c>
      <c r="E141" s="1555">
        <f t="shared" si="1"/>
        <v>25000</v>
      </c>
      <c r="F141" s="1809">
        <f>SUM(F17:F140)</f>
        <v>523579.1</v>
      </c>
      <c r="G141" s="1810">
        <f>SUM(G17:G140)</f>
        <v>4448092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topLeftCell="A19" colorId="8" zoomScale="110" zoomScaleNormal="110" workbookViewId="0">
      <selection activeCell="J30" sqref="J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8" t="s">
        <v>1177</v>
      </c>
      <c r="B1" s="1649"/>
      <c r="C1" s="1650"/>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7" t="s">
        <v>1778</v>
      </c>
      <c r="B5" s="2318"/>
      <c r="C5" s="2318"/>
      <c r="D5" s="2318"/>
      <c r="E5" s="2318"/>
      <c r="F5" s="2318"/>
      <c r="G5" s="2319"/>
      <c r="H5" s="252"/>
      <c r="I5" s="610"/>
    </row>
    <row r="6" spans="1:9" s="669" customFormat="1" x14ac:dyDescent="0.2">
      <c r="A6" s="1651"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22" t="s">
        <v>1942</v>
      </c>
      <c r="B11" s="2323"/>
      <c r="C11" s="2323"/>
      <c r="D11" s="232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2" t="s">
        <v>553</v>
      </c>
      <c r="E17" s="1653"/>
      <c r="F17" s="1652" t="s">
        <v>453</v>
      </c>
      <c r="G17" s="1654"/>
      <c r="H17" s="162"/>
      <c r="I17" s="162"/>
    </row>
    <row r="18" spans="1:9" s="259" customFormat="1" ht="11.25" x14ac:dyDescent="0.2">
      <c r="A18" s="989"/>
      <c r="C18" s="990" t="s">
        <v>454</v>
      </c>
      <c r="D18" s="1655" t="s">
        <v>455</v>
      </c>
      <c r="E18" s="1655" t="s">
        <v>55</v>
      </c>
      <c r="F18" s="1655" t="s">
        <v>455</v>
      </c>
      <c r="G18" s="1655" t="s">
        <v>55</v>
      </c>
      <c r="H18" s="178"/>
      <c r="I18" s="178"/>
    </row>
    <row r="19" spans="1:9" s="669" customFormat="1" ht="12" customHeight="1" x14ac:dyDescent="0.2">
      <c r="A19" s="991" t="s">
        <v>476</v>
      </c>
      <c r="B19" s="992"/>
      <c r="C19" s="993" t="s">
        <v>591</v>
      </c>
      <c r="D19" s="1814"/>
      <c r="E19" s="1815">
        <f>'Expenditures 15-22'!K33-SUM('Expenditures 15-22'!G33,'Expenditures 15-22'!I33)+'Expenditures 15-22'!D229</f>
        <v>22520299</v>
      </c>
      <c r="F19" s="1814"/>
      <c r="G19" s="1816">
        <f>'Expenditures 15-22'!K33-SUM('Expenditures 15-22'!G33,'Expenditures 15-22'!I33)+'Expenditures 15-22'!D229</f>
        <v>22520299</v>
      </c>
      <c r="H19" s="988"/>
      <c r="I19" s="162"/>
    </row>
    <row r="20" spans="1:9" s="669" customFormat="1" ht="12" customHeight="1" x14ac:dyDescent="0.2">
      <c r="A20" s="991" t="s">
        <v>56</v>
      </c>
      <c r="B20" s="992"/>
      <c r="C20" s="994"/>
      <c r="D20" s="1817"/>
      <c r="E20" s="1817"/>
      <c r="F20" s="1817"/>
      <c r="G20" s="1818"/>
      <c r="H20" s="988"/>
      <c r="I20" s="162"/>
    </row>
    <row r="21" spans="1:9" s="669" customFormat="1" ht="12" customHeight="1" x14ac:dyDescent="0.2">
      <c r="A21" s="995" t="s">
        <v>421</v>
      </c>
      <c r="B21" s="996"/>
      <c r="C21" s="994">
        <v>2100</v>
      </c>
      <c r="D21" s="1817"/>
      <c r="E21" s="1819">
        <f>'Expenditures 15-22'!K42-SUM('Expenditures 15-22'!G42,'Expenditures 15-22'!I42)+'Expenditures 15-22'!K120-SUM('Expenditures 15-22'!G120,'Expenditures 15-22'!I120)+'Expenditures 15-22'!K180-SUM('Expenditures 15-22'!G180,'Expenditures 15-22'!I180)+'Expenditures 15-22'!D238</f>
        <v>3763402</v>
      </c>
      <c r="F21" s="1817"/>
      <c r="G21" s="1820">
        <f>'Expenditures 15-22'!K42-SUM('Expenditures 15-22'!G42,'Expenditures 15-22'!I42)+'Expenditures 15-22'!K120-SUM('Expenditures 15-22'!G120,'Expenditures 15-22'!I120)+'Expenditures 15-22'!K180-SUM('Expenditures 15-22'!G180,'Expenditures 15-22'!I180)+'Expenditures 15-22'!D238</f>
        <v>3763402</v>
      </c>
      <c r="H21" s="988"/>
      <c r="I21" s="162"/>
    </row>
    <row r="22" spans="1:9" s="669" customFormat="1" ht="12" customHeight="1" x14ac:dyDescent="0.2">
      <c r="A22" s="995" t="s">
        <v>585</v>
      </c>
      <c r="B22" s="996"/>
      <c r="C22" s="994">
        <v>2200</v>
      </c>
      <c r="D22" s="1817"/>
      <c r="E22" s="1819">
        <f>'Expenditures 15-22'!K47-SUM('Expenditures 15-22'!G47,'Expenditures 15-22'!I47)+'Expenditures 15-22'!D243</f>
        <v>2545957</v>
      </c>
      <c r="F22" s="1817"/>
      <c r="G22" s="1820">
        <f>'Expenditures 15-22'!K47-SUM('Expenditures 15-22'!G47,'Expenditures 15-22'!I47)+'Expenditures 15-22'!D243</f>
        <v>2545957</v>
      </c>
      <c r="H22" s="988"/>
      <c r="I22" s="162"/>
    </row>
    <row r="23" spans="1:9" s="669" customFormat="1" ht="12" customHeight="1" x14ac:dyDescent="0.2">
      <c r="A23" s="995" t="s">
        <v>586</v>
      </c>
      <c r="B23" s="996"/>
      <c r="C23" s="994">
        <v>2300</v>
      </c>
      <c r="D23" s="1817"/>
      <c r="E23" s="1819">
        <f>'Expenditures 15-22'!K53-SUM('Expenditures 15-22'!G53,'Expenditures 15-22'!I53)+'Expenditures 15-22'!D257+'Expenditures 15-22'!K330-SUM('Expenditures 15-22'!G330,'Expenditures 15-22'!I330)</f>
        <v>1322490</v>
      </c>
      <c r="F23" s="1817"/>
      <c r="G23" s="1819">
        <f>'Expenditures 15-22'!K53-SUM('Expenditures 15-22'!G53,'Expenditures 15-22'!I53)+'Expenditures 15-22'!D257+'Expenditures 15-22'!K330-SUM('Expenditures 15-22'!G330,'Expenditures 15-22'!I330)</f>
        <v>1322490</v>
      </c>
      <c r="H23" s="988"/>
      <c r="I23" s="162"/>
    </row>
    <row r="24" spans="1:9" s="669" customFormat="1" ht="12" customHeight="1" x14ac:dyDescent="0.2">
      <c r="A24" s="995" t="s">
        <v>587</v>
      </c>
      <c r="B24" s="996"/>
      <c r="C24" s="994">
        <v>2400</v>
      </c>
      <c r="D24" s="1817"/>
      <c r="E24" s="1819">
        <f>'Expenditures 15-22'!K57-SUM('Expenditures 15-22'!G57,'Expenditures 15-22'!I57)+'Expenditures 15-22'!D261</f>
        <v>2308055</v>
      </c>
      <c r="F24" s="1817"/>
      <c r="G24" s="1820">
        <f>'Expenditures 15-22'!K57-SUM('Expenditures 15-22'!G57,'Expenditures 15-22'!I57)+'Expenditures 15-22'!D261</f>
        <v>2308055</v>
      </c>
      <c r="H24" s="988"/>
      <c r="I24" s="162"/>
    </row>
    <row r="25" spans="1:9" s="669" customFormat="1" ht="12" customHeight="1" x14ac:dyDescent="0.2">
      <c r="A25" s="991" t="s">
        <v>588</v>
      </c>
      <c r="B25" s="997"/>
      <c r="C25" s="994"/>
      <c r="D25" s="1817"/>
      <c r="E25" s="1819"/>
      <c r="F25" s="1817"/>
      <c r="G25" s="1820"/>
      <c r="H25" s="988"/>
      <c r="I25" s="162"/>
    </row>
    <row r="26" spans="1:9" s="669" customFormat="1" ht="12" customHeight="1" x14ac:dyDescent="0.2">
      <c r="A26" s="995" t="s">
        <v>536</v>
      </c>
      <c r="B26" s="998"/>
      <c r="C26" s="994">
        <v>2510</v>
      </c>
      <c r="D26" s="1819">
        <f>'Expenditures 15-22'!K59-SUM('Expenditures 15-22'!G59,'Expenditures 15-22'!I59)+'Expenditures 15-22'!D263-E7</f>
        <v>365078</v>
      </c>
      <c r="E26" s="1819">
        <f>'Expenditures 15-22'!K122-SUM('Expenditures 15-22'!G122,'Expenditures 15-22'!I122)+E7</f>
        <v>0</v>
      </c>
      <c r="F26" s="1819">
        <f>'Expenditures 15-22'!K59-SUM('Expenditures 15-22'!G59,'Expenditures 15-22'!I59)+'Expenditures 15-22'!D263-E7</f>
        <v>365078</v>
      </c>
      <c r="G26" s="1820">
        <f>'Expenditures 15-22'!K122-SUM('Expenditures 15-22'!G122,'Expenditures 15-22'!I122)+E7</f>
        <v>0</v>
      </c>
      <c r="H26" s="988"/>
      <c r="I26" s="162"/>
    </row>
    <row r="27" spans="1:9" s="669" customFormat="1" ht="12" customHeight="1" x14ac:dyDescent="0.2">
      <c r="A27" s="995" t="s">
        <v>483</v>
      </c>
      <c r="B27" s="998"/>
      <c r="C27" s="994">
        <v>2520</v>
      </c>
      <c r="D27" s="1819">
        <f>'Expenditures 15-22'!K60-SUM('Expenditures 15-22'!G60,'Expenditures 15-22'!I60)+'Expenditures 15-22'!D264-E8</f>
        <v>440668</v>
      </c>
      <c r="E27" s="1819">
        <f>E8</f>
        <v>0</v>
      </c>
      <c r="F27" s="1819">
        <f>'Expenditures 15-22'!K60-SUM('Expenditures 15-22'!G60,'Expenditures 15-22'!I60)+'Expenditures 15-22'!D264-E8</f>
        <v>440668</v>
      </c>
      <c r="G27" s="1820">
        <f>E8</f>
        <v>0</v>
      </c>
      <c r="H27" s="988"/>
      <c r="I27" s="162"/>
    </row>
    <row r="28" spans="1:9" s="669" customFormat="1" ht="12" customHeight="1" x14ac:dyDescent="0.2">
      <c r="A28" s="995" t="s">
        <v>537</v>
      </c>
      <c r="B28" s="998"/>
      <c r="C28" s="994">
        <v>2540</v>
      </c>
      <c r="D28" s="1821"/>
      <c r="E28" s="1819">
        <f>'Expenditures 15-22'!K61-SUM('Expenditures 15-22'!G61,'Expenditures 15-22'!I61)+'Expenditures 15-22'!K124-SUM('Expenditures 15-22'!G124,'Expenditures 15-22'!I124)+'Expenditures 15-22'!D266</f>
        <v>5220447</v>
      </c>
      <c r="F28" s="1821">
        <f>'Expenditures 15-22'!K61-SUM('Expenditures 15-22'!G61,'Expenditures 15-22'!I61)+'Expenditures 15-22'!K124-SUM('Expenditures 15-22'!G124,'Expenditures 15-22'!I124)+'Expenditures 15-22'!D266-E9</f>
        <v>5220447</v>
      </c>
      <c r="G28" s="1820">
        <f>E9</f>
        <v>0</v>
      </c>
      <c r="H28" s="988"/>
      <c r="I28" s="162"/>
    </row>
    <row r="29" spans="1:9" ht="12" customHeight="1" x14ac:dyDescent="0.2">
      <c r="A29" s="995" t="s">
        <v>538</v>
      </c>
      <c r="B29" s="998"/>
      <c r="C29" s="994">
        <v>2550</v>
      </c>
      <c r="D29" s="1817"/>
      <c r="E29" s="1819">
        <f>'Expenditures 15-22'!K62-SUM('Expenditures 15-22'!G62,'Expenditures 15-22'!I62)+'Expenditures 15-22'!K125-SUM('Expenditures 15-22'!G125,'Expenditures 15-22'!I125)+'Expenditures 15-22'!K182-SUM('Expenditures 15-22'!G182,'Expenditures 15-22'!I182)+'Expenditures 15-22'!D267</f>
        <v>1969426</v>
      </c>
      <c r="F29" s="1817"/>
      <c r="G29" s="1820">
        <f>'Expenditures 15-22'!K62-SUM('Expenditures 15-22'!G62,'Expenditures 15-22'!I62)+'Expenditures 15-22'!K125-SUM('Expenditures 15-22'!G125,'Expenditures 15-22'!I125)+'Expenditures 15-22'!K182-SUM('Expenditures 15-22'!G182,'Expenditures 15-22'!I182)+'Expenditures 15-22'!D267</f>
        <v>1969426</v>
      </c>
      <c r="H29" s="986"/>
    </row>
    <row r="30" spans="1:9" ht="12" customHeight="1" x14ac:dyDescent="0.2">
      <c r="A30" s="995" t="s">
        <v>102</v>
      </c>
      <c r="B30" s="998"/>
      <c r="C30" s="994">
        <v>2560</v>
      </c>
      <c r="D30" s="1817"/>
      <c r="E30" s="1819">
        <f>'Expenditures 15-22'!K63-SUM('Expenditures 15-22'!G63,'Expenditures 15-22'!I63)+'Expenditures 15-22'!D268-E10</f>
        <v>1418800</v>
      </c>
      <c r="F30" s="1817"/>
      <c r="G30" s="1819">
        <f>'Expenditures 15-22'!K63-SUM('Expenditures 15-22'!G63,'Expenditures 15-22'!I63)+'Expenditures 15-22'!D268-E10</f>
        <v>1418800</v>
      </c>
    </row>
    <row r="31" spans="1:9" ht="12" customHeight="1" x14ac:dyDescent="0.2">
      <c r="A31" s="995" t="s">
        <v>103</v>
      </c>
      <c r="B31" s="998"/>
      <c r="C31" s="994">
        <v>2570</v>
      </c>
      <c r="D31" s="1819">
        <f>'Expenditures 15-22'!K64-SUM('Expenditures 15-22'!G64,'Expenditures 15-22'!I64)+'Expenditures 15-22'!D269-E12</f>
        <v>264395</v>
      </c>
      <c r="E31" s="1819">
        <f>E12</f>
        <v>0</v>
      </c>
      <c r="F31" s="1819">
        <f>'Expenditures 15-22'!K64-SUM('Expenditures 15-22'!G64,'Expenditures 15-22'!I64)+'Expenditures 15-22'!D269-E12</f>
        <v>264395</v>
      </c>
      <c r="G31" s="1819">
        <f>E12</f>
        <v>0</v>
      </c>
    </row>
    <row r="32" spans="1:9" ht="12" customHeight="1" x14ac:dyDescent="0.2">
      <c r="A32" s="991" t="s">
        <v>539</v>
      </c>
      <c r="B32" s="997"/>
      <c r="C32" s="994"/>
      <c r="D32" s="1817"/>
      <c r="E32" s="1817"/>
      <c r="F32" s="1817"/>
      <c r="G32" s="1817"/>
    </row>
    <row r="33" spans="1:7" ht="12" customHeight="1" x14ac:dyDescent="0.2">
      <c r="A33" s="995" t="s">
        <v>540</v>
      </c>
      <c r="B33" s="998"/>
      <c r="C33" s="994">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5" t="s">
        <v>541</v>
      </c>
      <c r="B34" s="998"/>
      <c r="C34" s="994">
        <v>2620</v>
      </c>
      <c r="D34" s="1817"/>
      <c r="E34" s="1819">
        <f>'Expenditures 15-22'!K68-SUM('Expenditures 15-22'!G68,'Expenditures 15-22'!I68)+'Expenditures 15-22'!D273</f>
        <v>89203</v>
      </c>
      <c r="F34" s="1817"/>
      <c r="G34" s="1819">
        <f>'Expenditures 15-22'!K68-SUM('Expenditures 15-22'!G68,'Expenditures 15-22'!I68)+'Expenditures 15-22'!D273</f>
        <v>89203</v>
      </c>
    </row>
    <row r="35" spans="1:7" ht="12" customHeight="1" x14ac:dyDescent="0.2">
      <c r="A35" s="995" t="s">
        <v>1121</v>
      </c>
      <c r="B35" s="998"/>
      <c r="C35" s="994">
        <v>2630</v>
      </c>
      <c r="D35" s="1817"/>
      <c r="E35" s="1819">
        <f>'Expenditures 15-22'!K69-SUM('Expenditures 15-22'!G69,'Expenditures 15-22'!I69)+'Expenditures 15-22'!D274</f>
        <v>173493</v>
      </c>
      <c r="F35" s="1817"/>
      <c r="G35" s="1819">
        <f>'Expenditures 15-22'!K69-SUM('Expenditures 15-22'!G69,'Expenditures 15-22'!I69)+'Expenditures 15-22'!D274</f>
        <v>173493</v>
      </c>
    </row>
    <row r="36" spans="1:7" ht="12" customHeight="1" x14ac:dyDescent="0.2">
      <c r="A36" s="995" t="s">
        <v>423</v>
      </c>
      <c r="B36" s="998"/>
      <c r="C36" s="994">
        <v>2640</v>
      </c>
      <c r="D36" s="1819">
        <f>'Expenditures 15-22'!K70-SUM('Expenditures 15-22'!G70,'Expenditures 15-22'!I70)+'Expenditures 15-22'!D275-E13</f>
        <v>298134</v>
      </c>
      <c r="E36" s="1819">
        <f>E13</f>
        <v>0</v>
      </c>
      <c r="F36" s="1819">
        <f>'Expenditures 15-22'!K70-SUM('Expenditures 15-22'!G70,'Expenditures 15-22'!I70)+'Expenditures 15-22'!D275-E13</f>
        <v>298134</v>
      </c>
      <c r="G36" s="1819">
        <f>E13</f>
        <v>0</v>
      </c>
    </row>
    <row r="37" spans="1:7" ht="12" customHeight="1" x14ac:dyDescent="0.2">
      <c r="A37" s="995" t="s">
        <v>424</v>
      </c>
      <c r="B37" s="998"/>
      <c r="C37" s="994">
        <v>2660</v>
      </c>
      <c r="D37" s="1819">
        <f>'Expenditures 15-22'!K71-SUM('Expenditures 15-22'!G71,'Expenditures 15-22'!I71)+'Expenditures 15-22'!D276-E14</f>
        <v>260306</v>
      </c>
      <c r="E37" s="1819">
        <f>E14</f>
        <v>0</v>
      </c>
      <c r="F37" s="1819">
        <f>'Expenditures 15-22'!K71-SUM('Expenditures 15-22'!G71,'Expenditures 15-22'!I71)+'Expenditures 15-22'!D276-E14</f>
        <v>260306</v>
      </c>
      <c r="G37" s="1819">
        <f>E14</f>
        <v>0</v>
      </c>
    </row>
    <row r="38" spans="1:7" ht="12" customHeight="1" x14ac:dyDescent="0.2">
      <c r="A38" s="991" t="s">
        <v>542</v>
      </c>
      <c r="B38" s="992"/>
      <c r="C38" s="994">
        <v>2900</v>
      </c>
      <c r="D38" s="1817"/>
      <c r="E38" s="1819">
        <f>'Expenditures 15-22'!K73-SUM('Expenditures 15-22'!G73,'Expenditures 15-22'!I73)+'Expenditures 15-22'!K128-SUM('Expenditures 15-22'!G128,'Expenditures 15-22'!I128)+'Expenditures 15-22'!K183-SUM('Expenditures 15-22'!G183,'Expenditures 15-22'!I183)+'Expenditures 15-22'!D278</f>
        <v>1840</v>
      </c>
      <c r="F38" s="1817"/>
      <c r="G38" s="1819">
        <f>'Expenditures 15-22'!K73-SUM('Expenditures 15-22'!G73,'Expenditures 15-22'!I73)+'Expenditures 15-22'!K128-SUM('Expenditures 15-22'!G128,'Expenditures 15-22'!I128)+'Expenditures 15-22'!K183-SUM('Expenditures 15-22'!G183,'Expenditures 15-22'!I183)+'Expenditures 15-22'!D278</f>
        <v>1840</v>
      </c>
    </row>
    <row r="39" spans="1:7" ht="12" customHeight="1" x14ac:dyDescent="0.2">
      <c r="A39" s="991" t="s">
        <v>469</v>
      </c>
      <c r="B39" s="992"/>
      <c r="C39" s="994">
        <v>3000</v>
      </c>
      <c r="D39" s="1817"/>
      <c r="E39" s="1819">
        <f>'Expenditures 15-22'!K75-SUM('Expenditures 15-22'!G75,'Expenditures 15-22'!I75)+'Expenditures 15-22'!K130-SUM('Expenditures 15-22'!G130,'Expenditures 15-22'!I130)+'Expenditures 15-22'!K185-SUM('Expenditures 15-22'!G185,'Expenditures 15-22'!I185)+'Expenditures 15-22'!D280</f>
        <v>369</v>
      </c>
      <c r="F39" s="1817"/>
      <c r="G39" s="1819">
        <f>'Expenditures 15-22'!K75-SUM('Expenditures 15-22'!G75,'Expenditures 15-22'!I75)+'Expenditures 15-22'!K130-SUM('Expenditures 15-22'!G130,'Expenditures 15-22'!I130)+'Expenditures 15-22'!K185-SUM('Expenditures 15-22'!G185,'Expenditures 15-22'!I185)+'Expenditures 15-22'!D280</f>
        <v>369</v>
      </c>
    </row>
    <row r="40" spans="1:7" ht="12" customHeight="1" x14ac:dyDescent="0.2">
      <c r="A40" s="991" t="s">
        <v>1927</v>
      </c>
      <c r="B40" s="992"/>
      <c r="C40" s="994"/>
      <c r="D40" s="1817"/>
      <c r="E40" s="1821">
        <f>-'Contracts Paid in CY 29'!G141</f>
        <v>-4448092</v>
      </c>
      <c r="F40" s="1817"/>
      <c r="G40" s="1821">
        <f>-'Contracts Paid in CY 29'!G141</f>
        <v>-4448092</v>
      </c>
    </row>
    <row r="41" spans="1:7" ht="12" customHeight="1" x14ac:dyDescent="0.2">
      <c r="A41" s="999" t="s">
        <v>158</v>
      </c>
      <c r="B41" s="1000"/>
      <c r="C41" s="1001"/>
      <c r="D41" s="1821">
        <f>SUM(D19:D39)</f>
        <v>1628581</v>
      </c>
      <c r="E41" s="1821">
        <f>SUM(E19:E40)</f>
        <v>36885689</v>
      </c>
      <c r="F41" s="1821">
        <f>SUM(F19:F39)</f>
        <v>6849028</v>
      </c>
      <c r="G41" s="1821">
        <f>SUM(G19:G40)</f>
        <v>31665242</v>
      </c>
    </row>
    <row r="42" spans="1:7" x14ac:dyDescent="0.2">
      <c r="A42" s="988"/>
      <c r="B42" s="162"/>
      <c r="C42" s="1002"/>
      <c r="D42" s="2320" t="s">
        <v>543</v>
      </c>
      <c r="E42" s="2321"/>
      <c r="F42" s="1003" t="s">
        <v>544</v>
      </c>
      <c r="G42" s="1004"/>
    </row>
    <row r="43" spans="1:7" ht="12" customHeight="1" x14ac:dyDescent="0.2">
      <c r="A43" s="988"/>
      <c r="B43" s="162"/>
      <c r="C43" s="1002"/>
      <c r="D43" s="1822" t="s">
        <v>493</v>
      </c>
      <c r="E43" s="1823">
        <f>D41</f>
        <v>1628581</v>
      </c>
      <c r="F43" s="1822" t="s">
        <v>495</v>
      </c>
      <c r="G43" s="1823">
        <f>F41</f>
        <v>6849028</v>
      </c>
    </row>
    <row r="44" spans="1:7" ht="12" customHeight="1" x14ac:dyDescent="0.2">
      <c r="A44" s="988"/>
      <c r="B44" s="162"/>
      <c r="C44" s="1002"/>
      <c r="D44" s="1822" t="s">
        <v>494</v>
      </c>
      <c r="E44" s="1823">
        <f>E41</f>
        <v>36885689</v>
      </c>
      <c r="F44" s="1822" t="s">
        <v>494</v>
      </c>
      <c r="G44" s="1823">
        <f>G41</f>
        <v>31665242</v>
      </c>
    </row>
    <row r="45" spans="1:7" ht="12" customHeight="1" x14ac:dyDescent="0.2">
      <c r="A45" s="988"/>
      <c r="B45" s="162"/>
      <c r="C45" s="162"/>
      <c r="D45" s="1824" t="s">
        <v>1063</v>
      </c>
      <c r="E45" s="1825">
        <f>(E43/E44)</f>
        <v>4.41521100500522E-2</v>
      </c>
      <c r="F45" s="1824" t="s">
        <v>1063</v>
      </c>
      <c r="G45" s="1825">
        <f>(G43/G44)</f>
        <v>0.2162948257272122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0" sqref="J30"/>
      <selection pane="bottomLeft" activeCell="F16" sqref="F16"/>
    </sheetView>
  </sheetViews>
  <sheetFormatPr defaultColWidth="9.140625" defaultRowHeight="12.75" x14ac:dyDescent="0.2"/>
  <cols>
    <col min="1" max="1" width="54.5703125" style="1891" customWidth="1"/>
    <col min="2" max="2" width="4.140625" style="1891" customWidth="1"/>
    <col min="3" max="4" width="9.85546875" style="1862" customWidth="1"/>
    <col min="5" max="5" width="12.5703125" style="1892" customWidth="1"/>
    <col min="6" max="6" width="67.5703125" style="1862" customWidth="1"/>
    <col min="7" max="7" width="9.140625" style="1862" customWidth="1"/>
    <col min="8" max="8" width="5.5703125" style="1893" bestFit="1" customWidth="1"/>
    <col min="9" max="10" width="2" style="1893" bestFit="1" customWidth="1"/>
    <col min="11" max="11" width="9" style="1893" customWidth="1"/>
    <col min="12" max="16384" width="9.140625" style="1862"/>
  </cols>
  <sheetData>
    <row r="1" spans="1:10" x14ac:dyDescent="0.2">
      <c r="A1" s="2328" t="s">
        <v>1446</v>
      </c>
      <c r="B1" s="2328"/>
      <c r="C1" s="2328"/>
      <c r="D1" s="2328"/>
      <c r="E1" s="2328"/>
      <c r="F1" s="2328"/>
    </row>
    <row r="2" spans="1:10" x14ac:dyDescent="0.2">
      <c r="A2" s="1902" t="s">
        <v>2045</v>
      </c>
      <c r="B2" s="1863"/>
      <c r="C2" s="1902"/>
      <c r="D2" s="1863"/>
      <c r="E2" s="1863"/>
      <c r="F2" s="1864"/>
    </row>
    <row r="3" spans="1:10" x14ac:dyDescent="0.2">
      <c r="A3" s="1902" t="s">
        <v>1700</v>
      </c>
      <c r="B3" s="1863"/>
      <c r="C3" s="1902"/>
      <c r="D3" s="1863"/>
      <c r="E3" s="1863"/>
      <c r="F3" s="1864"/>
    </row>
    <row r="4" spans="1:10" ht="3.75" customHeight="1" x14ac:dyDescent="0.2">
      <c r="A4" s="1863"/>
      <c r="B4" s="1863"/>
      <c r="C4" s="1863"/>
      <c r="D4" s="1863"/>
      <c r="E4" s="1863"/>
      <c r="F4" s="1864"/>
    </row>
    <row r="5" spans="1:10" ht="15" x14ac:dyDescent="0.25">
      <c r="A5" s="2329" t="s">
        <v>1627</v>
      </c>
      <c r="B5" s="2330"/>
      <c r="C5" s="2331"/>
      <c r="D5" s="2331"/>
      <c r="E5" s="2331"/>
      <c r="F5" s="2331"/>
    </row>
    <row r="6" spans="1:10" ht="12" customHeight="1" x14ac:dyDescent="0.25">
      <c r="A6" s="1865"/>
      <c r="B6" s="1866"/>
      <c r="C6" s="2332" t="str">
        <f>COVER!A17</f>
        <v>Lake Park CHSD 108</v>
      </c>
      <c r="D6" s="2332"/>
      <c r="E6" s="2332"/>
      <c r="F6" s="1867"/>
    </row>
    <row r="7" spans="1:10" ht="11.25" customHeight="1" thickBot="1" x14ac:dyDescent="0.3">
      <c r="A7" s="1865"/>
      <c r="B7" s="1866"/>
      <c r="C7" s="2333">
        <f>COVER!A13</f>
        <v>19022108016</v>
      </c>
      <c r="D7" s="2333"/>
      <c r="E7" s="2333"/>
      <c r="F7" s="1867"/>
    </row>
    <row r="8" spans="1:10" ht="25.5" customHeight="1" thickBot="1" x14ac:dyDescent="0.25">
      <c r="A8" s="1908" t="s">
        <v>2022</v>
      </c>
      <c r="B8" s="1868"/>
      <c r="C8" s="1904" t="s">
        <v>1780</v>
      </c>
      <c r="D8" s="1903" t="s">
        <v>1781</v>
      </c>
      <c r="E8" s="1905" t="s">
        <v>1447</v>
      </c>
      <c r="F8" s="1903" t="s">
        <v>1782</v>
      </c>
      <c r="H8" s="1869" t="b">
        <v>0</v>
      </c>
    </row>
    <row r="9" spans="1:10" ht="15.75" customHeight="1" x14ac:dyDescent="0.2">
      <c r="A9" s="1870" t="s">
        <v>1623</v>
      </c>
      <c r="B9" s="1871"/>
      <c r="C9" s="1872"/>
      <c r="D9" s="1872"/>
      <c r="E9" s="1873"/>
      <c r="F9" s="1874"/>
    </row>
    <row r="10" spans="1:10" ht="27.75" customHeight="1" x14ac:dyDescent="0.2">
      <c r="A10" s="1875" t="s">
        <v>1779</v>
      </c>
      <c r="B10" s="1876"/>
      <c r="C10" s="1877"/>
      <c r="D10" s="1877"/>
      <c r="E10" s="1906" t="s">
        <v>1448</v>
      </c>
      <c r="F10" s="1907" t="s">
        <v>1449</v>
      </c>
    </row>
    <row r="11" spans="1:10" ht="12" customHeight="1" x14ac:dyDescent="0.2">
      <c r="A11" s="1878" t="s">
        <v>1450</v>
      </c>
      <c r="B11" s="1879"/>
      <c r="C11" s="1880"/>
      <c r="D11" s="1880"/>
      <c r="E11" s="1881"/>
      <c r="F11" s="1882"/>
      <c r="H11" s="1893">
        <f>IF(C11="X",5,0)</f>
        <v>0</v>
      </c>
      <c r="I11" s="1893">
        <f>IF(D11="X",5,0)</f>
        <v>0</v>
      </c>
      <c r="J11" s="1893">
        <f>IF(E11="X",5,0)</f>
        <v>0</v>
      </c>
    </row>
    <row r="12" spans="1:10" ht="12" customHeight="1" x14ac:dyDescent="0.2">
      <c r="A12" s="1878" t="s">
        <v>1451</v>
      </c>
      <c r="B12" s="1879"/>
      <c r="C12" s="1880"/>
      <c r="D12" s="1880"/>
      <c r="E12" s="1883"/>
      <c r="F12" s="1882"/>
      <c r="H12" s="1893">
        <f t="shared" ref="H12:H33" si="0">IF(C12="X",5,0)</f>
        <v>0</v>
      </c>
      <c r="I12" s="1893">
        <f t="shared" ref="I12:I33" si="1">IF(D12="X",5,0)</f>
        <v>0</v>
      </c>
      <c r="J12" s="1893">
        <f t="shared" ref="J12:J33" si="2">IF(E12="X",5,0)</f>
        <v>0</v>
      </c>
    </row>
    <row r="13" spans="1:10" ht="12" customHeight="1" x14ac:dyDescent="0.2">
      <c r="A13" s="1878" t="s">
        <v>1452</v>
      </c>
      <c r="B13" s="1879"/>
      <c r="C13" s="1880"/>
      <c r="D13" s="1880"/>
      <c r="E13" s="1883"/>
      <c r="F13" s="1882"/>
      <c r="H13" s="1893">
        <f t="shared" si="0"/>
        <v>0</v>
      </c>
      <c r="I13" s="1893">
        <f t="shared" si="1"/>
        <v>0</v>
      </c>
      <c r="J13" s="1893">
        <f t="shared" si="2"/>
        <v>0</v>
      </c>
    </row>
    <row r="14" spans="1:10" ht="12" customHeight="1" x14ac:dyDescent="0.2">
      <c r="A14" s="1878" t="s">
        <v>1453</v>
      </c>
      <c r="B14" s="1879"/>
      <c r="C14" s="1880"/>
      <c r="D14" s="1880"/>
      <c r="E14" s="1883"/>
      <c r="F14" s="1882"/>
      <c r="H14" s="1893">
        <f t="shared" si="0"/>
        <v>0</v>
      </c>
      <c r="I14" s="1893">
        <f t="shared" si="1"/>
        <v>0</v>
      </c>
      <c r="J14" s="1893">
        <f t="shared" si="2"/>
        <v>0</v>
      </c>
    </row>
    <row r="15" spans="1:10" ht="12" customHeight="1" x14ac:dyDescent="0.2">
      <c r="A15" s="1878" t="s">
        <v>1454</v>
      </c>
      <c r="B15" s="1879"/>
      <c r="C15" s="1880" t="s">
        <v>2114</v>
      </c>
      <c r="D15" s="1880" t="s">
        <v>2114</v>
      </c>
      <c r="E15" s="1883"/>
      <c r="F15" s="1882" t="s">
        <v>2241</v>
      </c>
      <c r="H15" s="1893">
        <f t="shared" si="0"/>
        <v>5</v>
      </c>
      <c r="I15" s="1893">
        <f t="shared" si="1"/>
        <v>5</v>
      </c>
      <c r="J15" s="1893">
        <f t="shared" si="2"/>
        <v>0</v>
      </c>
    </row>
    <row r="16" spans="1:10" ht="12" customHeight="1" x14ac:dyDescent="0.2">
      <c r="A16" s="1878" t="s">
        <v>1455</v>
      </c>
      <c r="B16" s="1879"/>
      <c r="C16" s="1880"/>
      <c r="D16" s="1880"/>
      <c r="E16" s="1883"/>
      <c r="F16" s="1882"/>
      <c r="H16" s="1893">
        <f t="shared" si="0"/>
        <v>0</v>
      </c>
      <c r="I16" s="1893">
        <f t="shared" si="1"/>
        <v>0</v>
      </c>
      <c r="J16" s="1893">
        <f t="shared" si="2"/>
        <v>0</v>
      </c>
    </row>
    <row r="17" spans="1:12" ht="12" customHeight="1" x14ac:dyDescent="0.2">
      <c r="A17" s="1878" t="s">
        <v>1456</v>
      </c>
      <c r="B17" s="1879"/>
      <c r="C17" s="1880"/>
      <c r="D17" s="1880"/>
      <c r="E17" s="1883"/>
      <c r="F17" s="1882"/>
      <c r="H17" s="1893">
        <f t="shared" si="0"/>
        <v>0</v>
      </c>
      <c r="I17" s="1893">
        <f t="shared" si="1"/>
        <v>0</v>
      </c>
      <c r="J17" s="1893">
        <f t="shared" si="2"/>
        <v>0</v>
      </c>
    </row>
    <row r="18" spans="1:12" ht="12" customHeight="1" x14ac:dyDescent="0.2">
      <c r="A18" s="1878" t="s">
        <v>1457</v>
      </c>
      <c r="B18" s="1879"/>
      <c r="C18" s="1880"/>
      <c r="D18" s="1880"/>
      <c r="E18" s="1883"/>
      <c r="F18" s="1882"/>
      <c r="H18" s="1893">
        <f t="shared" si="0"/>
        <v>0</v>
      </c>
      <c r="I18" s="1893">
        <f t="shared" si="1"/>
        <v>0</v>
      </c>
      <c r="J18" s="1893">
        <f t="shared" si="2"/>
        <v>0</v>
      </c>
    </row>
    <row r="19" spans="1:12" ht="12" customHeight="1" x14ac:dyDescent="0.2">
      <c r="A19" s="1878" t="s">
        <v>1608</v>
      </c>
      <c r="B19" s="1879"/>
      <c r="C19" s="1880" t="s">
        <v>2114</v>
      </c>
      <c r="D19" s="1880" t="s">
        <v>2114</v>
      </c>
      <c r="E19" s="1883"/>
      <c r="F19" s="1882" t="s">
        <v>2240</v>
      </c>
      <c r="H19" s="1893">
        <f t="shared" si="0"/>
        <v>5</v>
      </c>
      <c r="I19" s="1893">
        <f t="shared" si="1"/>
        <v>5</v>
      </c>
      <c r="J19" s="1893">
        <f t="shared" si="2"/>
        <v>0</v>
      </c>
    </row>
    <row r="20" spans="1:12" ht="12" customHeight="1" x14ac:dyDescent="0.2">
      <c r="A20" s="1878" t="s">
        <v>1609</v>
      </c>
      <c r="B20" s="1879"/>
      <c r="C20" s="1880" t="s">
        <v>2114</v>
      </c>
      <c r="D20" s="1880" t="s">
        <v>2114</v>
      </c>
      <c r="E20" s="1883"/>
      <c r="F20" s="1882" t="s">
        <v>2239</v>
      </c>
      <c r="H20" s="1893">
        <f t="shared" si="0"/>
        <v>5</v>
      </c>
      <c r="I20" s="1893">
        <f t="shared" si="1"/>
        <v>5</v>
      </c>
      <c r="J20" s="1893">
        <f t="shared" si="2"/>
        <v>0</v>
      </c>
    </row>
    <row r="21" spans="1:12" ht="12" customHeight="1" x14ac:dyDescent="0.2">
      <c r="A21" s="1878" t="s">
        <v>1610</v>
      </c>
      <c r="B21" s="1879"/>
      <c r="C21" s="1880" t="s">
        <v>2114</v>
      </c>
      <c r="D21" s="1880" t="s">
        <v>2114</v>
      </c>
      <c r="E21" s="1883"/>
      <c r="F21" s="1882" t="s">
        <v>2238</v>
      </c>
      <c r="H21" s="1893">
        <f t="shared" si="0"/>
        <v>5</v>
      </c>
      <c r="I21" s="1893">
        <f t="shared" si="1"/>
        <v>5</v>
      </c>
      <c r="J21" s="1893">
        <f t="shared" si="2"/>
        <v>0</v>
      </c>
    </row>
    <row r="22" spans="1:12" ht="12" customHeight="1" x14ac:dyDescent="0.2">
      <c r="A22" s="1878" t="s">
        <v>1611</v>
      </c>
      <c r="B22" s="1879"/>
      <c r="C22" s="1880"/>
      <c r="D22" s="1880"/>
      <c r="E22" s="1883"/>
      <c r="F22" s="1882"/>
      <c r="H22" s="1893">
        <f t="shared" si="0"/>
        <v>0</v>
      </c>
      <c r="I22" s="1893">
        <f t="shared" si="1"/>
        <v>0</v>
      </c>
      <c r="J22" s="1893">
        <f t="shared" si="2"/>
        <v>0</v>
      </c>
    </row>
    <row r="23" spans="1:12" ht="12" customHeight="1" x14ac:dyDescent="0.2">
      <c r="A23" s="1878" t="s">
        <v>1612</v>
      </c>
      <c r="B23" s="1879"/>
      <c r="C23" s="1880"/>
      <c r="D23" s="1880"/>
      <c r="E23" s="1883"/>
      <c r="F23" s="1882"/>
      <c r="H23" s="1893">
        <f t="shared" si="0"/>
        <v>0</v>
      </c>
      <c r="I23" s="1893">
        <f t="shared" si="1"/>
        <v>0</v>
      </c>
      <c r="J23" s="1893">
        <f t="shared" si="2"/>
        <v>0</v>
      </c>
    </row>
    <row r="24" spans="1:12" ht="12" customHeight="1" x14ac:dyDescent="0.2">
      <c r="A24" s="1878" t="s">
        <v>1613</v>
      </c>
      <c r="B24" s="1879"/>
      <c r="C24" s="1880"/>
      <c r="D24" s="1880"/>
      <c r="E24" s="1883"/>
      <c r="F24" s="1882"/>
      <c r="H24" s="1893">
        <f t="shared" si="0"/>
        <v>0</v>
      </c>
      <c r="I24" s="1893">
        <f t="shared" si="1"/>
        <v>0</v>
      </c>
      <c r="J24" s="1893">
        <f t="shared" si="2"/>
        <v>0</v>
      </c>
    </row>
    <row r="25" spans="1:12" ht="12" customHeight="1" x14ac:dyDescent="0.2">
      <c r="A25" s="1878" t="s">
        <v>1614</v>
      </c>
      <c r="B25" s="1879"/>
      <c r="C25" s="1880"/>
      <c r="D25" s="1880"/>
      <c r="E25" s="1883"/>
      <c r="F25" s="1882"/>
      <c r="H25" s="1893">
        <f t="shared" si="0"/>
        <v>0</v>
      </c>
      <c r="I25" s="1893">
        <f t="shared" si="1"/>
        <v>0</v>
      </c>
      <c r="J25" s="1893">
        <f t="shared" si="2"/>
        <v>0</v>
      </c>
    </row>
    <row r="26" spans="1:12" ht="12" customHeight="1" x14ac:dyDescent="0.2">
      <c r="A26" s="1878" t="s">
        <v>1615</v>
      </c>
      <c r="B26" s="1879"/>
      <c r="C26" s="1880" t="s">
        <v>2114</v>
      </c>
      <c r="D26" s="1880" t="s">
        <v>2114</v>
      </c>
      <c r="E26" s="1883"/>
      <c r="F26" s="1882" t="s">
        <v>2237</v>
      </c>
      <c r="H26" s="1893">
        <f t="shared" si="0"/>
        <v>5</v>
      </c>
      <c r="I26" s="1893">
        <f t="shared" si="1"/>
        <v>5</v>
      </c>
      <c r="J26" s="1893">
        <f t="shared" si="2"/>
        <v>0</v>
      </c>
    </row>
    <row r="27" spans="1:12" ht="18.75" x14ac:dyDescent="0.2">
      <c r="A27" s="1878" t="s">
        <v>1616</v>
      </c>
      <c r="B27" s="1879"/>
      <c r="C27" s="1880"/>
      <c r="D27" s="1880"/>
      <c r="E27" s="1883"/>
      <c r="F27" s="1882"/>
      <c r="H27" s="1893">
        <f t="shared" si="0"/>
        <v>0</v>
      </c>
      <c r="I27" s="1893">
        <f t="shared" si="1"/>
        <v>0</v>
      </c>
      <c r="J27" s="1893">
        <f t="shared" si="2"/>
        <v>0</v>
      </c>
    </row>
    <row r="28" spans="1:12" ht="12" customHeight="1" x14ac:dyDescent="0.2">
      <c r="A28" s="1878" t="s">
        <v>1617</v>
      </c>
      <c r="B28" s="1879"/>
      <c r="C28" s="1880" t="s">
        <v>2114</v>
      </c>
      <c r="D28" s="1880" t="s">
        <v>2114</v>
      </c>
      <c r="E28" s="1883"/>
      <c r="F28" s="1882" t="s">
        <v>2236</v>
      </c>
      <c r="H28" s="1893">
        <f t="shared" si="0"/>
        <v>5</v>
      </c>
      <c r="I28" s="1893">
        <f t="shared" si="1"/>
        <v>5</v>
      </c>
      <c r="J28" s="1893">
        <f t="shared" si="2"/>
        <v>0</v>
      </c>
    </row>
    <row r="29" spans="1:12" ht="12" customHeight="1" x14ac:dyDescent="0.2">
      <c r="A29" s="1878" t="s">
        <v>1618</v>
      </c>
      <c r="B29" s="1879"/>
      <c r="C29" s="1880"/>
      <c r="D29" s="1880"/>
      <c r="E29" s="1883"/>
      <c r="F29" s="1882"/>
      <c r="H29" s="1893">
        <f t="shared" si="0"/>
        <v>0</v>
      </c>
      <c r="I29" s="1893">
        <f t="shared" si="1"/>
        <v>0</v>
      </c>
      <c r="J29" s="1893">
        <f t="shared" si="2"/>
        <v>0</v>
      </c>
    </row>
    <row r="30" spans="1:12" ht="12" customHeight="1" x14ac:dyDescent="0.2">
      <c r="A30" s="1878" t="s">
        <v>1619</v>
      </c>
      <c r="B30" s="1879"/>
      <c r="C30" s="1880" t="s">
        <v>2114</v>
      </c>
      <c r="D30" s="1880" t="s">
        <v>2114</v>
      </c>
      <c r="E30" s="1883"/>
      <c r="F30" s="1882" t="s">
        <v>2235</v>
      </c>
      <c r="H30" s="1893">
        <f t="shared" si="0"/>
        <v>5</v>
      </c>
      <c r="I30" s="1893">
        <f t="shared" si="1"/>
        <v>5</v>
      </c>
      <c r="J30" s="1893">
        <f t="shared" si="2"/>
        <v>0</v>
      </c>
    </row>
    <row r="31" spans="1:12" ht="12" customHeight="1" x14ac:dyDescent="0.2">
      <c r="A31" s="1878" t="s">
        <v>1620</v>
      </c>
      <c r="B31" s="1879"/>
      <c r="C31" s="1880" t="s">
        <v>2114</v>
      </c>
      <c r="D31" s="1880" t="s">
        <v>2114</v>
      </c>
      <c r="E31" s="1883"/>
      <c r="F31" s="1882" t="s">
        <v>2234</v>
      </c>
      <c r="H31" s="1893">
        <f t="shared" si="0"/>
        <v>5</v>
      </c>
      <c r="I31" s="1893">
        <f t="shared" si="1"/>
        <v>5</v>
      </c>
      <c r="J31" s="1893">
        <f t="shared" si="2"/>
        <v>0</v>
      </c>
      <c r="L31" s="1884"/>
    </row>
    <row r="32" spans="1:12" ht="12" customHeight="1" x14ac:dyDescent="0.2">
      <c r="A32" s="1878" t="s">
        <v>1621</v>
      </c>
      <c r="B32" s="1879"/>
      <c r="C32" s="1880"/>
      <c r="D32" s="1880"/>
      <c r="E32" s="1883"/>
      <c r="F32" s="1882"/>
      <c r="H32" s="1893">
        <f t="shared" si="0"/>
        <v>0</v>
      </c>
      <c r="I32" s="1893">
        <f t="shared" si="1"/>
        <v>0</v>
      </c>
      <c r="J32" s="1893">
        <f t="shared" si="2"/>
        <v>0</v>
      </c>
    </row>
    <row r="33" spans="1:11" ht="12" customHeight="1" x14ac:dyDescent="0.2">
      <c r="A33" s="1878" t="s">
        <v>1622</v>
      </c>
      <c r="B33" s="1879"/>
      <c r="C33" s="1880"/>
      <c r="D33" s="1880"/>
      <c r="E33" s="1883"/>
      <c r="F33" s="1882"/>
      <c r="H33" s="1893">
        <f t="shared" si="0"/>
        <v>0</v>
      </c>
      <c r="I33" s="1893">
        <f t="shared" si="1"/>
        <v>0</v>
      </c>
      <c r="J33" s="1893">
        <f t="shared" si="2"/>
        <v>0</v>
      </c>
    </row>
    <row r="34" spans="1:11" ht="12" customHeight="1" x14ac:dyDescent="0.25">
      <c r="A34" s="1885"/>
      <c r="B34" s="1885"/>
      <c r="C34" s="1885"/>
      <c r="D34" s="1885"/>
      <c r="E34" s="1885"/>
      <c r="F34" s="1885"/>
      <c r="H34" s="1893">
        <f>SUM(H11:H32)</f>
        <v>40</v>
      </c>
      <c r="I34" s="1893">
        <f>SUM(I11:I32)</f>
        <v>40</v>
      </c>
      <c r="J34" s="1893">
        <f>SUM(J11:J32)</f>
        <v>0</v>
      </c>
      <c r="K34" s="1893">
        <f>SUM(H34:J34)</f>
        <v>80</v>
      </c>
    </row>
    <row r="35" spans="1:11" ht="12" customHeight="1" x14ac:dyDescent="0.2">
      <c r="A35" s="1886" t="s">
        <v>1459</v>
      </c>
      <c r="B35" s="1887"/>
      <c r="C35" s="2334"/>
      <c r="D35" s="2334"/>
      <c r="E35" s="2334"/>
      <c r="F35" s="2335"/>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39"/>
      <c r="B38" s="2340"/>
      <c r="C38" s="2340"/>
      <c r="D38" s="2340"/>
      <c r="E38" s="2340"/>
      <c r="F38" s="2341"/>
    </row>
    <row r="39" spans="1:11" ht="4.5" hidden="1" customHeight="1" x14ac:dyDescent="0.2">
      <c r="A39" s="1888"/>
      <c r="B39" s="1888"/>
      <c r="C39" s="1888"/>
      <c r="D39" s="1888"/>
      <c r="E39" s="1888"/>
      <c r="F39" s="1888"/>
    </row>
    <row r="40" spans="1:11" s="1885" customFormat="1" ht="12" customHeight="1" x14ac:dyDescent="0.25">
      <c r="A40" s="1889" t="s">
        <v>1458</v>
      </c>
      <c r="B40" s="1890"/>
      <c r="C40" s="2342"/>
      <c r="D40" s="2342"/>
      <c r="E40" s="2342"/>
      <c r="F40" s="2343"/>
      <c r="H40" s="1894"/>
      <c r="I40" s="1894"/>
      <c r="J40" s="1894"/>
      <c r="K40" s="1894"/>
    </row>
    <row r="41" spans="1:11" s="1885" customFormat="1" ht="12" customHeight="1" x14ac:dyDescent="0.25">
      <c r="A41" s="2344"/>
      <c r="B41" s="2345"/>
      <c r="C41" s="2345"/>
      <c r="D41" s="2345"/>
      <c r="E41" s="2345"/>
      <c r="F41" s="2346"/>
      <c r="H41" s="1894"/>
      <c r="I41" s="1894"/>
      <c r="J41" s="1894"/>
      <c r="K41" s="1894"/>
    </row>
    <row r="42" spans="1:11" s="1885" customFormat="1" ht="12" customHeight="1" x14ac:dyDescent="0.25">
      <c r="A42" s="2344"/>
      <c r="B42" s="2345"/>
      <c r="C42" s="2345"/>
      <c r="D42" s="2345"/>
      <c r="E42" s="2345"/>
      <c r="F42" s="2346"/>
      <c r="H42" s="1894"/>
      <c r="I42" s="1894"/>
      <c r="J42" s="1894"/>
      <c r="K42" s="1894"/>
    </row>
    <row r="43" spans="1:11" s="1885" customFormat="1" ht="15" x14ac:dyDescent="0.25">
      <c r="A43" s="2336"/>
      <c r="B43" s="2337"/>
      <c r="C43" s="2337"/>
      <c r="D43" s="2337"/>
      <c r="E43" s="2337"/>
      <c r="F43" s="2338"/>
      <c r="H43" s="1894"/>
      <c r="I43" s="1894"/>
      <c r="J43" s="1894"/>
      <c r="K43" s="1894"/>
    </row>
    <row r="44" spans="1:11" s="1885" customFormat="1" ht="12" hidden="1" customHeight="1" x14ac:dyDescent="0.25">
      <c r="A44" s="2336"/>
      <c r="B44" s="2337"/>
      <c r="C44" s="2337"/>
      <c r="D44" s="2337"/>
      <c r="E44" s="2337"/>
      <c r="F44" s="2338"/>
      <c r="H44" s="1894"/>
      <c r="I44" s="1894"/>
      <c r="J44" s="1894"/>
      <c r="K44" s="1894"/>
    </row>
    <row r="45" spans="1:11" s="1885" customFormat="1" ht="12" customHeight="1" x14ac:dyDescent="0.25">
      <c r="H45" s="1894"/>
      <c r="I45" s="1894"/>
      <c r="J45" s="1894"/>
      <c r="K45" s="1894"/>
    </row>
    <row r="46" spans="1:11" s="1885" customFormat="1" ht="9.75" customHeight="1" x14ac:dyDescent="0.25">
      <c r="H46" s="1894"/>
      <c r="I46" s="1894"/>
      <c r="J46" s="1894"/>
      <c r="K46" s="1894"/>
    </row>
    <row r="47" spans="1:11" s="1885" customFormat="1" ht="13.5" customHeight="1" x14ac:dyDescent="0.25">
      <c r="H47" s="1894"/>
      <c r="I47" s="1894"/>
      <c r="J47" s="1894"/>
      <c r="K47" s="1894"/>
    </row>
    <row r="48" spans="1:11" s="1885" customFormat="1" ht="15" x14ac:dyDescent="0.25">
      <c r="H48" s="1894"/>
      <c r="I48" s="1894"/>
      <c r="J48" s="1894"/>
      <c r="K48" s="1894"/>
    </row>
    <row r="49" spans="1:11" s="1885" customFormat="1" ht="15" hidden="1" x14ac:dyDescent="0.25">
      <c r="A49" s="1885" t="b">
        <v>0</v>
      </c>
      <c r="H49" s="1894"/>
      <c r="I49" s="1894"/>
      <c r="J49" s="1894"/>
      <c r="K49" s="1894"/>
    </row>
    <row r="50" spans="1:11" s="1885" customFormat="1" ht="15" x14ac:dyDescent="0.25">
      <c r="H50" s="1894"/>
      <c r="I50" s="1894"/>
      <c r="J50" s="1894"/>
      <c r="K50" s="1894"/>
    </row>
    <row r="51" spans="1:11" s="1885" customFormat="1" ht="15" x14ac:dyDescent="0.25">
      <c r="H51" s="1894"/>
      <c r="I51" s="1894"/>
      <c r="J51" s="1894"/>
      <c r="K51" s="1894"/>
    </row>
    <row r="52" spans="1:11" s="1885" customFormat="1" ht="15" x14ac:dyDescent="0.25">
      <c r="H52" s="1894"/>
      <c r="I52" s="1894"/>
      <c r="J52" s="1894"/>
      <c r="K52" s="1894"/>
    </row>
    <row r="53" spans="1:11" s="1885" customFormat="1" ht="15" x14ac:dyDescent="0.25">
      <c r="H53" s="1894"/>
      <c r="I53" s="1894"/>
      <c r="J53" s="1894"/>
      <c r="K53" s="1894"/>
    </row>
    <row r="54" spans="1:11" s="1885" customFormat="1" ht="15" x14ac:dyDescent="0.25">
      <c r="H54" s="1894"/>
      <c r="I54" s="1894"/>
      <c r="J54" s="1894"/>
      <c r="K54" s="1894"/>
    </row>
    <row r="55" spans="1:11" s="1885" customFormat="1" ht="15" x14ac:dyDescent="0.25">
      <c r="H55" s="1894"/>
      <c r="I55" s="1894"/>
      <c r="J55" s="1894"/>
      <c r="K55" s="1894"/>
    </row>
    <row r="56" spans="1:11" s="1885" customFormat="1" ht="15" x14ac:dyDescent="0.25">
      <c r="H56" s="1894"/>
      <c r="I56" s="1894"/>
      <c r="J56" s="1894"/>
      <c r="K56" s="1894"/>
    </row>
    <row r="57" spans="1:11" s="1885" customFormat="1" ht="15" x14ac:dyDescent="0.25">
      <c r="H57" s="1894"/>
      <c r="I57" s="1894"/>
      <c r="J57" s="1894"/>
      <c r="K57" s="1894"/>
    </row>
    <row r="58" spans="1:11" s="1885" customFormat="1" ht="15" x14ac:dyDescent="0.25">
      <c r="H58" s="1894"/>
      <c r="I58" s="1894"/>
      <c r="J58" s="1894"/>
      <c r="K58" s="1894"/>
    </row>
    <row r="59" spans="1:11" s="1885" customFormat="1" ht="15" x14ac:dyDescent="0.25">
      <c r="H59" s="1894"/>
      <c r="I59" s="1894"/>
      <c r="J59" s="1894"/>
      <c r="K59" s="1894"/>
    </row>
    <row r="60" spans="1:11" s="1885" customFormat="1" ht="15" x14ac:dyDescent="0.25">
      <c r="H60" s="1894"/>
      <c r="I60" s="1894"/>
      <c r="J60" s="1894"/>
      <c r="K60" s="1894"/>
    </row>
    <row r="61" spans="1:11" s="1885" customFormat="1" ht="15" x14ac:dyDescent="0.25">
      <c r="H61" s="1894"/>
      <c r="I61" s="1894"/>
      <c r="J61" s="1894"/>
      <c r="K61" s="1894"/>
    </row>
    <row r="62" spans="1:11" s="1885" customFormat="1" ht="15" x14ac:dyDescent="0.25">
      <c r="H62" s="1894"/>
      <c r="I62" s="1894"/>
      <c r="J62" s="1894"/>
      <c r="K62" s="1894"/>
    </row>
    <row r="63" spans="1:11" s="1885" customFormat="1" ht="15" x14ac:dyDescent="0.25">
      <c r="H63" s="1894"/>
      <c r="I63" s="1894"/>
      <c r="J63" s="1894"/>
      <c r="K63" s="1894"/>
    </row>
    <row r="64" spans="1:11" s="1885" customFormat="1" ht="15" x14ac:dyDescent="0.25">
      <c r="H64" s="1894"/>
      <c r="I64" s="1894"/>
      <c r="J64" s="1894"/>
      <c r="K64" s="1894"/>
    </row>
    <row r="65" spans="8:11" s="1885" customFormat="1" ht="15" x14ac:dyDescent="0.25">
      <c r="H65" s="1894"/>
      <c r="I65" s="1894"/>
      <c r="J65" s="1894"/>
      <c r="K65" s="1894"/>
    </row>
    <row r="66" spans="8:11" s="1885" customFormat="1" ht="15" x14ac:dyDescent="0.25">
      <c r="H66" s="1894"/>
      <c r="I66" s="1894"/>
      <c r="J66" s="1894"/>
      <c r="K66" s="1894"/>
    </row>
    <row r="67" spans="8:11" s="1885" customFormat="1" ht="15" x14ac:dyDescent="0.25">
      <c r="H67" s="1894"/>
      <c r="I67" s="1894"/>
      <c r="J67" s="1894"/>
      <c r="K67" s="1894"/>
    </row>
    <row r="68" spans="8:11" s="1885" customFormat="1" ht="15" x14ac:dyDescent="0.25">
      <c r="H68" s="1894"/>
      <c r="I68" s="1894"/>
      <c r="J68" s="1894"/>
      <c r="K68" s="1894"/>
    </row>
    <row r="69" spans="8:11" s="1885" customFormat="1" ht="15" x14ac:dyDescent="0.25">
      <c r="H69" s="1894"/>
      <c r="I69" s="1894"/>
      <c r="J69" s="1894"/>
      <c r="K69" s="1894"/>
    </row>
    <row r="70" spans="8:11" s="1885" customFormat="1" ht="15" x14ac:dyDescent="0.25">
      <c r="H70" s="1894"/>
      <c r="I70" s="1894"/>
      <c r="J70" s="1894"/>
      <c r="K70" s="1894"/>
    </row>
    <row r="71" spans="8:11" s="1885" customFormat="1" ht="15" x14ac:dyDescent="0.25">
      <c r="H71" s="1894"/>
      <c r="I71" s="1894"/>
      <c r="J71" s="1894"/>
      <c r="K71" s="1894"/>
    </row>
    <row r="72" spans="8:11" s="1885" customFormat="1" ht="15" x14ac:dyDescent="0.25">
      <c r="H72" s="1894"/>
      <c r="I72" s="1894"/>
      <c r="J72" s="1894"/>
      <c r="K72" s="1894"/>
    </row>
    <row r="73" spans="8:11" s="1885" customFormat="1" ht="15" x14ac:dyDescent="0.25">
      <c r="H73" s="1894"/>
      <c r="I73" s="1894"/>
      <c r="J73" s="1894"/>
      <c r="K73" s="1894"/>
    </row>
    <row r="74" spans="8:11" s="1885" customFormat="1" ht="15" x14ac:dyDescent="0.25">
      <c r="H74" s="1894"/>
      <c r="I74" s="1894"/>
      <c r="J74" s="1894"/>
      <c r="K74" s="1894"/>
    </row>
    <row r="75" spans="8:11" s="1885" customFormat="1" ht="15" x14ac:dyDescent="0.25">
      <c r="H75" s="1894"/>
      <c r="I75" s="1894"/>
      <c r="J75" s="1894"/>
      <c r="K75" s="1894"/>
    </row>
    <row r="76" spans="8:11" s="1885" customFormat="1" ht="15" x14ac:dyDescent="0.25">
      <c r="H76" s="1894"/>
      <c r="I76" s="1894"/>
      <c r="J76" s="1894"/>
      <c r="K76" s="1894"/>
    </row>
    <row r="77" spans="8:11" s="1885" customFormat="1" ht="15" x14ac:dyDescent="0.25">
      <c r="H77" s="1894"/>
      <c r="I77" s="1894"/>
      <c r="J77" s="1894"/>
      <c r="K77" s="1894"/>
    </row>
    <row r="78" spans="8:11" s="1885" customFormat="1" ht="15" x14ac:dyDescent="0.25">
      <c r="H78" s="1894"/>
      <c r="I78" s="1894"/>
      <c r="J78" s="1894"/>
      <c r="K78" s="1894"/>
    </row>
    <row r="79" spans="8:11" s="1885" customFormat="1" ht="15" x14ac:dyDescent="0.25">
      <c r="H79" s="1894"/>
      <c r="I79" s="1894"/>
      <c r="J79" s="1894"/>
      <c r="K79" s="1894"/>
    </row>
    <row r="80" spans="8:11" s="1885" customFormat="1" ht="15" x14ac:dyDescent="0.25">
      <c r="H80" s="1894"/>
      <c r="I80" s="1894"/>
      <c r="J80" s="1894"/>
      <c r="K80" s="1894"/>
    </row>
    <row r="81" spans="8:11" s="1885" customFormat="1" ht="15" x14ac:dyDescent="0.25">
      <c r="H81" s="1894"/>
      <c r="I81" s="1894"/>
      <c r="J81" s="1894"/>
      <c r="K81" s="1894"/>
    </row>
    <row r="82" spans="8:11" s="1885" customFormat="1" ht="15" x14ac:dyDescent="0.25">
      <c r="H82" s="1894"/>
      <c r="I82" s="1894"/>
      <c r="J82" s="1894"/>
      <c r="K82" s="1894"/>
    </row>
    <row r="83" spans="8:11" s="1885" customFormat="1" ht="15" x14ac:dyDescent="0.25">
      <c r="H83" s="1894"/>
      <c r="I83" s="1894"/>
      <c r="J83" s="1894"/>
      <c r="K83" s="1894"/>
    </row>
    <row r="84" spans="8:11" s="1885" customFormat="1" ht="15" x14ac:dyDescent="0.25">
      <c r="H84" s="1894"/>
      <c r="I84" s="1894"/>
      <c r="J84" s="1894"/>
      <c r="K84" s="1894"/>
    </row>
    <row r="85" spans="8:11" s="1885" customFormat="1" ht="15" x14ac:dyDescent="0.25">
      <c r="H85" s="1894"/>
      <c r="I85" s="1894"/>
      <c r="J85" s="1894"/>
      <c r="K85" s="1894"/>
    </row>
    <row r="86" spans="8:11" s="1885" customFormat="1" ht="15" x14ac:dyDescent="0.25">
      <c r="H86" s="1894"/>
      <c r="I86" s="1894"/>
      <c r="J86" s="1894"/>
      <c r="K86" s="1894"/>
    </row>
    <row r="87" spans="8:11" s="1885" customFormat="1" ht="15" x14ac:dyDescent="0.25">
      <c r="H87" s="1894"/>
      <c r="I87" s="1894"/>
      <c r="J87" s="1894"/>
      <c r="K87" s="1894"/>
    </row>
    <row r="88" spans="8:11" s="1885" customFormat="1" ht="15" x14ac:dyDescent="0.25">
      <c r="H88" s="1894"/>
      <c r="I88" s="1894"/>
      <c r="J88" s="1894"/>
      <c r="K88" s="1894"/>
    </row>
    <row r="89" spans="8:11" s="1885" customFormat="1" ht="15" x14ac:dyDescent="0.25">
      <c r="H89" s="1894"/>
      <c r="I89" s="1894"/>
      <c r="J89" s="1894"/>
      <c r="K89" s="1894"/>
    </row>
    <row r="90" spans="8:11" s="1885" customFormat="1" ht="15" x14ac:dyDescent="0.25">
      <c r="H90" s="1894"/>
      <c r="I90" s="1894"/>
      <c r="J90" s="1894"/>
      <c r="K90" s="1894"/>
    </row>
    <row r="91" spans="8:11" s="1885" customFormat="1" ht="15" x14ac:dyDescent="0.25">
      <c r="H91" s="1894"/>
      <c r="I91" s="1894"/>
      <c r="J91" s="1894"/>
      <c r="K91" s="1894"/>
    </row>
    <row r="92" spans="8:11" s="1885" customFormat="1" ht="15" x14ac:dyDescent="0.25">
      <c r="H92" s="1894"/>
      <c r="I92" s="1894"/>
      <c r="J92" s="1894"/>
      <c r="K92" s="1894"/>
    </row>
    <row r="93" spans="8:11" s="1885" customFormat="1" ht="15" x14ac:dyDescent="0.25">
      <c r="H93" s="1894"/>
      <c r="I93" s="1894"/>
      <c r="J93" s="1894"/>
      <c r="K93" s="1894"/>
    </row>
    <row r="94" spans="8:11" s="1885" customFormat="1" ht="15" x14ac:dyDescent="0.25">
      <c r="H94" s="1894"/>
      <c r="I94" s="1894"/>
      <c r="J94" s="1894"/>
      <c r="K94" s="1894"/>
    </row>
    <row r="95" spans="8:11" s="1885" customFormat="1" ht="15" x14ac:dyDescent="0.25">
      <c r="H95" s="1894"/>
      <c r="I95" s="1894"/>
      <c r="J95" s="1894"/>
      <c r="K95" s="1894"/>
    </row>
    <row r="96" spans="8:11" s="1885" customFormat="1" ht="15" x14ac:dyDescent="0.25">
      <c r="H96" s="1894"/>
      <c r="I96" s="1894"/>
      <c r="J96" s="1894"/>
      <c r="K96" s="1894"/>
    </row>
    <row r="97" spans="8:11" s="1885" customFormat="1" ht="15" x14ac:dyDescent="0.25">
      <c r="H97" s="1894"/>
      <c r="I97" s="1894"/>
      <c r="J97" s="1894"/>
      <c r="K97" s="189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topLeftCell="A7" colorId="8" zoomScale="110" zoomScaleNormal="110" workbookViewId="0">
      <selection activeCell="J30" sqref="J3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9" t="s">
        <v>693</v>
      </c>
      <c r="B6" s="1656"/>
      <c r="C6" s="1656"/>
      <c r="D6" s="1656"/>
      <c r="E6" s="1657"/>
      <c r="F6" s="1016"/>
      <c r="G6" s="1010"/>
      <c r="H6" s="1017" t="s">
        <v>1086</v>
      </c>
      <c r="I6" s="2352" t="str">
        <f>COVER!A17</f>
        <v>Lake Park CHSD 108</v>
      </c>
      <c r="J6" s="2353"/>
      <c r="Q6" s="1678"/>
    </row>
    <row r="7" spans="1:17" x14ac:dyDescent="0.2">
      <c r="A7" s="2354" t="s">
        <v>924</v>
      </c>
      <c r="B7" s="2355"/>
      <c r="C7" s="2355"/>
      <c r="D7" s="2355"/>
      <c r="E7" s="2356"/>
      <c r="F7" s="1018"/>
      <c r="G7" s="1010"/>
      <c r="H7" s="1017" t="s">
        <v>390</v>
      </c>
      <c r="I7" s="2357">
        <f>COVER!A13</f>
        <v>19022108016</v>
      </c>
      <c r="J7" s="2357"/>
    </row>
    <row r="8" spans="1:17" ht="8.25" customHeight="1" x14ac:dyDescent="0.2">
      <c r="A8" s="1658"/>
      <c r="B8" s="1659"/>
      <c r="C8" s="1659"/>
      <c r="D8" s="1659"/>
      <c r="E8" s="1660"/>
      <c r="F8" s="1019"/>
      <c r="G8" s="1020"/>
      <c r="H8" s="1020"/>
      <c r="I8" s="1020"/>
      <c r="J8" s="1020"/>
    </row>
    <row r="9" spans="1:17" ht="13.5" customHeight="1" x14ac:dyDescent="0.2">
      <c r="A9" s="1021"/>
      <c r="B9" s="1022"/>
      <c r="C9" s="1022"/>
      <c r="D9" s="1023"/>
      <c r="E9" s="1910" t="s">
        <v>1701</v>
      </c>
      <c r="F9" s="1024"/>
      <c r="G9" s="1024"/>
      <c r="H9" s="191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8" t="s">
        <v>502</v>
      </c>
      <c r="B11" s="2359"/>
      <c r="C11" s="236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6">
        <f>'Expenditures 15-22'!K50</f>
        <v>627970</v>
      </c>
      <c r="F12" s="1040"/>
      <c r="G12" s="1826">
        <f t="shared" ref="G12:G18" si="0">SUM(E12:F12)</f>
        <v>627970</v>
      </c>
      <c r="H12" s="1041">
        <v>630323</v>
      </c>
      <c r="I12" s="1040"/>
      <c r="J12" s="1826">
        <f t="shared" ref="J12:J18" si="1">SUM(H12:I12)</f>
        <v>630323</v>
      </c>
    </row>
    <row r="13" spans="1:17" ht="15" customHeight="1" x14ac:dyDescent="0.2">
      <c r="A13" s="1036">
        <v>2</v>
      </c>
      <c r="B13" s="1037" t="s">
        <v>44</v>
      </c>
      <c r="C13" s="1038"/>
      <c r="D13" s="1039">
        <v>2330</v>
      </c>
      <c r="E13" s="1826">
        <f>'Expenditures 15-22'!K51</f>
        <v>43593</v>
      </c>
      <c r="F13" s="1040"/>
      <c r="G13" s="1826">
        <f t="shared" si="0"/>
        <v>43593</v>
      </c>
      <c r="H13" s="1041">
        <v>45357</v>
      </c>
      <c r="I13" s="1040"/>
      <c r="J13" s="1826">
        <f t="shared" si="1"/>
        <v>45357</v>
      </c>
    </row>
    <row r="14" spans="1:17" ht="15" customHeight="1" x14ac:dyDescent="0.2">
      <c r="A14" s="1036">
        <v>3</v>
      </c>
      <c r="B14" s="1037" t="s">
        <v>45</v>
      </c>
      <c r="C14" s="1038"/>
      <c r="D14" s="1042">
        <v>2490</v>
      </c>
      <c r="E14" s="1826">
        <f>'Expenditures 15-22'!K56</f>
        <v>862121</v>
      </c>
      <c r="F14" s="1040"/>
      <c r="G14" s="1826">
        <f t="shared" si="0"/>
        <v>862121</v>
      </c>
      <c r="H14" s="1041">
        <v>866272</v>
      </c>
      <c r="I14" s="1040"/>
      <c r="J14" s="1826">
        <f t="shared" si="1"/>
        <v>866272</v>
      </c>
    </row>
    <row r="15" spans="1:17" ht="15" customHeight="1" x14ac:dyDescent="0.2">
      <c r="A15" s="1036">
        <v>4</v>
      </c>
      <c r="B15" s="1037" t="s">
        <v>1128</v>
      </c>
      <c r="C15" s="1038"/>
      <c r="D15" s="1039">
        <v>2510</v>
      </c>
      <c r="E15" s="1826">
        <f>'Expenditures 15-22'!K59</f>
        <v>347954</v>
      </c>
      <c r="F15" s="1826">
        <f>'Expenditures 15-22'!K122</f>
        <v>0</v>
      </c>
      <c r="G15" s="1826">
        <f t="shared" si="0"/>
        <v>347954</v>
      </c>
      <c r="H15" s="1041">
        <v>359212</v>
      </c>
      <c r="I15" s="1041"/>
      <c r="J15" s="1826">
        <f t="shared" si="1"/>
        <v>359212</v>
      </c>
    </row>
    <row r="16" spans="1:17" ht="15" customHeight="1" x14ac:dyDescent="0.2">
      <c r="A16" s="1036">
        <v>5</v>
      </c>
      <c r="B16" s="1037" t="s">
        <v>103</v>
      </c>
      <c r="C16" s="1038"/>
      <c r="D16" s="1039">
        <v>2570</v>
      </c>
      <c r="E16" s="1826">
        <f>'Expenditures 15-22'!K64</f>
        <v>249305</v>
      </c>
      <c r="F16" s="1040"/>
      <c r="G16" s="1826">
        <f t="shared" si="0"/>
        <v>249305</v>
      </c>
      <c r="H16" s="1041">
        <v>278360</v>
      </c>
      <c r="I16" s="1040"/>
      <c r="J16" s="1826">
        <f t="shared" si="1"/>
        <v>278360</v>
      </c>
    </row>
    <row r="17" spans="1:10" ht="15" customHeight="1" x14ac:dyDescent="0.2">
      <c r="A17" s="1036">
        <v>6</v>
      </c>
      <c r="B17" s="1037" t="s">
        <v>1120</v>
      </c>
      <c r="C17" s="1038"/>
      <c r="D17" s="1039">
        <v>2610</v>
      </c>
      <c r="E17" s="1826">
        <f>'Expenditures 15-22'!K67</f>
        <v>0</v>
      </c>
      <c r="F17" s="1040"/>
      <c r="G17" s="1826">
        <f t="shared" si="0"/>
        <v>0</v>
      </c>
      <c r="H17" s="1041"/>
      <c r="I17" s="1040"/>
      <c r="J17" s="1826">
        <f t="shared" si="1"/>
        <v>0</v>
      </c>
    </row>
    <row r="18" spans="1:10" ht="22.5" customHeight="1" x14ac:dyDescent="0.2">
      <c r="A18" s="1043">
        <v>7</v>
      </c>
      <c r="B18" s="2361" t="s">
        <v>7</v>
      </c>
      <c r="C18" s="2362"/>
      <c r="D18" s="2363"/>
      <c r="E18" s="1044"/>
      <c r="F18" s="1044"/>
      <c r="G18" s="1827">
        <f t="shared" si="0"/>
        <v>0</v>
      </c>
      <c r="H18" s="1041"/>
      <c r="I18" s="1041"/>
      <c r="J18" s="1826">
        <f t="shared" si="1"/>
        <v>0</v>
      </c>
    </row>
    <row r="19" spans="1:10" ht="12.75" customHeight="1" thickBot="1" x14ac:dyDescent="0.25">
      <c r="A19" s="1036">
        <v>8</v>
      </c>
      <c r="B19" s="1045" t="s">
        <v>1223</v>
      </c>
      <c r="D19" s="1046"/>
      <c r="E19" s="1828">
        <f t="shared" ref="E19:J19" si="2">SUM(E12:E17)-E18</f>
        <v>2130943</v>
      </c>
      <c r="F19" s="1828">
        <f t="shared" si="2"/>
        <v>0</v>
      </c>
      <c r="G19" s="1828">
        <f t="shared" si="2"/>
        <v>2130943</v>
      </c>
      <c r="H19" s="1828">
        <f t="shared" si="2"/>
        <v>2179524</v>
      </c>
      <c r="I19" s="1828">
        <f t="shared" si="2"/>
        <v>0</v>
      </c>
      <c r="J19" s="1828">
        <f t="shared" si="2"/>
        <v>2179524</v>
      </c>
    </row>
    <row r="20" spans="1:10" ht="13.5" thickTop="1" x14ac:dyDescent="0.2">
      <c r="A20" s="1036">
        <v>9</v>
      </c>
      <c r="B20" s="2364" t="s">
        <v>1703</v>
      </c>
      <c r="C20" s="2364"/>
      <c r="D20" s="2365"/>
      <c r="E20" s="1047"/>
      <c r="F20" s="1047"/>
      <c r="G20" s="1047"/>
      <c r="H20" s="1047"/>
      <c r="I20" s="1047"/>
      <c r="J20" s="1829">
        <f>IF(AND(G19&gt;0,J19&gt;0),(((J19-G19)/G19)),"Enter Budget Data")</f>
        <v>2.279788807114972E-2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0"/>
      <c r="D26" s="2370"/>
      <c r="E26" s="1051"/>
      <c r="F26" s="2369"/>
      <c r="G26" s="2369"/>
    </row>
    <row r="27" spans="1:10" x14ac:dyDescent="0.2">
      <c r="B27" s="1048"/>
      <c r="C27" s="1052" t="s">
        <v>1093</v>
      </c>
      <c r="D27" s="1053"/>
      <c r="E27" s="1054"/>
      <c r="F27" s="2366" t="s">
        <v>1589</v>
      </c>
      <c r="G27" s="2366"/>
    </row>
    <row r="28" spans="1:10" ht="28.5" customHeight="1" x14ac:dyDescent="0.2">
      <c r="B28" s="1048"/>
      <c r="C28" s="2368"/>
      <c r="D28" s="2368"/>
      <c r="E28" s="1055"/>
      <c r="F28" s="2368"/>
      <c r="G28" s="2368"/>
    </row>
    <row r="29" spans="1:10" x14ac:dyDescent="0.2">
      <c r="B29" s="1048"/>
      <c r="C29" s="1056" t="s">
        <v>1642</v>
      </c>
      <c r="E29" s="1057"/>
      <c r="F29" s="2367" t="s">
        <v>1590</v>
      </c>
      <c r="G29" s="236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9" t="s">
        <v>134</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63"/>
    </row>
    <row r="36" spans="1:10" ht="13.5" customHeight="1" x14ac:dyDescent="0.2">
      <c r="B36" s="1062"/>
      <c r="C36" s="2351" t="s">
        <v>1941</v>
      </c>
      <c r="D36" s="2350"/>
      <c r="E36" s="2350"/>
      <c r="F36" s="2350"/>
      <c r="G36" s="2350"/>
      <c r="H36" s="2350"/>
      <c r="I36" s="2350"/>
      <c r="J36" s="1064"/>
    </row>
    <row r="37" spans="1:10" ht="22.5" customHeight="1" x14ac:dyDescent="0.2">
      <c r="C37" s="2350"/>
      <c r="D37" s="2350"/>
      <c r="E37" s="2350"/>
      <c r="F37" s="2350"/>
      <c r="G37" s="2350"/>
      <c r="H37" s="2350"/>
      <c r="I37" s="2350"/>
      <c r="J37" s="1064"/>
    </row>
    <row r="38" spans="1:10" ht="7.5" customHeight="1" x14ac:dyDescent="0.2">
      <c r="C38" s="1063"/>
      <c r="D38" s="1065"/>
      <c r="E38" s="1066"/>
      <c r="F38" s="1067"/>
      <c r="G38" s="1066"/>
    </row>
    <row r="39" spans="1:10" ht="13.5" customHeight="1" x14ac:dyDescent="0.2">
      <c r="B39" s="1062"/>
      <c r="C39" s="2347" t="s">
        <v>937</v>
      </c>
      <c r="D39" s="2348"/>
      <c r="E39" s="2348"/>
      <c r="F39" s="2348"/>
      <c r="G39" s="2348"/>
      <c r="H39" s="2348"/>
      <c r="I39" s="234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N71"/>
  <sheetViews>
    <sheetView showGridLines="0" zoomScale="110" zoomScaleNormal="110" workbookViewId="0">
      <selection activeCell="B12" sqref="B12"/>
    </sheetView>
  </sheetViews>
  <sheetFormatPr defaultColWidth="9.140625" defaultRowHeight="12.75" x14ac:dyDescent="0.2"/>
  <cols>
    <col min="1" max="1" width="3" style="329" customWidth="1"/>
    <col min="2" max="2" width="59.5703125" style="329" customWidth="1"/>
    <col min="3" max="3" width="3.140625" style="329" customWidth="1"/>
    <col min="4" max="16384" width="9.140625" style="329"/>
  </cols>
  <sheetData>
    <row r="2" spans="1:3" x14ac:dyDescent="0.2">
      <c r="A2" s="389" t="s">
        <v>276</v>
      </c>
    </row>
    <row r="3" spans="1:3" x14ac:dyDescent="0.2">
      <c r="A3" s="329" t="s">
        <v>277</v>
      </c>
    </row>
    <row r="5" spans="1:3" x14ac:dyDescent="0.2">
      <c r="A5" s="1962" t="s">
        <v>1040</v>
      </c>
      <c r="B5" s="1965" t="s">
        <v>2123</v>
      </c>
      <c r="C5" s="1966" t="s">
        <v>2124</v>
      </c>
    </row>
    <row r="6" spans="1:3" x14ac:dyDescent="0.2">
      <c r="A6" s="1967" t="s">
        <v>1041</v>
      </c>
      <c r="B6" s="1965" t="s">
        <v>2125</v>
      </c>
      <c r="C6" s="1966" t="s">
        <v>2126</v>
      </c>
    </row>
    <row r="7" spans="1:3" x14ac:dyDescent="0.2">
      <c r="A7" s="1967" t="s">
        <v>627</v>
      </c>
      <c r="B7" s="1965" t="s">
        <v>2127</v>
      </c>
      <c r="C7" s="1966" t="s">
        <v>2165</v>
      </c>
    </row>
    <row r="8" spans="1:3" x14ac:dyDescent="0.2">
      <c r="A8" s="1967"/>
      <c r="B8" s="1965"/>
      <c r="C8" s="1966" t="s">
        <v>2164</v>
      </c>
    </row>
    <row r="9" spans="1:3" x14ac:dyDescent="0.2">
      <c r="A9" s="1967" t="s">
        <v>1712</v>
      </c>
      <c r="B9" s="1965" t="s">
        <v>2128</v>
      </c>
      <c r="C9" s="1966" t="s">
        <v>2129</v>
      </c>
    </row>
    <row r="10" spans="1:3" x14ac:dyDescent="0.2">
      <c r="A10" s="1967" t="s">
        <v>2130</v>
      </c>
      <c r="B10" s="1965" t="s">
        <v>2131</v>
      </c>
      <c r="C10" s="1966" t="s">
        <v>2132</v>
      </c>
    </row>
    <row r="11" spans="1:3" x14ac:dyDescent="0.2">
      <c r="A11" s="1967" t="s">
        <v>2133</v>
      </c>
      <c r="B11" s="1965" t="s">
        <v>2134</v>
      </c>
      <c r="C11" s="1966" t="s">
        <v>2135</v>
      </c>
    </row>
    <row r="12" spans="1:3" x14ac:dyDescent="0.2">
      <c r="A12" s="1967" t="s">
        <v>1719</v>
      </c>
      <c r="B12" s="1965" t="s">
        <v>2175</v>
      </c>
      <c r="C12" s="1966" t="s">
        <v>2167</v>
      </c>
    </row>
    <row r="13" spans="1:3" x14ac:dyDescent="0.2">
      <c r="A13" s="1967"/>
      <c r="B13" s="1965"/>
      <c r="C13" s="1966" t="s">
        <v>2166</v>
      </c>
    </row>
    <row r="14" spans="1:3" x14ac:dyDescent="0.2">
      <c r="A14" s="1967" t="s">
        <v>2136</v>
      </c>
      <c r="B14" s="1965" t="s">
        <v>2137</v>
      </c>
      <c r="C14" s="1966" t="s">
        <v>2138</v>
      </c>
    </row>
    <row r="15" spans="1:3" x14ac:dyDescent="0.2">
      <c r="A15" s="1967" t="s">
        <v>2139</v>
      </c>
      <c r="B15" s="1965" t="s">
        <v>2140</v>
      </c>
      <c r="C15" s="1966" t="s">
        <v>2141</v>
      </c>
    </row>
    <row r="16" spans="1:3" x14ac:dyDescent="0.2">
      <c r="A16" s="1967" t="s">
        <v>2142</v>
      </c>
      <c r="B16" s="1968" t="s">
        <v>2143</v>
      </c>
      <c r="C16" s="1966" t="s">
        <v>2169</v>
      </c>
    </row>
    <row r="17" spans="1:14" x14ac:dyDescent="0.2">
      <c r="A17" s="1967"/>
      <c r="B17" s="1968"/>
      <c r="C17" s="1966" t="s">
        <v>2168</v>
      </c>
    </row>
    <row r="18" spans="1:14" x14ac:dyDescent="0.2">
      <c r="A18" s="1967" t="s">
        <v>2144</v>
      </c>
      <c r="B18" s="1965" t="s">
        <v>2145</v>
      </c>
      <c r="C18" s="1966" t="s">
        <v>2173</v>
      </c>
    </row>
    <row r="19" spans="1:14" x14ac:dyDescent="0.2">
      <c r="A19" s="1967"/>
      <c r="B19" s="1965"/>
      <c r="C19" s="1966" t="s">
        <v>2170</v>
      </c>
    </row>
    <row r="20" spans="1:14" x14ac:dyDescent="0.2">
      <c r="A20" s="1969" t="s">
        <v>2146</v>
      </c>
      <c r="B20" s="1965" t="s">
        <v>2147</v>
      </c>
      <c r="C20" s="1966" t="s">
        <v>2148</v>
      </c>
    </row>
    <row r="21" spans="1:14" x14ac:dyDescent="0.2">
      <c r="A21" s="1969" t="s">
        <v>2149</v>
      </c>
      <c r="B21" s="1965" t="s">
        <v>2242</v>
      </c>
      <c r="C21" s="1966" t="s">
        <v>2150</v>
      </c>
    </row>
    <row r="22" spans="1:14" x14ac:dyDescent="0.2">
      <c r="A22" s="1969" t="s">
        <v>2151</v>
      </c>
      <c r="B22" s="1965" t="s">
        <v>2243</v>
      </c>
      <c r="C22" s="1966" t="s">
        <v>2172</v>
      </c>
    </row>
    <row r="23" spans="1:14" x14ac:dyDescent="0.2">
      <c r="A23" s="1969"/>
      <c r="B23" s="1965"/>
      <c r="C23" s="1966" t="s">
        <v>2171</v>
      </c>
    </row>
    <row r="24" spans="1:14" x14ac:dyDescent="0.2">
      <c r="A24" s="1969" t="s">
        <v>2152</v>
      </c>
      <c r="B24" s="1965" t="s">
        <v>2244</v>
      </c>
      <c r="C24" s="1966" t="s">
        <v>2173</v>
      </c>
    </row>
    <row r="25" spans="1:14" x14ac:dyDescent="0.2">
      <c r="A25" s="1969"/>
      <c r="B25" s="1965"/>
      <c r="C25" s="1966" t="s">
        <v>2174</v>
      </c>
    </row>
    <row r="26" spans="1:14" ht="27" customHeight="1" x14ac:dyDescent="0.2">
      <c r="A26" s="1963">
        <v>16</v>
      </c>
      <c r="B26" s="2371" t="s">
        <v>2153</v>
      </c>
      <c r="C26" s="2371"/>
      <c r="D26" s="2371"/>
      <c r="E26" s="2371"/>
      <c r="F26" s="2371"/>
      <c r="G26" s="2371"/>
      <c r="H26" s="2371"/>
      <c r="I26" s="2371"/>
      <c r="J26" s="1964"/>
      <c r="K26" s="1964"/>
      <c r="L26" s="1964"/>
      <c r="M26" s="1964"/>
      <c r="N26" s="1964"/>
    </row>
    <row r="27" spans="1:14" x14ac:dyDescent="0.2">
      <c r="A27" s="1069"/>
    </row>
    <row r="28" spans="1:14" x14ac:dyDescent="0.2">
      <c r="A28" s="1069"/>
    </row>
    <row r="29" spans="1:14" x14ac:dyDescent="0.2">
      <c r="A29" s="1069"/>
    </row>
    <row r="30" spans="1:14" x14ac:dyDescent="0.2">
      <c r="A30" s="1069"/>
    </row>
    <row r="31" spans="1:14" x14ac:dyDescent="0.2">
      <c r="A31" s="1069"/>
    </row>
    <row r="32" spans="1:14"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row>
    <row r="70" spans="1:2" x14ac:dyDescent="0.2">
      <c r="A70" s="1069"/>
      <c r="B70" s="258" t="str">
        <f>COVER!A17</f>
        <v>Lake Park CHSD 108</v>
      </c>
    </row>
    <row r="71" spans="1:2" x14ac:dyDescent="0.2">
      <c r="B71" s="1070">
        <f>COVER!A13</f>
        <v>19022108016</v>
      </c>
    </row>
  </sheetData>
  <mergeCells count="1">
    <mergeCell ref="B26:I26"/>
  </mergeCells>
  <phoneticPr fontId="17"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zoomScale="110" zoomScaleNormal="110" workbookViewId="0">
      <selection activeCell="T20" sqref="T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1" t="s">
        <v>1709</v>
      </c>
    </row>
    <row r="23" spans="1:5" x14ac:dyDescent="0.2">
      <c r="A23" s="168"/>
      <c r="B23" s="162" t="s">
        <v>1966</v>
      </c>
      <c r="D23" s="167" t="s">
        <v>658</v>
      </c>
      <c r="E23" s="1851"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8" t="s">
        <v>1125</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715</v>
      </c>
      <c r="B40" s="2085"/>
      <c r="C40" s="2085"/>
      <c r="D40" s="2085"/>
      <c r="E40" s="2085"/>
    </row>
    <row r="41" spans="1:5" x14ac:dyDescent="0.2">
      <c r="A41" s="2086" t="s">
        <v>1706</v>
      </c>
      <c r="B41" s="2086"/>
      <c r="C41" s="2086"/>
      <c r="D41" s="2086"/>
      <c r="E41" s="2086"/>
    </row>
    <row r="42" spans="1:5" ht="12.75" customHeight="1" x14ac:dyDescent="0.2">
      <c r="A42" s="2087" t="s">
        <v>1080</v>
      </c>
      <c r="B42" s="2087"/>
      <c r="C42" s="2087"/>
      <c r="D42" s="2087"/>
      <c r="E42" s="208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9" t="s">
        <v>1876</v>
      </c>
    </row>
    <row r="60" spans="1:3" x14ac:dyDescent="0.2">
      <c r="A60" s="196"/>
      <c r="B60" s="1499"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1"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0"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J30" sqref="J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4" zoomScale="110" zoomScaleNormal="110" workbookViewId="0">
      <selection activeCell="C38" sqref="C3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72" t="s">
        <v>1784</v>
      </c>
      <c r="B18" s="237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285750</xdr:colOff>
                <xdr:row>4</xdr:row>
                <xdr:rowOff>76200</xdr:rowOff>
              </from>
              <to>
                <xdr:col>1</xdr:col>
                <xdr:colOff>1200150</xdr:colOff>
                <xdr:row>8</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zoomScale="110" zoomScaleNormal="110" workbookViewId="0">
      <selection activeCell="J30" sqref="J3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1790</v>
      </c>
      <c r="B1" s="2374"/>
      <c r="C1" s="2374"/>
      <c r="D1" s="2374"/>
      <c r="E1" s="2374"/>
      <c r="F1" s="2375"/>
    </row>
    <row r="2" spans="1:8" ht="45" customHeight="1" x14ac:dyDescent="0.2">
      <c r="A2" s="2383" t="s">
        <v>1791</v>
      </c>
      <c r="B2" s="2384"/>
      <c r="C2" s="2384"/>
      <c r="D2" s="2384"/>
      <c r="E2" s="2384"/>
      <c r="F2" s="2385"/>
      <c r="G2" s="1074"/>
      <c r="H2" s="1074"/>
    </row>
    <row r="3" spans="1:8" ht="57" customHeight="1" x14ac:dyDescent="0.2">
      <c r="A3" s="2386" t="s">
        <v>1786</v>
      </c>
      <c r="B3" s="2387"/>
      <c r="C3" s="2387"/>
      <c r="D3" s="2387"/>
      <c r="E3" s="2387"/>
      <c r="F3" s="2388"/>
      <c r="G3" s="1074"/>
      <c r="H3" s="1074"/>
    </row>
    <row r="4" spans="1:8" ht="14.25" customHeight="1" x14ac:dyDescent="0.2">
      <c r="A4" s="2392" t="s">
        <v>2053</v>
      </c>
      <c r="B4" s="2393"/>
      <c r="C4" s="2393"/>
      <c r="D4" s="2393"/>
      <c r="E4" s="2393"/>
      <c r="F4" s="2394"/>
      <c r="G4" s="1074"/>
      <c r="H4" s="1074"/>
    </row>
    <row r="5" spans="1:8" ht="14.25" customHeight="1" x14ac:dyDescent="0.2">
      <c r="A5" s="2395" t="s">
        <v>2054</v>
      </c>
      <c r="B5" s="2396"/>
      <c r="C5" s="2396"/>
      <c r="D5" s="2396"/>
      <c r="E5" s="2396"/>
      <c r="F5" s="2397"/>
      <c r="G5" s="1074"/>
      <c r="H5" s="1074"/>
    </row>
    <row r="6" spans="1:8" s="1075" customFormat="1" ht="41.25" customHeight="1" x14ac:dyDescent="0.2">
      <c r="A6" s="2389" t="s">
        <v>1792</v>
      </c>
      <c r="B6" s="2390"/>
      <c r="C6" s="2390"/>
      <c r="D6" s="2390"/>
      <c r="E6" s="2390"/>
      <c r="F6" s="2391"/>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0">
        <f>'Acct Summary 7-8'!C8</f>
        <v>39686146</v>
      </c>
      <c r="C8" s="1830">
        <f>'Acct Summary 7-8'!D8</f>
        <v>5504319</v>
      </c>
      <c r="D8" s="1830">
        <f>'Acct Summary 7-8'!F8</f>
        <v>2189343</v>
      </c>
      <c r="E8" s="1830">
        <f>'Acct Summary 7-8'!I8</f>
        <v>55404</v>
      </c>
      <c r="F8" s="1830">
        <f>SUM(B8:E8)</f>
        <v>47435212</v>
      </c>
    </row>
    <row r="9" spans="1:8" s="1079" customFormat="1" ht="14.25" customHeight="1" thickBot="1" x14ac:dyDescent="0.25">
      <c r="A9" s="1078" t="s">
        <v>1436</v>
      </c>
      <c r="B9" s="1831">
        <f>'Acct Summary 7-8'!C17</f>
        <v>37408463</v>
      </c>
      <c r="C9" s="1831">
        <f>'Acct Summary 7-8'!D17</f>
        <v>4434419</v>
      </c>
      <c r="D9" s="1831">
        <f>'Acct Summary 7-8'!F17</f>
        <v>2019130</v>
      </c>
      <c r="E9" s="1830"/>
      <c r="F9" s="1830">
        <f>SUM(B9:E9)</f>
        <v>43862012</v>
      </c>
    </row>
    <row r="10" spans="1:8" s="1079" customFormat="1" ht="14.25" thickTop="1" thickBot="1" x14ac:dyDescent="0.25">
      <c r="A10" s="1080" t="s">
        <v>1437</v>
      </c>
      <c r="B10" s="1832">
        <f>(B8-B9)</f>
        <v>2277683</v>
      </c>
      <c r="C10" s="1832">
        <f>(C8-C9)</f>
        <v>1069900</v>
      </c>
      <c r="D10" s="1832">
        <f>(D8-D9)</f>
        <v>170213</v>
      </c>
      <c r="E10" s="1831">
        <f>(E8-E9)</f>
        <v>55404</v>
      </c>
      <c r="F10" s="1833">
        <f>SUM(F8-F9)</f>
        <v>3573200</v>
      </c>
    </row>
    <row r="11" spans="1:8" s="1079" customFormat="1" ht="14.25" thickTop="1" thickBot="1" x14ac:dyDescent="0.25">
      <c r="A11" s="1081" t="s">
        <v>1785</v>
      </c>
      <c r="B11" s="1834">
        <f>'Acct Summary 7-8'!C81</f>
        <v>10207573</v>
      </c>
      <c r="C11" s="1834">
        <f>'Acct Summary 7-8'!D81</f>
        <v>2338313</v>
      </c>
      <c r="D11" s="1834">
        <f>'Acct Summary 7-8'!F81</f>
        <v>1114476</v>
      </c>
      <c r="E11" s="1834">
        <f>'Acct Summary 7-8'!I81</f>
        <v>5166018</v>
      </c>
      <c r="F11" s="1835">
        <f>SUM(B11:E11)</f>
        <v>18826380</v>
      </c>
    </row>
    <row r="12" spans="1:8" ht="16.5" customHeight="1" thickTop="1" x14ac:dyDescent="0.2">
      <c r="A12" s="1082"/>
      <c r="B12" s="1083"/>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84"/>
      <c r="B13" s="1085"/>
      <c r="C13" s="2377"/>
      <c r="D13" s="2378"/>
      <c r="E13" s="2378"/>
      <c r="F13" s="2379"/>
      <c r="H13" s="1074"/>
    </row>
    <row r="14" spans="1:8" ht="19.5" customHeight="1" x14ac:dyDescent="0.2">
      <c r="A14" s="1084"/>
      <c r="B14" s="1085"/>
      <c r="C14" s="2377"/>
      <c r="D14" s="2378"/>
      <c r="E14" s="2378"/>
      <c r="F14" s="2379"/>
      <c r="H14" s="1074"/>
    </row>
    <row r="15" spans="1:8" ht="17.25" customHeight="1" x14ac:dyDescent="0.2">
      <c r="A15" s="1084"/>
      <c r="B15" s="1085"/>
      <c r="C15" s="2380"/>
      <c r="D15" s="2381"/>
      <c r="E15" s="2381"/>
      <c r="F15" s="2382"/>
      <c r="H15" s="1074"/>
    </row>
    <row r="16" spans="1:8" s="310" customFormat="1" ht="51.75" hidden="1" customHeight="1" x14ac:dyDescent="0.2">
      <c r="A16" s="2376" t="s">
        <v>1787</v>
      </c>
      <c r="B16" s="2376"/>
      <c r="C16" s="2376"/>
      <c r="D16" s="2376"/>
      <c r="E16" s="2376"/>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7"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2"/>
      <c r="B2" s="1913"/>
      <c r="C2" s="1914"/>
      <c r="D2" s="1915"/>
    </row>
    <row r="3" spans="1:4" ht="36" customHeight="1" x14ac:dyDescent="0.2">
      <c r="A3" s="2398" t="s">
        <v>686</v>
      </c>
      <c r="B3" s="2399"/>
      <c r="C3" s="2399"/>
      <c r="D3" s="2400"/>
    </row>
    <row r="4" spans="1:4" x14ac:dyDescent="0.2">
      <c r="A4" s="1152" t="s">
        <v>1793</v>
      </c>
      <c r="B4" s="1153"/>
      <c r="C4" s="1154"/>
      <c r="D4" s="1155"/>
    </row>
    <row r="5" spans="1:4" ht="21" customHeight="1" x14ac:dyDescent="0.2">
      <c r="A5" s="1148"/>
      <c r="B5" s="1149">
        <v>1</v>
      </c>
      <c r="C5" s="1150" t="s">
        <v>1943</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9" t="s">
        <v>1584</v>
      </c>
      <c r="D7" s="2410"/>
    </row>
    <row r="8" spans="1:4" s="669" customFormat="1" ht="12.75" x14ac:dyDescent="0.2">
      <c r="A8" s="1138"/>
      <c r="B8" s="1093"/>
      <c r="C8" s="1096" t="s">
        <v>1583</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01" t="s">
        <v>1065</v>
      </c>
      <c r="B15" s="2402"/>
      <c r="C15" s="2402"/>
      <c r="D15" s="2403"/>
    </row>
    <row r="16" spans="1:4" s="669" customFormat="1" ht="24" customHeight="1" x14ac:dyDescent="0.2">
      <c r="A16" s="2404" t="s">
        <v>684</v>
      </c>
      <c r="B16" s="2405"/>
      <c r="C16" s="2405"/>
      <c r="D16" s="2406"/>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13" t="s">
        <v>332</v>
      </c>
      <c r="D21" s="2414"/>
    </row>
    <row r="22" spans="1:10" ht="12.75" x14ac:dyDescent="0.2">
      <c r="A22" s="1139"/>
      <c r="B22" s="1140">
        <v>2</v>
      </c>
      <c r="C22" s="2411" t="s">
        <v>1605</v>
      </c>
      <c r="D22" s="2412"/>
    </row>
    <row r="23" spans="1:10" ht="12.2" customHeight="1" x14ac:dyDescent="0.2">
      <c r="A23" s="1139"/>
      <c r="B23" s="1140"/>
      <c r="C23" s="1141" t="s">
        <v>1011</v>
      </c>
      <c r="D23" s="1142" t="str">
        <f>IF(COVER!O11="X","CASH",IF(COVER!O12="X","ACCRUAL ","PLEASE CHECK AN ACCOUNTING BASIS."))</f>
        <v xml:space="preserve">ACCRUAL </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5" t="s">
        <v>557</v>
      </c>
      <c r="D43" s="2416"/>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7" t="s">
        <v>817</v>
      </c>
      <c r="D56" s="2408"/>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ERROR!</v>
      </c>
    </row>
    <row r="70" spans="1:4" x14ac:dyDescent="0.2">
      <c r="A70" s="1098"/>
      <c r="B70" s="1120">
        <f>B66+1</f>
        <v>9</v>
      </c>
      <c r="C70" s="2407" t="s">
        <v>1797</v>
      </c>
      <c r="D70" s="2408"/>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2052</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19022108016</v>
      </c>
    </row>
    <row r="3" spans="1:2" x14ac:dyDescent="0.2">
      <c r="A3" t="s">
        <v>1013</v>
      </c>
      <c r="B3" s="138" t="str">
        <f>COVER!A15</f>
        <v>DUPAGE</v>
      </c>
    </row>
    <row r="4" spans="1:2" x14ac:dyDescent="0.2">
      <c r="A4" t="s">
        <v>1064</v>
      </c>
      <c r="B4" s="138" t="str">
        <f>COVER!A17</f>
        <v>Lake Park CHSD 108</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JOHN ALBANESE</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16275461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29352738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48643213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34998971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38435640</v>
      </c>
      <c r="C91" s="2" t="s">
        <v>594</v>
      </c>
      <c r="D91" s="2" t="str">
        <f t="shared" si="0"/>
        <v>Error?</v>
      </c>
    </row>
    <row r="92" spans="1:4" x14ac:dyDescent="0.2">
      <c r="A92" s="5">
        <v>31</v>
      </c>
      <c r="B92" s="138">
        <f>'Assets-Liab 5-6'!C39</f>
        <v>10207573</v>
      </c>
      <c r="D92" s="2" t="str">
        <f t="shared" si="0"/>
        <v>Error?</v>
      </c>
    </row>
    <row r="93" spans="1:4" x14ac:dyDescent="0.2">
      <c r="A93" s="5">
        <v>32</v>
      </c>
      <c r="B93" s="138">
        <f>'Assets-Liab 5-6'!C41</f>
        <v>48643213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2517647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4901460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7841845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5326069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5503532</v>
      </c>
      <c r="C122" s="2" t="s">
        <v>594</v>
      </c>
      <c r="D122" s="2" t="str">
        <f t="shared" si="0"/>
        <v>Error?</v>
      </c>
    </row>
    <row r="123" spans="1:4" x14ac:dyDescent="0.2">
      <c r="A123" s="5">
        <v>62</v>
      </c>
      <c r="B123" s="138">
        <f>'Assets-Liab 5-6'!D39</f>
        <v>2338313</v>
      </c>
      <c r="D123" s="2" t="str">
        <f t="shared" si="0"/>
        <v>Error?</v>
      </c>
    </row>
    <row r="124" spans="1:4" x14ac:dyDescent="0.2">
      <c r="A124" s="5">
        <v>63</v>
      </c>
      <c r="B124" s="138">
        <f>'Assets-Liab 5-6'!D41</f>
        <v>7841845</v>
      </c>
      <c r="C124" s="2" t="s">
        <v>594</v>
      </c>
      <c r="D124" s="2" t="str">
        <f t="shared" si="0"/>
        <v>Error?</v>
      </c>
    </row>
    <row r="125" spans="1:4" x14ac:dyDescent="0.2">
      <c r="A125" s="10">
        <v>64</v>
      </c>
      <c r="D125" s="2" t="str">
        <f t="shared" si="0"/>
        <v>OK</v>
      </c>
    </row>
    <row r="126" spans="1:4" x14ac:dyDescent="0.2">
      <c r="A126" s="5">
        <v>65</v>
      </c>
      <c r="B126" s="138">
        <f>'Assets-Liab 5-6'!E6</f>
        <v>2846037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3164595</v>
      </c>
      <c r="D129" s="2" t="str">
        <f t="shared" si="1"/>
        <v>Error?</v>
      </c>
    </row>
    <row r="130" spans="1:4" x14ac:dyDescent="0.2">
      <c r="A130" s="5">
        <v>69</v>
      </c>
      <c r="B130" s="138">
        <f>'Assets-Liab 5-6'!E12</f>
        <v>0</v>
      </c>
      <c r="D130" s="2" t="str">
        <f t="shared" si="1"/>
        <v>Error?</v>
      </c>
    </row>
    <row r="131" spans="1:4" x14ac:dyDescent="0.2">
      <c r="A131" s="5">
        <v>70</v>
      </c>
      <c r="B131" s="138">
        <f>'Assets-Liab 5-6'!E13</f>
        <v>6244515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6003249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6003249</v>
      </c>
      <c r="C139" s="2" t="s">
        <v>594</v>
      </c>
      <c r="D139" s="2" t="str">
        <f t="shared" si="1"/>
        <v>Error?</v>
      </c>
    </row>
    <row r="140" spans="1:4" x14ac:dyDescent="0.2">
      <c r="A140" s="5">
        <v>79</v>
      </c>
      <c r="B140" s="138">
        <f>'Assets-Liab 5-6'!E39</f>
        <v>241266</v>
      </c>
      <c r="D140" s="2" t="str">
        <f t="shared" si="1"/>
        <v>Error?</v>
      </c>
    </row>
    <row r="141" spans="1:4" x14ac:dyDescent="0.2">
      <c r="A141" s="5">
        <v>80</v>
      </c>
      <c r="B141" s="138">
        <f>'Assets-Liab 5-6'!E41</f>
        <v>6244515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851051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1952933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3041620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1892159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1927144</v>
      </c>
      <c r="C169" s="2" t="s">
        <v>594</v>
      </c>
      <c r="D169" s="2" t="str">
        <f t="shared" si="1"/>
        <v>Error?</v>
      </c>
    </row>
    <row r="170" spans="1:4" x14ac:dyDescent="0.2">
      <c r="A170" s="5">
        <v>109</v>
      </c>
      <c r="B170" s="138">
        <f>'Assets-Liab 5-6'!F39</f>
        <v>1114476</v>
      </c>
      <c r="D170" s="2" t="str">
        <f t="shared" si="1"/>
        <v>Error?</v>
      </c>
    </row>
    <row r="171" spans="1:4" x14ac:dyDescent="0.2">
      <c r="A171" s="5">
        <v>110</v>
      </c>
      <c r="B171" s="138">
        <f>'Assets-Liab 5-6'!F41</f>
        <v>3041620</v>
      </c>
      <c r="C171" s="2" t="s">
        <v>594</v>
      </c>
      <c r="D171" s="2" t="str">
        <f t="shared" si="1"/>
        <v>Error?</v>
      </c>
    </row>
    <row r="172" spans="1:4" x14ac:dyDescent="0.2">
      <c r="A172" s="10">
        <v>111</v>
      </c>
      <c r="D172" s="2" t="str">
        <f t="shared" si="1"/>
        <v>OK</v>
      </c>
    </row>
    <row r="173" spans="1:4" x14ac:dyDescent="0.2">
      <c r="A173" s="5">
        <v>112</v>
      </c>
      <c r="B173" s="138">
        <f>'Assets-Liab 5-6'!G6</f>
        <v>673542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897134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1650121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1420635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1499492</v>
      </c>
      <c r="C188" s="2" t="s">
        <v>594</v>
      </c>
      <c r="D188" s="2" t="str">
        <f t="shared" si="1"/>
        <v>Error?</v>
      </c>
    </row>
    <row r="189" spans="1:4" x14ac:dyDescent="0.2">
      <c r="A189" s="5">
        <v>128</v>
      </c>
      <c r="B189" s="138">
        <f>'Assets-Liab 5-6'!G39</f>
        <v>86573</v>
      </c>
      <c r="D189" s="2" t="str">
        <f t="shared" si="1"/>
        <v>Error?</v>
      </c>
    </row>
    <row r="190" spans="1:4" x14ac:dyDescent="0.2">
      <c r="A190" s="5">
        <v>129</v>
      </c>
      <c r="B190" s="138">
        <f>'Assets-Liab 5-6'!G41</f>
        <v>1650121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1673921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1899883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13878</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304951</v>
      </c>
      <c r="C211" s="2" t="s">
        <v>594</v>
      </c>
      <c r="D211" s="2" t="str">
        <f t="shared" si="2"/>
        <v>Error?</v>
      </c>
    </row>
    <row r="212" spans="1:4" x14ac:dyDescent="0.2">
      <c r="A212" s="5">
        <v>151</v>
      </c>
      <c r="B212" s="138">
        <f>'Assets-Liab 5-6'!H39</f>
        <v>1594932</v>
      </c>
      <c r="D212" s="2" t="str">
        <f t="shared" si="2"/>
        <v>Error?</v>
      </c>
    </row>
    <row r="213" spans="1:4" x14ac:dyDescent="0.2">
      <c r="A213" s="12">
        <v>152</v>
      </c>
      <c r="B213" s="138">
        <f>'Assets-Liab 5-6'!H41</f>
        <v>1899883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558191</v>
      </c>
      <c r="D273" s="2" t="str">
        <f t="shared" si="3"/>
        <v>Error?</v>
      </c>
    </row>
    <row r="274" spans="1:4" x14ac:dyDescent="0.2">
      <c r="A274" s="5">
        <v>213</v>
      </c>
      <c r="B274" s="138">
        <f>'Assets-Liab 5-6'!M17</f>
        <v>94330763</v>
      </c>
      <c r="D274" s="2" t="str">
        <f t="shared" si="3"/>
        <v>Error?</v>
      </c>
    </row>
    <row r="275" spans="1:4" x14ac:dyDescent="0.2">
      <c r="A275" s="5">
        <v>214</v>
      </c>
      <c r="B275" s="138">
        <f>'Assets-Liab 5-6'!M18</f>
        <v>6554473</v>
      </c>
      <c r="D275" s="2" t="str">
        <f t="shared" si="3"/>
        <v>Error?</v>
      </c>
    </row>
    <row r="276" spans="1:4" x14ac:dyDescent="0.2">
      <c r="A276" s="5">
        <v>215</v>
      </c>
      <c r="B276" s="138">
        <f>'Assets-Liab 5-6'!M19</f>
        <v>14838923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116282350</v>
      </c>
      <c r="C279" s="2" t="s">
        <v>594</v>
      </c>
      <c r="D279" s="2" t="str">
        <f t="shared" si="3"/>
        <v>Error?</v>
      </c>
    </row>
    <row r="280" spans="1:4" x14ac:dyDescent="0.2">
      <c r="A280" s="5">
        <v>219</v>
      </c>
      <c r="B280" s="138">
        <f>'Assets-Liab 5-6'!M40</f>
        <v>116282350</v>
      </c>
      <c r="D280" s="2" t="str">
        <f t="shared" si="3"/>
        <v>Error?</v>
      </c>
    </row>
    <row r="281" spans="1:4" x14ac:dyDescent="0.2">
      <c r="A281" s="5">
        <v>220</v>
      </c>
      <c r="B281" s="138">
        <f>'Assets-Liab 5-6'!M41</f>
        <v>116282350</v>
      </c>
      <c r="C281" s="2" t="s">
        <v>594</v>
      </c>
      <c r="D281" s="2" t="str">
        <f t="shared" si="3"/>
        <v>Error?</v>
      </c>
    </row>
    <row r="282" spans="1:4" x14ac:dyDescent="0.2">
      <c r="A282" s="5">
        <v>221</v>
      </c>
      <c r="B282" s="138">
        <f>'Assets-Liab 5-6'!N21</f>
        <v>241266</v>
      </c>
      <c r="D282" s="2" t="str">
        <f t="shared" si="3"/>
        <v>Error?</v>
      </c>
    </row>
    <row r="283" spans="1:4" x14ac:dyDescent="0.2">
      <c r="A283" s="5">
        <v>222</v>
      </c>
      <c r="B283" s="138">
        <f>'Assets-Liab 5-6'!N22</f>
        <v>26385933</v>
      </c>
      <c r="D283" s="2" t="str">
        <f t="shared" si="3"/>
        <v>Error?</v>
      </c>
    </row>
    <row r="284" spans="1:4" x14ac:dyDescent="0.2">
      <c r="A284" s="5">
        <v>223</v>
      </c>
      <c r="B284" s="138">
        <f>'Assets-Liab 5-6'!N23</f>
        <v>26627199</v>
      </c>
      <c r="C284" s="2" t="s">
        <v>594</v>
      </c>
      <c r="D284" s="2" t="str">
        <f t="shared" si="3"/>
        <v>Error?</v>
      </c>
    </row>
    <row r="285" spans="1:4" x14ac:dyDescent="0.2">
      <c r="A285" s="5">
        <v>224</v>
      </c>
      <c r="B285" s="138">
        <f>'Assets-Liab 5-6'!N36</f>
        <v>26627199</v>
      </c>
      <c r="D285" s="2" t="str">
        <f t="shared" si="3"/>
        <v>Error?</v>
      </c>
    </row>
    <row r="286" spans="1:4" x14ac:dyDescent="0.2">
      <c r="A286" s="10">
        <v>225</v>
      </c>
      <c r="D286" s="2" t="str">
        <f t="shared" si="3"/>
        <v>OK</v>
      </c>
    </row>
    <row r="287" spans="1:4" x14ac:dyDescent="0.2">
      <c r="A287" s="5">
        <v>226</v>
      </c>
      <c r="B287" s="138">
        <f>'Assets-Liab 5-6'!N37</f>
        <v>26627199</v>
      </c>
      <c r="C287" s="2" t="s">
        <v>594</v>
      </c>
      <c r="D287" s="2" t="str">
        <f t="shared" si="3"/>
        <v>Error?</v>
      </c>
    </row>
    <row r="288" spans="1:4" x14ac:dyDescent="0.2">
      <c r="A288" s="5">
        <v>227</v>
      </c>
      <c r="B288" s="138">
        <f>'Assets-Liab 5-6'!N41</f>
        <v>26627199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10961641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123404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1389987</v>
      </c>
      <c r="D717" s="2" t="str">
        <f t="shared" si="10"/>
        <v>Error?</v>
      </c>
    </row>
    <row r="718" spans="1:4" x14ac:dyDescent="0.2">
      <c r="A718" s="5">
        <v>657</v>
      </c>
      <c r="B718" s="138">
        <f>'Expenditures 15-22'!C14</f>
        <v>1312963</v>
      </c>
      <c r="D718" s="2" t="str">
        <f t="shared" si="10"/>
        <v>Error?</v>
      </c>
    </row>
    <row r="719" spans="1:4" x14ac:dyDescent="0.2">
      <c r="A719" s="5">
        <v>658</v>
      </c>
      <c r="B719" s="138">
        <f>'Expenditures 15-22'!C15</f>
        <v>57108</v>
      </c>
      <c r="D719" s="2" t="str">
        <f t="shared" si="10"/>
        <v>Error?</v>
      </c>
    </row>
    <row r="720" spans="1:4" x14ac:dyDescent="0.2">
      <c r="A720" s="5">
        <v>659</v>
      </c>
      <c r="B720" s="138">
        <f>'Expenditures 15-22'!C33</f>
        <v>16962625</v>
      </c>
      <c r="C720" s="2" t="s">
        <v>594</v>
      </c>
      <c r="D720" s="2" t="str">
        <f t="shared" si="10"/>
        <v>Error?</v>
      </c>
    </row>
    <row r="721" spans="1:4" x14ac:dyDescent="0.2">
      <c r="A721" s="5">
        <v>660</v>
      </c>
      <c r="B721" s="138">
        <f>'Expenditures 15-22'!C36</f>
        <v>1065304</v>
      </c>
      <c r="D721" s="2" t="str">
        <f t="shared" si="10"/>
        <v>Error?</v>
      </c>
    </row>
    <row r="722" spans="1:4" x14ac:dyDescent="0.2">
      <c r="A722" s="5">
        <v>661</v>
      </c>
      <c r="B722" s="138">
        <f>'Expenditures 15-22'!C37</f>
        <v>1263009</v>
      </c>
      <c r="D722" s="2" t="str">
        <f t="shared" si="10"/>
        <v>Error?</v>
      </c>
    </row>
    <row r="723" spans="1:4" x14ac:dyDescent="0.2">
      <c r="A723" s="5">
        <v>662</v>
      </c>
      <c r="B723" s="138">
        <f>'Expenditures 15-22'!C38</f>
        <v>190330</v>
      </c>
      <c r="D723" s="2" t="str">
        <f t="shared" si="10"/>
        <v>Error?</v>
      </c>
    </row>
    <row r="724" spans="1:4" x14ac:dyDescent="0.2">
      <c r="A724" s="5">
        <v>663</v>
      </c>
      <c r="B724" s="138">
        <f>'Expenditures 15-22'!C39</f>
        <v>157750</v>
      </c>
      <c r="D724" s="2" t="str">
        <f t="shared" si="10"/>
        <v>Error?</v>
      </c>
    </row>
    <row r="725" spans="1:4" x14ac:dyDescent="0.2">
      <c r="A725" s="5">
        <v>664</v>
      </c>
      <c r="B725" s="138">
        <f>'Expenditures 15-22'!C40</f>
        <v>84814</v>
      </c>
      <c r="D725" s="2" t="str">
        <f t="shared" si="10"/>
        <v>Error?</v>
      </c>
    </row>
    <row r="726" spans="1:4" x14ac:dyDescent="0.2">
      <c r="A726" s="5">
        <v>665</v>
      </c>
      <c r="B726" s="138">
        <f>'Expenditures 15-22'!C41</f>
        <v>9592</v>
      </c>
      <c r="D726" s="2" t="str">
        <f t="shared" si="10"/>
        <v>Error?</v>
      </c>
    </row>
    <row r="727" spans="1:4" x14ac:dyDescent="0.2">
      <c r="A727" s="5">
        <v>666</v>
      </c>
      <c r="B727" s="138">
        <f>'Expenditures 15-22'!C42</f>
        <v>2770799</v>
      </c>
      <c r="C727" s="2" t="s">
        <v>594</v>
      </c>
      <c r="D727" s="2" t="str">
        <f t="shared" si="10"/>
        <v>Error?</v>
      </c>
    </row>
    <row r="728" spans="1:4" x14ac:dyDescent="0.2">
      <c r="A728" s="5">
        <v>667</v>
      </c>
      <c r="B728" s="138">
        <f>'Expenditures 15-22'!C44</f>
        <v>790045</v>
      </c>
      <c r="D728" s="2" t="str">
        <f t="shared" si="10"/>
        <v>Error?</v>
      </c>
    </row>
    <row r="729" spans="1:4" x14ac:dyDescent="0.2">
      <c r="A729" s="5">
        <v>668</v>
      </c>
      <c r="B729" s="138">
        <f>'Expenditures 15-22'!C45</f>
        <v>760783</v>
      </c>
      <c r="D729" s="2" t="str">
        <f t="shared" si="10"/>
        <v>Error?</v>
      </c>
    </row>
    <row r="730" spans="1:4" x14ac:dyDescent="0.2">
      <c r="A730" s="5">
        <v>669</v>
      </c>
      <c r="B730" s="138">
        <f>'Expenditures 15-22'!C46</f>
        <v>20056</v>
      </c>
      <c r="D730" s="2" t="str">
        <f t="shared" si="10"/>
        <v>Error?</v>
      </c>
    </row>
    <row r="731" spans="1:4" x14ac:dyDescent="0.2">
      <c r="A731" s="5">
        <v>670</v>
      </c>
      <c r="B731" s="138">
        <f>'Expenditures 15-22'!C47</f>
        <v>1570884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515596</v>
      </c>
      <c r="D733" s="2" t="str">
        <f t="shared" si="10"/>
        <v>Error?</v>
      </c>
    </row>
    <row r="734" spans="1:4" x14ac:dyDescent="0.2">
      <c r="A734" s="5">
        <v>673</v>
      </c>
      <c r="B734" s="138">
        <f>'Expenditures 15-22'!C53</f>
        <v>554316</v>
      </c>
      <c r="C734" s="2" t="s">
        <v>594</v>
      </c>
      <c r="D734" s="2" t="str">
        <f t="shared" si="10"/>
        <v>Error?</v>
      </c>
    </row>
    <row r="735" spans="1:4" x14ac:dyDescent="0.2">
      <c r="A735" s="5">
        <v>674</v>
      </c>
      <c r="B735" s="138">
        <f>'Expenditures 15-22'!C55</f>
        <v>1047525</v>
      </c>
      <c r="D735" s="2" t="str">
        <f t="shared" si="10"/>
        <v>Error?</v>
      </c>
    </row>
    <row r="736" spans="1:4" x14ac:dyDescent="0.2">
      <c r="A736" s="5">
        <v>675</v>
      </c>
      <c r="B736" s="138">
        <f>'Expenditures 15-22'!C56</f>
        <v>705290</v>
      </c>
      <c r="D736" s="2" t="str">
        <f t="shared" si="10"/>
        <v>Error?</v>
      </c>
    </row>
    <row r="737" spans="1:4" x14ac:dyDescent="0.2">
      <c r="A737" s="5">
        <v>676</v>
      </c>
      <c r="B737" s="138">
        <f>'Expenditures 15-22'!C57</f>
        <v>1752815</v>
      </c>
      <c r="C737" s="2" t="s">
        <v>594</v>
      </c>
      <c r="D737" s="2" t="str">
        <f t="shared" si="10"/>
        <v>Error?</v>
      </c>
    </row>
    <row r="738" spans="1:4" x14ac:dyDescent="0.2">
      <c r="A738" s="5">
        <v>677</v>
      </c>
      <c r="B738" s="138">
        <f>'Expenditures 15-22'!C59</f>
        <v>292411</v>
      </c>
      <c r="D738" s="2" t="str">
        <f t="shared" si="10"/>
        <v>Error?</v>
      </c>
    </row>
    <row r="739" spans="1:4" x14ac:dyDescent="0.2">
      <c r="A739" s="5">
        <v>678</v>
      </c>
      <c r="B739" s="138">
        <f>'Expenditures 15-22'!C60</f>
        <v>294194</v>
      </c>
      <c r="D739" s="2" t="str">
        <f t="shared" si="10"/>
        <v>Error?</v>
      </c>
    </row>
    <row r="740" spans="1:4" x14ac:dyDescent="0.2">
      <c r="A740" s="5">
        <v>679</v>
      </c>
      <c r="B740" s="138">
        <f>'Expenditures 15-22'!C61</f>
        <v>160906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110963</v>
      </c>
      <c r="D743" s="2" t="str">
        <f t="shared" si="10"/>
        <v>Error?</v>
      </c>
    </row>
    <row r="744" spans="1:4" x14ac:dyDescent="0.2">
      <c r="A744" s="10">
        <v>683</v>
      </c>
      <c r="D744" s="2" t="str">
        <f t="shared" si="10"/>
        <v>OK</v>
      </c>
    </row>
    <row r="745" spans="1:4" x14ac:dyDescent="0.2">
      <c r="A745" s="5">
        <v>684</v>
      </c>
      <c r="B745" s="138">
        <f>'Expenditures 15-22'!C65</f>
        <v>858474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59880</v>
      </c>
      <c r="D747" s="2" t="str">
        <f t="shared" si="10"/>
        <v>Error?</v>
      </c>
    </row>
    <row r="748" spans="1:4" x14ac:dyDescent="0.2">
      <c r="A748" s="5">
        <v>687</v>
      </c>
      <c r="B748" s="138">
        <f>'Expenditures 15-22'!C69</f>
        <v>124375</v>
      </c>
      <c r="D748" s="2" t="str">
        <f t="shared" si="10"/>
        <v>Error?</v>
      </c>
    </row>
    <row r="749" spans="1:4" x14ac:dyDescent="0.2">
      <c r="A749" s="5">
        <v>688</v>
      </c>
      <c r="B749" s="138">
        <f>'Expenditures 15-22'!C70</f>
        <v>189605</v>
      </c>
      <c r="D749" s="2" t="str">
        <f t="shared" si="10"/>
        <v>Error?</v>
      </c>
    </row>
    <row r="750" spans="1:4" x14ac:dyDescent="0.2">
      <c r="A750" s="10">
        <v>689</v>
      </c>
      <c r="D750" s="2" t="str">
        <f t="shared" si="10"/>
        <v>OK</v>
      </c>
    </row>
    <row r="751" spans="1:4" x14ac:dyDescent="0.2">
      <c r="A751" s="5">
        <v>690</v>
      </c>
      <c r="B751" s="138">
        <f>'Expenditures 15-22'!C71</f>
        <v>109088</v>
      </c>
      <c r="D751" s="2" t="str">
        <f t="shared" si="10"/>
        <v>Error?</v>
      </c>
    </row>
    <row r="752" spans="1:4" x14ac:dyDescent="0.2">
      <c r="A752" s="10">
        <v>691</v>
      </c>
      <c r="D752" s="2" t="str">
        <f t="shared" si="10"/>
        <v>OK</v>
      </c>
    </row>
    <row r="753" spans="1:4" x14ac:dyDescent="0.2">
      <c r="A753" s="5">
        <v>692</v>
      </c>
      <c r="B753" s="138">
        <f>'Expenditures 15-22'!C72</f>
        <v>482948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7990236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24952861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1873908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22883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238387</v>
      </c>
      <c r="D775" s="2" t="str">
        <f t="shared" si="11"/>
        <v>Error?</v>
      </c>
    </row>
    <row r="776" spans="1:4" x14ac:dyDescent="0.2">
      <c r="A776" s="5">
        <v>715</v>
      </c>
      <c r="B776" s="138">
        <f>'Expenditures 15-22'!D14</f>
        <v>12350</v>
      </c>
      <c r="D776" s="2" t="str">
        <f t="shared" si="11"/>
        <v>Error?</v>
      </c>
    </row>
    <row r="777" spans="1:4" x14ac:dyDescent="0.2">
      <c r="A777" s="5">
        <v>716</v>
      </c>
      <c r="B777" s="138">
        <f>'Expenditures 15-22'!D15</f>
        <v>828</v>
      </c>
      <c r="D777" s="2" t="str">
        <f t="shared" si="11"/>
        <v>Error?</v>
      </c>
    </row>
    <row r="778" spans="1:4" x14ac:dyDescent="0.2">
      <c r="A778" s="5">
        <v>717</v>
      </c>
      <c r="B778" s="138">
        <f>'Expenditures 15-22'!D33</f>
        <v>2893434</v>
      </c>
      <c r="C778" s="2" t="s">
        <v>594</v>
      </c>
      <c r="D778" s="2" t="str">
        <f t="shared" si="11"/>
        <v>Error?</v>
      </c>
    </row>
    <row r="779" spans="1:4" x14ac:dyDescent="0.2">
      <c r="A779" s="5">
        <v>718</v>
      </c>
      <c r="B779" s="138">
        <f>'Expenditures 15-22'!D36</f>
        <v>270040</v>
      </c>
      <c r="D779" s="2" t="str">
        <f t="shared" si="11"/>
        <v>Error?</v>
      </c>
    </row>
    <row r="780" spans="1:4" x14ac:dyDescent="0.2">
      <c r="A780" s="5">
        <v>719</v>
      </c>
      <c r="B780" s="138">
        <f>'Expenditures 15-22'!D37</f>
        <v>227795</v>
      </c>
      <c r="D780" s="2" t="str">
        <f t="shared" si="11"/>
        <v>Error?</v>
      </c>
    </row>
    <row r="781" spans="1:4" x14ac:dyDescent="0.2">
      <c r="A781" s="5">
        <v>720</v>
      </c>
      <c r="B781" s="138">
        <f>'Expenditures 15-22'!D38</f>
        <v>61165</v>
      </c>
      <c r="D781" s="2" t="str">
        <f t="shared" si="11"/>
        <v>Error?</v>
      </c>
    </row>
    <row r="782" spans="1:4" x14ac:dyDescent="0.2">
      <c r="A782" s="5">
        <v>721</v>
      </c>
      <c r="B782" s="138">
        <f>'Expenditures 15-22'!D39</f>
        <v>27813</v>
      </c>
      <c r="D782" s="2" t="str">
        <f t="shared" si="11"/>
        <v>Error?</v>
      </c>
    </row>
    <row r="783" spans="1:4" x14ac:dyDescent="0.2">
      <c r="A783" s="5">
        <v>722</v>
      </c>
      <c r="B783" s="138">
        <f>'Expenditures 15-22'!D40</f>
        <v>22880</v>
      </c>
      <c r="D783" s="2" t="str">
        <f t="shared" si="11"/>
        <v>Error?</v>
      </c>
    </row>
    <row r="784" spans="1:4" x14ac:dyDescent="0.2">
      <c r="A784" s="5">
        <v>723</v>
      </c>
      <c r="B784" s="138">
        <f>'Expenditures 15-22'!D41</f>
        <v>8</v>
      </c>
      <c r="D784" s="2" t="str">
        <f t="shared" si="11"/>
        <v>Error?</v>
      </c>
    </row>
    <row r="785" spans="1:4" x14ac:dyDescent="0.2">
      <c r="A785" s="5">
        <v>724</v>
      </c>
      <c r="B785" s="138">
        <f>'Expenditures 15-22'!D42</f>
        <v>609701</v>
      </c>
      <c r="C785" s="2" t="s">
        <v>594</v>
      </c>
      <c r="D785" s="2" t="str">
        <f t="shared" si="11"/>
        <v>Error?</v>
      </c>
    </row>
    <row r="786" spans="1:4" x14ac:dyDescent="0.2">
      <c r="A786" s="5">
        <v>725</v>
      </c>
      <c r="B786" s="138">
        <f>'Expenditures 15-22'!D44</f>
        <v>100065</v>
      </c>
      <c r="D786" s="2" t="str">
        <f t="shared" si="11"/>
        <v>Error?</v>
      </c>
    </row>
    <row r="787" spans="1:4" x14ac:dyDescent="0.2">
      <c r="A787" s="5">
        <v>726</v>
      </c>
      <c r="B787" s="138">
        <f>'Expenditures 15-22'!D45</f>
        <v>207443</v>
      </c>
      <c r="D787" s="2" t="str">
        <f t="shared" si="11"/>
        <v>Error?</v>
      </c>
    </row>
    <row r="788" spans="1:4" x14ac:dyDescent="0.2">
      <c r="A788" s="5">
        <v>727</v>
      </c>
      <c r="B788" s="138">
        <f>'Expenditures 15-22'!D46</f>
        <v>55</v>
      </c>
      <c r="D788" s="2" t="str">
        <f t="shared" si="11"/>
        <v>Error?</v>
      </c>
    </row>
    <row r="789" spans="1:4" x14ac:dyDescent="0.2">
      <c r="A789" s="5">
        <v>728</v>
      </c>
      <c r="B789" s="138">
        <f>'Expenditures 15-22'!D47</f>
        <v>307563</v>
      </c>
      <c r="C789" s="2" t="s">
        <v>594</v>
      </c>
      <c r="D789" s="2" t="str">
        <f t="shared" si="11"/>
        <v>Error?</v>
      </c>
    </row>
    <row r="790" spans="1:4" x14ac:dyDescent="0.2">
      <c r="A790" s="5">
        <v>729</v>
      </c>
      <c r="B790" s="138">
        <f>'Expenditures 15-22'!D49</f>
        <v>5243</v>
      </c>
      <c r="D790" s="2" t="str">
        <f t="shared" si="11"/>
        <v>Error?</v>
      </c>
    </row>
    <row r="791" spans="1:4" x14ac:dyDescent="0.2">
      <c r="A791" s="5">
        <v>730</v>
      </c>
      <c r="B791" s="138">
        <f>'Expenditures 15-22'!D50</f>
        <v>90854</v>
      </c>
      <c r="D791" s="2" t="str">
        <f t="shared" si="11"/>
        <v>Error?</v>
      </c>
    </row>
    <row r="792" spans="1:4" x14ac:dyDescent="0.2">
      <c r="A792" s="5">
        <v>731</v>
      </c>
      <c r="B792" s="138">
        <f>'Expenditures 15-22'!D53</f>
        <v>100970</v>
      </c>
      <c r="C792" s="2" t="s">
        <v>594</v>
      </c>
      <c r="D792" s="2" t="str">
        <f t="shared" si="11"/>
        <v>Error?</v>
      </c>
    </row>
    <row r="793" spans="1:4" x14ac:dyDescent="0.2">
      <c r="A793" s="5">
        <v>732</v>
      </c>
      <c r="B793" s="138">
        <f>'Expenditures 15-22'!D55</f>
        <v>269181</v>
      </c>
      <c r="D793" s="2" t="str">
        <f t="shared" si="11"/>
        <v>Error?</v>
      </c>
    </row>
    <row r="794" spans="1:4" x14ac:dyDescent="0.2">
      <c r="A794" s="5">
        <v>733</v>
      </c>
      <c r="B794" s="138">
        <f>'Expenditures 15-22'!D56</f>
        <v>156831</v>
      </c>
      <c r="D794" s="2" t="str">
        <f t="shared" si="11"/>
        <v>Error?</v>
      </c>
    </row>
    <row r="795" spans="1:4" x14ac:dyDescent="0.2">
      <c r="A795" s="5">
        <v>734</v>
      </c>
      <c r="B795" s="138">
        <f>'Expenditures 15-22'!D57</f>
        <v>426012</v>
      </c>
      <c r="C795" s="2" t="s">
        <v>594</v>
      </c>
      <c r="D795" s="2" t="str">
        <f t="shared" si="11"/>
        <v>Error?</v>
      </c>
    </row>
    <row r="796" spans="1:4" x14ac:dyDescent="0.2">
      <c r="A796" s="5">
        <v>735</v>
      </c>
      <c r="B796" s="138">
        <f>'Expenditures 15-22'!D59</f>
        <v>43438</v>
      </c>
      <c r="D796" s="2" t="str">
        <f t="shared" si="11"/>
        <v>Error?</v>
      </c>
    </row>
    <row r="797" spans="1:4" x14ac:dyDescent="0.2">
      <c r="A797" s="5">
        <v>736</v>
      </c>
      <c r="B797" s="138">
        <f>'Expenditures 15-22'!D60</f>
        <v>66952</v>
      </c>
      <c r="D797" s="2" t="str">
        <f t="shared" si="11"/>
        <v>Error?</v>
      </c>
    </row>
    <row r="798" spans="1:4" x14ac:dyDescent="0.2">
      <c r="A798" s="5">
        <v>737</v>
      </c>
      <c r="B798" s="138">
        <f>'Expenditures 15-22'!D61</f>
        <v>26016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44996</v>
      </c>
      <c r="D801" s="2" t="str">
        <f t="shared" si="11"/>
        <v>Error?</v>
      </c>
    </row>
    <row r="802" spans="1:4" x14ac:dyDescent="0.2">
      <c r="A802" s="10">
        <v>741</v>
      </c>
      <c r="D802" s="2" t="str">
        <f t="shared" si="11"/>
        <v>OK</v>
      </c>
    </row>
    <row r="803" spans="1:4" x14ac:dyDescent="0.2">
      <c r="A803" s="5">
        <v>742</v>
      </c>
      <c r="B803" s="138">
        <f>'Expenditures 15-22'!D65</f>
        <v>181402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17379</v>
      </c>
      <c r="D805" s="2" t="str">
        <f t="shared" si="11"/>
        <v>Error?</v>
      </c>
    </row>
    <row r="806" spans="1:4" x14ac:dyDescent="0.2">
      <c r="A806" s="5">
        <v>745</v>
      </c>
      <c r="B806" s="138">
        <f>'Expenditures 15-22'!D69</f>
        <v>8474</v>
      </c>
      <c r="D806" s="2" t="str">
        <f t="shared" si="11"/>
        <v>Error?</v>
      </c>
    </row>
    <row r="807" spans="1:4" x14ac:dyDescent="0.2">
      <c r="A807" s="5">
        <v>746</v>
      </c>
      <c r="B807" s="138">
        <f>'Expenditures 15-22'!D70</f>
        <v>50749</v>
      </c>
      <c r="D807" s="2" t="str">
        <f t="shared" si="11"/>
        <v>Error?</v>
      </c>
    </row>
    <row r="808" spans="1:4" x14ac:dyDescent="0.2">
      <c r="A808" s="10">
        <v>747</v>
      </c>
      <c r="D808" s="2" t="str">
        <f t="shared" si="11"/>
        <v>OK</v>
      </c>
    </row>
    <row r="809" spans="1:4" x14ac:dyDescent="0.2">
      <c r="A809" s="5">
        <v>748</v>
      </c>
      <c r="B809" s="138">
        <f>'Expenditures 15-22'!D71</f>
        <v>19936</v>
      </c>
      <c r="D809" s="2" t="str">
        <f t="shared" si="11"/>
        <v>Error?</v>
      </c>
    </row>
    <row r="810" spans="1:4" x14ac:dyDescent="0.2">
      <c r="A810" s="10">
        <v>749</v>
      </c>
      <c r="D810" s="2" t="str">
        <f t="shared" si="11"/>
        <v>OK</v>
      </c>
    </row>
    <row r="811" spans="1:4" x14ac:dyDescent="0.2">
      <c r="A811" s="5">
        <v>750</v>
      </c>
      <c r="B811" s="138">
        <f>'Expenditures 15-22'!D72</f>
        <v>96538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1722186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4615620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75851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1975</v>
      </c>
      <c r="D833" s="2" t="str">
        <f t="shared" si="12"/>
        <v>Error?</v>
      </c>
    </row>
    <row r="834" spans="1:4" x14ac:dyDescent="0.2">
      <c r="A834" s="5">
        <v>773</v>
      </c>
      <c r="B834" s="138">
        <f>'Expenditures 15-22'!E14</f>
        <v>324820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459722</v>
      </c>
      <c r="C836" s="2" t="s">
        <v>594</v>
      </c>
      <c r="D836" s="2" t="str">
        <f t="shared" si="12"/>
        <v>Error?</v>
      </c>
    </row>
    <row r="837" spans="1:4" x14ac:dyDescent="0.2">
      <c r="A837" s="5">
        <v>776</v>
      </c>
      <c r="B837" s="138">
        <f>'Expenditures 15-22'!E36</f>
        <v>11849</v>
      </c>
      <c r="D837" s="2" t="str">
        <f t="shared" si="12"/>
        <v>Error?</v>
      </c>
    </row>
    <row r="838" spans="1:4" x14ac:dyDescent="0.2">
      <c r="A838" s="5">
        <v>777</v>
      </c>
      <c r="B838" s="138">
        <f>'Expenditures 15-22'!E37</f>
        <v>6923</v>
      </c>
      <c r="D838" s="2" t="str">
        <f t="shared" si="12"/>
        <v>Error?</v>
      </c>
    </row>
    <row r="839" spans="1:4" x14ac:dyDescent="0.2">
      <c r="A839" s="5">
        <v>778</v>
      </c>
      <c r="B839" s="138">
        <f>'Expenditures 15-22'!E38</f>
        <v>103959</v>
      </c>
      <c r="D839" s="2" t="str">
        <f t="shared" si="12"/>
        <v>Error?</v>
      </c>
    </row>
    <row r="840" spans="1:4" x14ac:dyDescent="0.2">
      <c r="A840" s="5">
        <v>779</v>
      </c>
      <c r="B840" s="138">
        <f>'Expenditures 15-22'!E39</f>
        <v>576</v>
      </c>
      <c r="D840" s="2" t="str">
        <f t="shared" si="12"/>
        <v>Error?</v>
      </c>
    </row>
    <row r="841" spans="1:4" x14ac:dyDescent="0.2">
      <c r="A841" s="5">
        <v>780</v>
      </c>
      <c r="B841" s="138">
        <f>'Expenditures 15-22'!E40</f>
        <v>179</v>
      </c>
      <c r="D841" s="2" t="str">
        <f t="shared" si="12"/>
        <v>Error?</v>
      </c>
    </row>
    <row r="842" spans="1:4" x14ac:dyDescent="0.2">
      <c r="A842" s="5">
        <v>781</v>
      </c>
      <c r="B842" s="138">
        <f>'Expenditures 15-22'!E41</f>
        <v>66805</v>
      </c>
      <c r="D842" s="2" t="str">
        <f t="shared" si="12"/>
        <v>Error?</v>
      </c>
    </row>
    <row r="843" spans="1:4" x14ac:dyDescent="0.2">
      <c r="A843" s="5">
        <v>782</v>
      </c>
      <c r="B843" s="138">
        <f>'Expenditures 15-22'!E42</f>
        <v>190291</v>
      </c>
      <c r="C843" s="2" t="s">
        <v>594</v>
      </c>
      <c r="D843" s="2" t="str">
        <f t="shared" si="12"/>
        <v>Error?</v>
      </c>
    </row>
    <row r="844" spans="1:4" x14ac:dyDescent="0.2">
      <c r="A844" s="5">
        <v>783</v>
      </c>
      <c r="B844" s="138">
        <f>'Expenditures 15-22'!E44</f>
        <v>108405</v>
      </c>
      <c r="D844" s="2" t="str">
        <f t="shared" si="12"/>
        <v>Error?</v>
      </c>
    </row>
    <row r="845" spans="1:4" x14ac:dyDescent="0.2">
      <c r="A845" s="5">
        <v>784</v>
      </c>
      <c r="B845" s="138">
        <f>'Expenditures 15-22'!E45</f>
        <v>166035</v>
      </c>
      <c r="D845" s="2" t="str">
        <f t="shared" si="12"/>
        <v>Error?</v>
      </c>
    </row>
    <row r="846" spans="1:4" x14ac:dyDescent="0.2">
      <c r="A846" s="5">
        <v>785</v>
      </c>
      <c r="B846" s="138">
        <f>'Expenditures 15-22'!E46</f>
        <v>209420</v>
      </c>
      <c r="D846" s="2" t="str">
        <f t="shared" si="12"/>
        <v>Error?</v>
      </c>
    </row>
    <row r="847" spans="1:4" x14ac:dyDescent="0.2">
      <c r="A847" s="5">
        <v>786</v>
      </c>
      <c r="B847" s="138">
        <f>'Expenditures 15-22'!E47</f>
        <v>483860</v>
      </c>
      <c r="C847" s="2" t="s">
        <v>594</v>
      </c>
      <c r="D847" s="2" t="str">
        <f t="shared" si="12"/>
        <v>Error?</v>
      </c>
    </row>
    <row r="848" spans="1:4" x14ac:dyDescent="0.2">
      <c r="A848" s="5">
        <v>787</v>
      </c>
      <c r="B848" s="138">
        <f>'Expenditures 15-22'!E49</f>
        <v>242990</v>
      </c>
      <c r="D848" s="2" t="str">
        <f t="shared" si="12"/>
        <v>Error?</v>
      </c>
    </row>
    <row r="849" spans="1:4" x14ac:dyDescent="0.2">
      <c r="A849" s="5">
        <v>788</v>
      </c>
      <c r="B849" s="138">
        <f>'Expenditures 15-22'!E50</f>
        <v>9275</v>
      </c>
      <c r="D849" s="2" t="str">
        <f t="shared" si="12"/>
        <v>Error?</v>
      </c>
    </row>
    <row r="850" spans="1:4" x14ac:dyDescent="0.2">
      <c r="A850" s="5">
        <v>789</v>
      </c>
      <c r="B850" s="138">
        <f>'Expenditures 15-22'!E53</f>
        <v>587898</v>
      </c>
      <c r="C850" s="2" t="s">
        <v>594</v>
      </c>
      <c r="D850" s="2" t="str">
        <f t="shared" si="12"/>
        <v>Error?</v>
      </c>
    </row>
    <row r="851" spans="1:4" x14ac:dyDescent="0.2">
      <c r="A851" s="5">
        <v>790</v>
      </c>
      <c r="B851" s="138">
        <f>'Expenditures 15-22'!E55</f>
        <v>9339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9339</v>
      </c>
      <c r="C853" s="2" t="s">
        <v>594</v>
      </c>
      <c r="D853" s="2" t="str">
        <f t="shared" si="12"/>
        <v>Error?</v>
      </c>
    </row>
    <row r="854" spans="1:4" x14ac:dyDescent="0.2">
      <c r="A854" s="5">
        <v>793</v>
      </c>
      <c r="B854" s="138">
        <f>'Expenditures 15-22'!E59</f>
        <v>10099</v>
      </c>
      <c r="D854" s="2" t="str">
        <f t="shared" si="12"/>
        <v>Error?</v>
      </c>
    </row>
    <row r="855" spans="1:4" x14ac:dyDescent="0.2">
      <c r="A855" s="5">
        <v>794</v>
      </c>
      <c r="B855" s="138">
        <f>'Expenditures 15-22'!E60</f>
        <v>11560</v>
      </c>
      <c r="D855" s="2" t="str">
        <f t="shared" si="12"/>
        <v>Error?</v>
      </c>
    </row>
    <row r="856" spans="1:4" x14ac:dyDescent="0.2">
      <c r="A856" s="5">
        <v>795</v>
      </c>
      <c r="B856" s="138">
        <f>'Expenditures 15-22'!E61</f>
        <v>239436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1405168</v>
      </c>
      <c r="D858" s="2" t="str">
        <f t="shared" si="12"/>
        <v>Error?</v>
      </c>
    </row>
    <row r="859" spans="1:4" x14ac:dyDescent="0.2">
      <c r="A859" s="5">
        <v>798</v>
      </c>
      <c r="B859" s="138">
        <f>'Expenditures 15-22'!E64</f>
        <v>65856</v>
      </c>
      <c r="D859" s="2" t="str">
        <f t="shared" si="12"/>
        <v>Error?</v>
      </c>
    </row>
    <row r="860" spans="1:4" x14ac:dyDescent="0.2">
      <c r="A860" s="10">
        <v>799</v>
      </c>
      <c r="D860" s="2" t="str">
        <f t="shared" si="12"/>
        <v>OK</v>
      </c>
    </row>
    <row r="861" spans="1:4" x14ac:dyDescent="0.2">
      <c r="A861" s="5">
        <v>800</v>
      </c>
      <c r="B861" s="138">
        <f>'Expenditures 15-22'!E65</f>
        <v>1732119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229</v>
      </c>
      <c r="D863" s="2" t="str">
        <f t="shared" si="12"/>
        <v>Error?</v>
      </c>
    </row>
    <row r="864" spans="1:4" x14ac:dyDescent="0.2">
      <c r="A864" s="5">
        <v>803</v>
      </c>
      <c r="B864" s="138">
        <f>'Expenditures 15-22'!E69</f>
        <v>13090</v>
      </c>
      <c r="D864" s="2" t="str">
        <f t="shared" si="12"/>
        <v>Error?</v>
      </c>
    </row>
    <row r="865" spans="1:4" x14ac:dyDescent="0.2">
      <c r="A865" s="5">
        <v>804</v>
      </c>
      <c r="B865" s="138">
        <f>'Expenditures 15-22'!E70</f>
        <v>22172</v>
      </c>
      <c r="D865" s="2" t="str">
        <f t="shared" si="12"/>
        <v>Error?</v>
      </c>
    </row>
    <row r="866" spans="1:4" x14ac:dyDescent="0.2">
      <c r="A866" s="10">
        <v>805</v>
      </c>
      <c r="D866" s="2" t="str">
        <f t="shared" si="12"/>
        <v>OK</v>
      </c>
    </row>
    <row r="867" spans="1:4" x14ac:dyDescent="0.2">
      <c r="A867" s="5">
        <v>806</v>
      </c>
      <c r="B867" s="138">
        <f>'Expenditures 15-22'!E71</f>
        <v>102271</v>
      </c>
      <c r="D867" s="2" t="str">
        <f t="shared" si="12"/>
        <v>Error?</v>
      </c>
    </row>
    <row r="868" spans="1:4" x14ac:dyDescent="0.2">
      <c r="A868" s="10">
        <v>807</v>
      </c>
      <c r="D868" s="2" t="str">
        <f t="shared" si="12"/>
        <v>OK</v>
      </c>
    </row>
    <row r="869" spans="1:4" x14ac:dyDescent="0.2">
      <c r="A869" s="5">
        <v>808</v>
      </c>
      <c r="B869" s="138">
        <f>'Expenditures 15-22'!E72</f>
        <v>137762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3141269</v>
      </c>
      <c r="C871" s="2" t="s">
        <v>594</v>
      </c>
      <c r="D871" s="2" t="str">
        <f t="shared" si="12"/>
        <v>Error?</v>
      </c>
    </row>
    <row r="872" spans="1:4" x14ac:dyDescent="0.2">
      <c r="A872" s="5">
        <v>811</v>
      </c>
      <c r="B872" s="138">
        <f>'Expenditures 15-22'!E75</f>
        <v>369</v>
      </c>
      <c r="D872" s="2" t="str">
        <f t="shared" si="12"/>
        <v>Error?</v>
      </c>
    </row>
    <row r="873" spans="1:4" x14ac:dyDescent="0.2">
      <c r="A873" s="5">
        <v>812</v>
      </c>
      <c r="B873" s="138">
        <f>'Expenditures 15-22'!E114</f>
        <v>3603516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534145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103504</v>
      </c>
      <c r="D891" s="2" t="str">
        <f t="shared" si="12"/>
        <v>Error?</v>
      </c>
    </row>
    <row r="892" spans="1:4" x14ac:dyDescent="0.2">
      <c r="A892" s="5">
        <v>831</v>
      </c>
      <c r="B892" s="138">
        <f>'Expenditures 15-22'!F14</f>
        <v>160083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854059</v>
      </c>
      <c r="C894" s="2" t="s">
        <v>594</v>
      </c>
      <c r="D894" s="2" t="str">
        <f t="shared" si="12"/>
        <v>Error?</v>
      </c>
    </row>
    <row r="895" spans="1:4" x14ac:dyDescent="0.2">
      <c r="A895" s="5">
        <v>834</v>
      </c>
      <c r="B895" s="138">
        <f>'Expenditures 15-22'!F36</f>
        <v>10863</v>
      </c>
      <c r="D895" s="2" t="str">
        <f t="shared" ref="D895:D958" si="13">IF(ISBLANK(B895),"OK",IF(A895-B895=0,"OK","Error?"))</f>
        <v>Error?</v>
      </c>
    </row>
    <row r="896" spans="1:4" x14ac:dyDescent="0.2">
      <c r="A896" s="5">
        <v>835</v>
      </c>
      <c r="B896" s="138">
        <f>'Expenditures 15-22'!F37</f>
        <v>2787</v>
      </c>
      <c r="D896" s="2" t="str">
        <f t="shared" si="13"/>
        <v>Error?</v>
      </c>
    </row>
    <row r="897" spans="1:4" x14ac:dyDescent="0.2">
      <c r="A897" s="5">
        <v>836</v>
      </c>
      <c r="B897" s="138">
        <f>'Expenditures 15-22'!F38</f>
        <v>3279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418</v>
      </c>
      <c r="D899" s="2" t="str">
        <f t="shared" si="13"/>
        <v>Error?</v>
      </c>
    </row>
    <row r="900" spans="1:4" x14ac:dyDescent="0.2">
      <c r="A900" s="5">
        <v>839</v>
      </c>
      <c r="B900" s="138">
        <f>'Expenditures 15-22'!F41</f>
        <v>38828</v>
      </c>
      <c r="D900" s="2" t="str">
        <f t="shared" si="13"/>
        <v>Error?</v>
      </c>
    </row>
    <row r="901" spans="1:4" x14ac:dyDescent="0.2">
      <c r="A901" s="5">
        <v>840</v>
      </c>
      <c r="B901" s="138">
        <f>'Expenditures 15-22'!F42</f>
        <v>56175</v>
      </c>
      <c r="C901" s="2" t="s">
        <v>594</v>
      </c>
      <c r="D901" s="2" t="str">
        <f t="shared" si="13"/>
        <v>Error?</v>
      </c>
    </row>
    <row r="902" spans="1:4" x14ac:dyDescent="0.2">
      <c r="A902" s="5">
        <v>841</v>
      </c>
      <c r="B902" s="138">
        <f>'Expenditures 15-22'!F44</f>
        <v>5785</v>
      </c>
      <c r="D902" s="2" t="str">
        <f t="shared" si="13"/>
        <v>Error?</v>
      </c>
    </row>
    <row r="903" spans="1:4" x14ac:dyDescent="0.2">
      <c r="A903" s="5">
        <v>842</v>
      </c>
      <c r="B903" s="138">
        <f>'Expenditures 15-22'!F45</f>
        <v>65003</v>
      </c>
      <c r="D903" s="2" t="str">
        <f t="shared" si="13"/>
        <v>Error?</v>
      </c>
    </row>
    <row r="904" spans="1:4" x14ac:dyDescent="0.2">
      <c r="A904" s="5">
        <v>843</v>
      </c>
      <c r="B904" s="138">
        <f>'Expenditures 15-22'!F46</f>
        <v>140</v>
      </c>
      <c r="D904" s="2" t="str">
        <f t="shared" si="13"/>
        <v>Error?</v>
      </c>
    </row>
    <row r="905" spans="1:4" x14ac:dyDescent="0.2">
      <c r="A905" s="5">
        <v>844</v>
      </c>
      <c r="B905" s="138">
        <f>'Expenditures 15-22'!F47</f>
        <v>70928</v>
      </c>
      <c r="C905" s="2" t="s">
        <v>594</v>
      </c>
      <c r="D905" s="2" t="str">
        <f t="shared" si="13"/>
        <v>Error?</v>
      </c>
    </row>
    <row r="906" spans="1:4" x14ac:dyDescent="0.2">
      <c r="A906" s="5">
        <v>845</v>
      </c>
      <c r="B906" s="138">
        <f>'Expenditures 15-22'!F49</f>
        <v>1778</v>
      </c>
      <c r="D906" s="2" t="str">
        <f t="shared" si="13"/>
        <v>Error?</v>
      </c>
    </row>
    <row r="907" spans="1:4" x14ac:dyDescent="0.2">
      <c r="A907" s="5">
        <v>846</v>
      </c>
      <c r="B907" s="138">
        <f>'Expenditures 15-22'!F50</f>
        <v>193</v>
      </c>
      <c r="D907" s="2" t="str">
        <f t="shared" si="13"/>
        <v>Error?</v>
      </c>
    </row>
    <row r="908" spans="1:4" x14ac:dyDescent="0.2">
      <c r="A908" s="5">
        <v>847</v>
      </c>
      <c r="B908" s="138">
        <f>'Expenditures 15-22'!F53</f>
        <v>1971</v>
      </c>
      <c r="C908" s="2" t="s">
        <v>594</v>
      </c>
      <c r="D908" s="2" t="str">
        <f t="shared" si="13"/>
        <v>Error?</v>
      </c>
    </row>
    <row r="909" spans="1:4" x14ac:dyDescent="0.2">
      <c r="A909" s="5">
        <v>848</v>
      </c>
      <c r="B909" s="138">
        <f>'Expenditures 15-22'!F55</f>
        <v>9959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9959</v>
      </c>
      <c r="C911" s="2" t="s">
        <v>594</v>
      </c>
      <c r="D911" s="2" t="str">
        <f t="shared" si="13"/>
        <v>Error?</v>
      </c>
    </row>
    <row r="912" spans="1:4" x14ac:dyDescent="0.2">
      <c r="A912" s="5">
        <v>851</v>
      </c>
      <c r="B912" s="138">
        <f>'Expenditures 15-22'!F59</f>
        <v>881</v>
      </c>
      <c r="D912" s="2" t="str">
        <f t="shared" si="13"/>
        <v>Error?</v>
      </c>
    </row>
    <row r="913" spans="1:4" x14ac:dyDescent="0.2">
      <c r="A913" s="5">
        <v>852</v>
      </c>
      <c r="B913" s="138">
        <f>'Expenditures 15-22'!F60</f>
        <v>933</v>
      </c>
      <c r="D913" s="2" t="str">
        <f t="shared" si="13"/>
        <v>Error?</v>
      </c>
    </row>
    <row r="914" spans="1:4" x14ac:dyDescent="0.2">
      <c r="A914" s="5">
        <v>853</v>
      </c>
      <c r="B914" s="138">
        <f>'Expenditures 15-22'!F61</f>
        <v>666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10939</v>
      </c>
      <c r="D916" s="2" t="str">
        <f t="shared" si="13"/>
        <v>Error?</v>
      </c>
    </row>
    <row r="917" spans="1:4" x14ac:dyDescent="0.2">
      <c r="A917" s="5">
        <v>856</v>
      </c>
      <c r="B917" s="138">
        <f>'Expenditures 15-22'!F64</f>
        <v>20173</v>
      </c>
      <c r="D917" s="2" t="str">
        <f t="shared" si="13"/>
        <v>Error?</v>
      </c>
    </row>
    <row r="918" spans="1:4" x14ac:dyDescent="0.2">
      <c r="A918" s="10">
        <v>857</v>
      </c>
      <c r="D918" s="2" t="str">
        <f t="shared" si="13"/>
        <v>OK</v>
      </c>
    </row>
    <row r="919" spans="1:4" x14ac:dyDescent="0.2">
      <c r="A919" s="5">
        <v>858</v>
      </c>
      <c r="B919" s="138">
        <f>'Expenditures 15-22'!F65</f>
        <v>33592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31</v>
      </c>
      <c r="D922" s="2" t="str">
        <f t="shared" si="13"/>
        <v>Error?</v>
      </c>
    </row>
    <row r="923" spans="1:4" x14ac:dyDescent="0.2">
      <c r="A923" s="5">
        <v>862</v>
      </c>
      <c r="B923" s="138">
        <f>'Expenditures 15-22'!F70</f>
        <v>8174</v>
      </c>
      <c r="D923" s="2" t="str">
        <f t="shared" si="13"/>
        <v>Error?</v>
      </c>
    </row>
    <row r="924" spans="1:4" x14ac:dyDescent="0.2">
      <c r="A924" s="10">
        <v>863</v>
      </c>
      <c r="D924" s="2" t="str">
        <f t="shared" si="13"/>
        <v>OK</v>
      </c>
    </row>
    <row r="925" spans="1:4" x14ac:dyDescent="0.2">
      <c r="A925" s="5">
        <v>864</v>
      </c>
      <c r="B925" s="138">
        <f>'Expenditures 15-22'!F71</f>
        <v>903</v>
      </c>
      <c r="D925" s="2" t="str">
        <f t="shared" si="13"/>
        <v>Error?</v>
      </c>
    </row>
    <row r="926" spans="1:4" x14ac:dyDescent="0.2">
      <c r="A926" s="10">
        <v>865</v>
      </c>
      <c r="D926" s="2" t="str">
        <f t="shared" si="13"/>
        <v>OK</v>
      </c>
    </row>
    <row r="927" spans="1:4" x14ac:dyDescent="0.2">
      <c r="A927" s="5">
        <v>866</v>
      </c>
      <c r="B927" s="138">
        <f>'Expenditures 15-22'!F72</f>
        <v>9108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181733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1035792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42727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48251</v>
      </c>
      <c r="D949" s="2" t="str">
        <f t="shared" si="13"/>
        <v>Error?</v>
      </c>
    </row>
    <row r="950" spans="1:4" x14ac:dyDescent="0.2">
      <c r="A950" s="5">
        <v>889</v>
      </c>
      <c r="B950" s="138">
        <f>'Expenditures 15-22'!G14</f>
        <v>45548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261717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11109</v>
      </c>
      <c r="D960" s="2" t="str">
        <f t="shared" si="14"/>
        <v>Error?</v>
      </c>
    </row>
    <row r="961" spans="1:4" x14ac:dyDescent="0.2">
      <c r="A961" s="5">
        <v>900</v>
      </c>
      <c r="B961" s="138">
        <f>'Expenditures 15-22'!G45</f>
        <v>21083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32192</v>
      </c>
      <c r="C963" s="2" t="s">
        <v>594</v>
      </c>
      <c r="D963" s="2" t="str">
        <f t="shared" si="14"/>
        <v>Error?</v>
      </c>
    </row>
    <row r="964" spans="1:4" x14ac:dyDescent="0.2">
      <c r="A964" s="5">
        <v>903</v>
      </c>
      <c r="B964" s="138">
        <f>'Expenditures 15-22'!G49</f>
        <v>13182</v>
      </c>
      <c r="D964" s="2" t="str">
        <f t="shared" si="14"/>
        <v>Error?</v>
      </c>
    </row>
    <row r="965" spans="1:4" x14ac:dyDescent="0.2">
      <c r="A965" s="5">
        <v>904</v>
      </c>
      <c r="B965" s="138">
        <f>'Expenditures 15-22'!G50</f>
        <v>1428</v>
      </c>
      <c r="D965" s="2" t="str">
        <f t="shared" si="14"/>
        <v>Error?</v>
      </c>
    </row>
    <row r="966" spans="1:4" x14ac:dyDescent="0.2">
      <c r="A966" s="5">
        <v>905</v>
      </c>
      <c r="B966" s="138">
        <f>'Expenditures 15-22'!G53</f>
        <v>14610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270</v>
      </c>
      <c r="D970" s="2" t="str">
        <f t="shared" si="14"/>
        <v>Error?</v>
      </c>
    </row>
    <row r="971" spans="1:4" x14ac:dyDescent="0.2">
      <c r="A971" s="5">
        <v>910</v>
      </c>
      <c r="B971" s="138">
        <f>'Expenditures 15-22'!G60</f>
        <v>1260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7317</v>
      </c>
      <c r="D975" s="2" t="str">
        <f t="shared" si="14"/>
        <v>Error?</v>
      </c>
    </row>
    <row r="976" spans="1:4" x14ac:dyDescent="0.2">
      <c r="A976" s="10">
        <v>915</v>
      </c>
      <c r="D976" s="2" t="str">
        <f t="shared" si="14"/>
        <v>OK</v>
      </c>
    </row>
    <row r="977" spans="1:4" x14ac:dyDescent="0.2">
      <c r="A977" s="5">
        <v>916</v>
      </c>
      <c r="B977" s="138">
        <f>'Expenditures 15-22'!G65</f>
        <v>8847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270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270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55919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317636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19782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3000</v>
      </c>
      <c r="D1007" s="2" t="str">
        <f t="shared" si="14"/>
        <v>Error?</v>
      </c>
    </row>
    <row r="1008" spans="1:4" x14ac:dyDescent="0.2">
      <c r="A1008" s="5">
        <v>947</v>
      </c>
      <c r="B1008" s="138">
        <f>'Expenditures 15-22'!H14</f>
        <v>62146</v>
      </c>
      <c r="D1008" s="2" t="str">
        <f t="shared" si="14"/>
        <v>Error?</v>
      </c>
    </row>
    <row r="1009" spans="1:4" x14ac:dyDescent="0.2">
      <c r="A1009" s="5">
        <v>948</v>
      </c>
      <c r="B1009" s="138">
        <f>'Expenditures 15-22'!H15</f>
        <v>519</v>
      </c>
      <c r="D1009" s="2" t="str">
        <f t="shared" si="14"/>
        <v>Error?</v>
      </c>
    </row>
    <row r="1010" spans="1:4" x14ac:dyDescent="0.2">
      <c r="A1010" s="5">
        <v>949</v>
      </c>
      <c r="B1010" s="138">
        <f>'Expenditures 15-22'!H33</f>
        <v>923258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2012</v>
      </c>
      <c r="D1018" s="2" t="str">
        <f t="shared" si="14"/>
        <v>Error?</v>
      </c>
    </row>
    <row r="1019" spans="1:4" x14ac:dyDescent="0.2">
      <c r="A1019" s="5">
        <v>958</v>
      </c>
      <c r="B1019" s="138">
        <f>'Expenditures 15-22'!H45</f>
        <v>98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2110</v>
      </c>
      <c r="C1021" s="2" t="s">
        <v>594</v>
      </c>
      <c r="D1021" s="2" t="str">
        <f t="shared" si="14"/>
        <v>Error?</v>
      </c>
    </row>
    <row r="1022" spans="1:4" x14ac:dyDescent="0.2">
      <c r="A1022" s="5">
        <v>961</v>
      </c>
      <c r="B1022" s="138">
        <f>'Expenditures 15-22'!H49</f>
        <v>23326</v>
      </c>
      <c r="D1022" s="2" t="str">
        <f t="shared" si="14"/>
        <v>Error?</v>
      </c>
    </row>
    <row r="1023" spans="1:4" x14ac:dyDescent="0.2">
      <c r="A1023" s="5">
        <v>962</v>
      </c>
      <c r="B1023" s="138">
        <f>'Expenditures 15-22'!H50</f>
        <v>3872</v>
      </c>
      <c r="D1023" s="2" t="str">
        <f t="shared" ref="D1023:D1086" si="15">IF(ISBLANK(B1023),"OK",IF(A1023-B1023=0,"OK","Error?"))</f>
        <v>Error?</v>
      </c>
    </row>
    <row r="1024" spans="1:4" x14ac:dyDescent="0.2">
      <c r="A1024" s="5">
        <v>963</v>
      </c>
      <c r="B1024" s="138">
        <f>'Expenditures 15-22'!H53</f>
        <v>27198</v>
      </c>
      <c r="C1024" s="2" t="s">
        <v>594</v>
      </c>
      <c r="D1024" s="2" t="str">
        <f t="shared" si="15"/>
        <v>Error?</v>
      </c>
    </row>
    <row r="1025" spans="1:4" x14ac:dyDescent="0.2">
      <c r="A1025" s="5">
        <v>964</v>
      </c>
      <c r="B1025" s="138">
        <f>'Expenditures 15-22'!H55</f>
        <v>1798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1798</v>
      </c>
      <c r="C1027" s="2" t="s">
        <v>594</v>
      </c>
      <c r="D1027" s="2" t="str">
        <f t="shared" si="15"/>
        <v>Error?</v>
      </c>
    </row>
    <row r="1028" spans="1:4" x14ac:dyDescent="0.2">
      <c r="A1028" s="5">
        <v>967</v>
      </c>
      <c r="B1028" s="138">
        <f>'Expenditures 15-22'!H59</f>
        <v>855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2693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3548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1667</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200</v>
      </c>
      <c r="D1041" s="2" t="str">
        <f t="shared" si="15"/>
        <v>Error?</v>
      </c>
    </row>
    <row r="1042" spans="1:4" x14ac:dyDescent="0.2">
      <c r="A1042" s="10">
        <v>981</v>
      </c>
      <c r="D1042" s="2" t="str">
        <f t="shared" si="15"/>
        <v>OK</v>
      </c>
    </row>
    <row r="1043" spans="1:4" x14ac:dyDescent="0.2">
      <c r="A1043" s="5">
        <v>982</v>
      </c>
      <c r="B1043" s="138">
        <f>'Expenditures 15-22'!H72</f>
        <v>1867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36521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1751325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2711104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13561481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146287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1816407</v>
      </c>
      <c r="C1105" s="2" t="s">
        <v>594</v>
      </c>
      <c r="D1105" s="2" t="str">
        <f t="shared" si="16"/>
        <v>Error?</v>
      </c>
    </row>
    <row r="1106" spans="1:4" x14ac:dyDescent="0.2">
      <c r="A1106" s="5">
        <v>1045</v>
      </c>
      <c r="B1106" s="138">
        <f>'Expenditures 15-22'!K14</f>
        <v>1937129</v>
      </c>
      <c r="C1106" s="2" t="s">
        <v>594</v>
      </c>
      <c r="D1106" s="2" t="str">
        <f t="shared" si="16"/>
        <v>Error?</v>
      </c>
    </row>
    <row r="1107" spans="1:4" x14ac:dyDescent="0.2">
      <c r="A1107" s="5">
        <v>1046</v>
      </c>
      <c r="B1107" s="138">
        <f>'Expenditures 15-22'!K15</f>
        <v>58455</v>
      </c>
      <c r="C1107" s="2" t="s">
        <v>594</v>
      </c>
      <c r="D1107" s="2" t="str">
        <f t="shared" si="16"/>
        <v>Error?</v>
      </c>
    </row>
    <row r="1108" spans="1:4" x14ac:dyDescent="0.2">
      <c r="A1108" s="5">
        <v>1047</v>
      </c>
      <c r="B1108" s="138">
        <f>'Expenditures 15-22'!K33</f>
        <v>22457112</v>
      </c>
      <c r="C1108" s="2" t="s">
        <v>594</v>
      </c>
      <c r="D1108" s="2" t="str">
        <f t="shared" si="16"/>
        <v>Error?</v>
      </c>
    </row>
    <row r="1109" spans="1:4" x14ac:dyDescent="0.2">
      <c r="A1109" s="5">
        <v>1048</v>
      </c>
      <c r="B1109" s="138">
        <f>'Expenditures 15-22'!K36</f>
        <v>1358056</v>
      </c>
      <c r="C1109" s="2" t="s">
        <v>594</v>
      </c>
      <c r="D1109" s="2" t="str">
        <f t="shared" si="16"/>
        <v>Error?</v>
      </c>
    </row>
    <row r="1110" spans="1:4" x14ac:dyDescent="0.2">
      <c r="A1110" s="5">
        <v>1049</v>
      </c>
      <c r="B1110" s="138">
        <f>'Expenditures 15-22'!K37</f>
        <v>1500514</v>
      </c>
      <c r="C1110" s="2" t="s">
        <v>594</v>
      </c>
      <c r="D1110" s="2" t="str">
        <f t="shared" si="16"/>
        <v>Error?</v>
      </c>
    </row>
    <row r="1111" spans="1:4" x14ac:dyDescent="0.2">
      <c r="A1111" s="5">
        <v>1050</v>
      </c>
      <c r="B1111" s="138">
        <f>'Expenditures 15-22'!K38</f>
        <v>358733</v>
      </c>
      <c r="C1111" s="2" t="s">
        <v>594</v>
      </c>
      <c r="D1111" s="2" t="str">
        <f t="shared" si="16"/>
        <v>Error?</v>
      </c>
    </row>
    <row r="1112" spans="1:4" x14ac:dyDescent="0.2">
      <c r="A1112" s="5">
        <v>1051</v>
      </c>
      <c r="B1112" s="138">
        <f>'Expenditures 15-22'!K39</f>
        <v>186139</v>
      </c>
      <c r="C1112" s="2" t="s">
        <v>594</v>
      </c>
      <c r="D1112" s="2" t="str">
        <f t="shared" si="16"/>
        <v>Error?</v>
      </c>
    </row>
    <row r="1113" spans="1:4" x14ac:dyDescent="0.2">
      <c r="A1113" s="5">
        <v>1052</v>
      </c>
      <c r="B1113" s="138">
        <f>'Expenditures 15-22'!K40</f>
        <v>108291</v>
      </c>
      <c r="C1113" s="2" t="s">
        <v>594</v>
      </c>
      <c r="D1113" s="2" t="str">
        <f t="shared" si="16"/>
        <v>Error?</v>
      </c>
    </row>
    <row r="1114" spans="1:4" x14ac:dyDescent="0.2">
      <c r="A1114" s="5">
        <v>1053</v>
      </c>
      <c r="B1114" s="138">
        <f>'Expenditures 15-22'!K41</f>
        <v>115233</v>
      </c>
      <c r="C1114" s="2" t="s">
        <v>594</v>
      </c>
      <c r="D1114" s="2" t="str">
        <f t="shared" si="16"/>
        <v>Error?</v>
      </c>
    </row>
    <row r="1115" spans="1:4" x14ac:dyDescent="0.2">
      <c r="A1115" s="5">
        <v>1054</v>
      </c>
      <c r="B1115" s="138">
        <f>'Expenditures 15-22'!K42</f>
        <v>3626966</v>
      </c>
      <c r="C1115" s="2" t="s">
        <v>594</v>
      </c>
      <c r="D1115" s="2" t="str">
        <f t="shared" si="16"/>
        <v>Error?</v>
      </c>
    </row>
    <row r="1116" spans="1:4" x14ac:dyDescent="0.2">
      <c r="A1116" s="5">
        <v>1055</v>
      </c>
      <c r="B1116" s="138">
        <f>'Expenditures 15-22'!K44</f>
        <v>1018522</v>
      </c>
      <c r="C1116" s="2" t="s">
        <v>594</v>
      </c>
      <c r="D1116" s="2" t="str">
        <f t="shared" si="16"/>
        <v>Error?</v>
      </c>
    </row>
    <row r="1117" spans="1:4" x14ac:dyDescent="0.2">
      <c r="A1117" s="5">
        <v>1056</v>
      </c>
      <c r="B1117" s="138">
        <f>'Expenditures 15-22'!K45</f>
        <v>1270865</v>
      </c>
      <c r="C1117" s="2" t="s">
        <v>594</v>
      </c>
      <c r="D1117" s="2" t="str">
        <f t="shared" si="16"/>
        <v>Error?</v>
      </c>
    </row>
    <row r="1118" spans="1:4" x14ac:dyDescent="0.2">
      <c r="A1118" s="5">
        <v>1057</v>
      </c>
      <c r="B1118" s="138">
        <f>'Expenditures 15-22'!K46</f>
        <v>229671</v>
      </c>
      <c r="C1118" s="2" t="s">
        <v>594</v>
      </c>
      <c r="D1118" s="2" t="str">
        <f t="shared" si="16"/>
        <v>Error?</v>
      </c>
    </row>
    <row r="1119" spans="1:4" x14ac:dyDescent="0.2">
      <c r="A1119" s="5">
        <v>1058</v>
      </c>
      <c r="B1119" s="138">
        <f>'Expenditures 15-22'!K47</f>
        <v>2519058</v>
      </c>
      <c r="C1119" s="2" t="s">
        <v>594</v>
      </c>
      <c r="D1119" s="2" t="str">
        <f t="shared" si="16"/>
        <v>Error?</v>
      </c>
    </row>
    <row r="1120" spans="1:4" x14ac:dyDescent="0.2">
      <c r="A1120" s="5">
        <v>1059</v>
      </c>
      <c r="B1120" s="138">
        <f>'Expenditures 15-22'!K49</f>
        <v>297348</v>
      </c>
      <c r="C1120" s="2" t="s">
        <v>594</v>
      </c>
      <c r="D1120" s="2" t="str">
        <f t="shared" si="16"/>
        <v>Error?</v>
      </c>
    </row>
    <row r="1121" spans="1:4" x14ac:dyDescent="0.2">
      <c r="A1121" s="5">
        <v>1060</v>
      </c>
      <c r="B1121" s="138">
        <f>'Expenditures 15-22'!K50</f>
        <v>627970</v>
      </c>
      <c r="C1121" s="2" t="s">
        <v>594</v>
      </c>
      <c r="D1121" s="2" t="str">
        <f t="shared" si="16"/>
        <v>Error?</v>
      </c>
    </row>
    <row r="1122" spans="1:4" x14ac:dyDescent="0.2">
      <c r="A1122" s="5">
        <v>1061</v>
      </c>
      <c r="B1122" s="138">
        <f>'Expenditures 15-22'!K53</f>
        <v>1304544</v>
      </c>
      <c r="C1122" s="2" t="s">
        <v>594</v>
      </c>
      <c r="D1122" s="2" t="str">
        <f t="shared" si="16"/>
        <v>Error?</v>
      </c>
    </row>
    <row r="1123" spans="1:4" x14ac:dyDescent="0.2">
      <c r="A1123" s="5">
        <v>1062</v>
      </c>
      <c r="B1123" s="138">
        <f>'Expenditures 15-22'!K55</f>
        <v>1337802</v>
      </c>
      <c r="C1123" s="2" t="s">
        <v>594</v>
      </c>
      <c r="D1123" s="2" t="str">
        <f t="shared" si="16"/>
        <v>Error?</v>
      </c>
    </row>
    <row r="1124" spans="1:4" x14ac:dyDescent="0.2">
      <c r="A1124" s="5">
        <v>1063</v>
      </c>
      <c r="B1124" s="138">
        <f>'Expenditures 15-22'!K56</f>
        <v>862121</v>
      </c>
      <c r="C1124" s="2" t="s">
        <v>594</v>
      </c>
      <c r="D1124" s="2" t="str">
        <f t="shared" si="16"/>
        <v>Error?</v>
      </c>
    </row>
    <row r="1125" spans="1:4" x14ac:dyDescent="0.2">
      <c r="A1125" s="5">
        <v>1064</v>
      </c>
      <c r="B1125" s="138">
        <f>'Expenditures 15-22'!K57</f>
        <v>2199923</v>
      </c>
      <c r="C1125" s="2" t="s">
        <v>594</v>
      </c>
      <c r="D1125" s="2" t="str">
        <f t="shared" si="16"/>
        <v>Error?</v>
      </c>
    </row>
    <row r="1126" spans="1:4" x14ac:dyDescent="0.2">
      <c r="A1126" s="5">
        <v>1065</v>
      </c>
      <c r="B1126" s="138">
        <f>'Expenditures 15-22'!K59</f>
        <v>347954</v>
      </c>
      <c r="C1126" s="2" t="s">
        <v>594</v>
      </c>
      <c r="D1126" s="2" t="str">
        <f t="shared" si="16"/>
        <v>Error?</v>
      </c>
    </row>
    <row r="1127" spans="1:4" x14ac:dyDescent="0.2">
      <c r="A1127" s="5">
        <v>1066</v>
      </c>
      <c r="B1127" s="138">
        <f>'Expenditures 15-22'!K60</f>
        <v>374899</v>
      </c>
      <c r="C1127" s="2" t="s">
        <v>594</v>
      </c>
      <c r="D1127" s="2" t="str">
        <f t="shared" si="16"/>
        <v>Error?</v>
      </c>
    </row>
    <row r="1128" spans="1:4" x14ac:dyDescent="0.2">
      <c r="A1128" s="5">
        <v>1067</v>
      </c>
      <c r="B1128" s="138">
        <f>'Expenditures 15-22'!K61</f>
        <v>427024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1419335</v>
      </c>
      <c r="C1130" s="2" t="s">
        <v>594</v>
      </c>
      <c r="D1130" s="2" t="str">
        <f t="shared" si="16"/>
        <v>Error?</v>
      </c>
    </row>
    <row r="1131" spans="1:4" x14ac:dyDescent="0.2">
      <c r="A1131" s="5">
        <v>1070</v>
      </c>
      <c r="B1131" s="138">
        <f>'Expenditures 15-22'!K64</f>
        <v>249305</v>
      </c>
      <c r="C1131" s="2" t="s">
        <v>594</v>
      </c>
      <c r="D1131" s="2" t="str">
        <f t="shared" si="16"/>
        <v>Error?</v>
      </c>
    </row>
    <row r="1132" spans="1:4" x14ac:dyDescent="0.2">
      <c r="A1132" s="10">
        <v>1071</v>
      </c>
      <c r="D1132" s="2" t="str">
        <f t="shared" si="16"/>
        <v>OK</v>
      </c>
    </row>
    <row r="1133" spans="1:4" x14ac:dyDescent="0.2">
      <c r="A1133" s="5">
        <v>1072</v>
      </c>
      <c r="B1133" s="138">
        <f>'Expenditures 15-22'!K65</f>
        <v>2818517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77488</v>
      </c>
      <c r="C1135" s="2" t="s">
        <v>594</v>
      </c>
      <c r="D1135" s="2" t="str">
        <f t="shared" si="16"/>
        <v>Error?</v>
      </c>
    </row>
    <row r="1136" spans="1:4" x14ac:dyDescent="0.2">
      <c r="A1136" s="5">
        <v>1075</v>
      </c>
      <c r="B1136" s="138">
        <f>'Expenditures 15-22'!K69</f>
        <v>147637</v>
      </c>
      <c r="C1136" s="2" t="s">
        <v>594</v>
      </c>
      <c r="D1136" s="2" t="str">
        <f t="shared" si="16"/>
        <v>Error?</v>
      </c>
    </row>
    <row r="1137" spans="1:4" x14ac:dyDescent="0.2">
      <c r="A1137" s="5">
        <v>1076</v>
      </c>
      <c r="B1137" s="138">
        <f>'Expenditures 15-22'!K70</f>
        <v>270970</v>
      </c>
      <c r="C1137" s="2" t="s">
        <v>594</v>
      </c>
      <c r="D1137" s="2" t="str">
        <f t="shared" si="16"/>
        <v>Error?</v>
      </c>
    </row>
    <row r="1138" spans="1:4" x14ac:dyDescent="0.2">
      <c r="A1138" s="10">
        <v>1077</v>
      </c>
      <c r="D1138" s="2" t="str">
        <f t="shared" si="16"/>
        <v>OK</v>
      </c>
    </row>
    <row r="1139" spans="1:4" x14ac:dyDescent="0.2">
      <c r="A1139" s="5">
        <v>1078</v>
      </c>
      <c r="B1139" s="138">
        <f>'Expenditures 15-22'!K71</f>
        <v>232398</v>
      </c>
      <c r="C1139" s="2" t="s">
        <v>594</v>
      </c>
      <c r="D1139" s="2" t="str">
        <f t="shared" si="16"/>
        <v>Error?</v>
      </c>
    </row>
    <row r="1140" spans="1:4" x14ac:dyDescent="0.2">
      <c r="A1140" s="10">
        <v>1079</v>
      </c>
      <c r="D1140" s="2" t="str">
        <f t="shared" si="16"/>
        <v>OK</v>
      </c>
    </row>
    <row r="1141" spans="1:4" x14ac:dyDescent="0.2">
      <c r="A1141" s="5">
        <v>1080</v>
      </c>
      <c r="B1141" s="138">
        <f>'Expenditures 15-22'!K72</f>
        <v>728493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13197501</v>
      </c>
      <c r="C1143" s="2" t="s">
        <v>594</v>
      </c>
      <c r="D1143" s="2" t="str">
        <f t="shared" si="16"/>
        <v>Error?</v>
      </c>
    </row>
    <row r="1144" spans="1:4" x14ac:dyDescent="0.2">
      <c r="A1144" s="5">
        <v>1083</v>
      </c>
      <c r="B1144" s="138">
        <f>'Expenditures 15-22'!K75</f>
        <v>369</v>
      </c>
      <c r="C1144" s="2" t="s">
        <v>594</v>
      </c>
      <c r="D1144" s="2" t="str">
        <f t="shared" si="16"/>
        <v>Error?</v>
      </c>
    </row>
    <row r="1145" spans="1:4" x14ac:dyDescent="0.2">
      <c r="A1145" s="5">
        <v>1084</v>
      </c>
      <c r="B1145" s="138">
        <f>'Expenditures 15-22'!K102</f>
        <v>1753481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37408463</v>
      </c>
      <c r="C1152" s="2" t="s">
        <v>594</v>
      </c>
      <c r="D1152" s="2" t="str">
        <f t="shared" si="17"/>
        <v>Error?</v>
      </c>
    </row>
    <row r="1153" spans="1:4" x14ac:dyDescent="0.2">
      <c r="A1153" s="5">
        <v>1092</v>
      </c>
      <c r="B1153" s="138">
        <f>'Expenditures 15-22'!K115</f>
        <v>2277683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1972412</v>
      </c>
      <c r="D1221" s="2" t="str">
        <f t="shared" si="18"/>
        <v>Error?</v>
      </c>
    </row>
    <row r="1222" spans="1:4" x14ac:dyDescent="0.2">
      <c r="A1222" s="10">
        <v>1161</v>
      </c>
      <c r="D1222" s="2" t="str">
        <f t="shared" si="18"/>
        <v>OK</v>
      </c>
    </row>
    <row r="1223" spans="1:4" x14ac:dyDescent="0.2">
      <c r="A1223" s="5">
        <v>1162</v>
      </c>
      <c r="B1223" s="138">
        <f>'Expenditures 15-22'!C127</f>
        <v>1972412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1972412</v>
      </c>
      <c r="C1225" s="2" t="s">
        <v>594</v>
      </c>
      <c r="D1225" s="2" t="str">
        <f t="shared" si="18"/>
        <v>Error?</v>
      </c>
    </row>
    <row r="1226" spans="1:4" x14ac:dyDescent="0.2">
      <c r="A1226" s="5">
        <v>1165</v>
      </c>
      <c r="B1226" s="138">
        <f>'Expenditures 15-22'!C151</f>
        <v>1972412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578643</v>
      </c>
      <c r="D1229" s="2" t="str">
        <f t="shared" si="18"/>
        <v>Error?</v>
      </c>
    </row>
    <row r="1230" spans="1:4" x14ac:dyDescent="0.2">
      <c r="A1230" s="10">
        <v>1169</v>
      </c>
      <c r="D1230" s="2" t="str">
        <f t="shared" si="18"/>
        <v>OK</v>
      </c>
    </row>
    <row r="1231" spans="1:4" x14ac:dyDescent="0.2">
      <c r="A1231" s="5">
        <v>1170</v>
      </c>
      <c r="B1231" s="138">
        <f>'Expenditures 15-22'!D127</f>
        <v>578643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578643</v>
      </c>
      <c r="C1233" s="2" t="s">
        <v>594</v>
      </c>
      <c r="D1233" s="2" t="str">
        <f t="shared" si="18"/>
        <v>Error?</v>
      </c>
    </row>
    <row r="1234" spans="1:4" x14ac:dyDescent="0.2">
      <c r="A1234" s="5">
        <v>1173</v>
      </c>
      <c r="B1234" s="138">
        <f>'Expenditures 15-22'!D151</f>
        <v>578643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905743</v>
      </c>
      <c r="D1237" s="2" t="str">
        <f t="shared" si="18"/>
        <v>Error?</v>
      </c>
    </row>
    <row r="1238" spans="1:4" x14ac:dyDescent="0.2">
      <c r="A1238" s="10">
        <v>1177</v>
      </c>
      <c r="D1238" s="2" t="str">
        <f t="shared" si="18"/>
        <v>OK</v>
      </c>
    </row>
    <row r="1239" spans="1:4" x14ac:dyDescent="0.2">
      <c r="A1239" s="5">
        <v>1178</v>
      </c>
      <c r="B1239" s="138">
        <f>'Expenditures 15-22'!E127</f>
        <v>905743</v>
      </c>
      <c r="C1239" s="2" t="s">
        <v>594</v>
      </c>
      <c r="D1239" s="2" t="str">
        <f t="shared" si="18"/>
        <v>Error?</v>
      </c>
    </row>
    <row r="1240" spans="1:4" x14ac:dyDescent="0.2">
      <c r="A1240" s="5">
        <v>1179</v>
      </c>
      <c r="B1240" s="138">
        <f>'Expenditures 15-22'!E128</f>
        <v>1840</v>
      </c>
      <c r="D1240" s="2" t="str">
        <f t="shared" si="18"/>
        <v>Error?</v>
      </c>
    </row>
    <row r="1241" spans="1:4" x14ac:dyDescent="0.2">
      <c r="A1241" s="5">
        <v>1180</v>
      </c>
      <c r="B1241" s="138">
        <f>'Expenditures 15-22'!E129</f>
        <v>907583</v>
      </c>
      <c r="C1241" s="2" t="s">
        <v>594</v>
      </c>
      <c r="D1241" s="2" t="str">
        <f t="shared" si="18"/>
        <v>Error?</v>
      </c>
    </row>
    <row r="1242" spans="1:4" x14ac:dyDescent="0.2">
      <c r="A1242" s="5">
        <v>1181</v>
      </c>
      <c r="B1242" s="138">
        <f>'Expenditures 15-22'!E151</f>
        <v>907583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903060</v>
      </c>
      <c r="D1245" s="2" t="str">
        <f t="shared" si="18"/>
        <v>Error?</v>
      </c>
    </row>
    <row r="1246" spans="1:4" x14ac:dyDescent="0.2">
      <c r="A1246" s="10">
        <v>1185</v>
      </c>
      <c r="D1246" s="2" t="str">
        <f t="shared" si="18"/>
        <v>OK</v>
      </c>
    </row>
    <row r="1247" spans="1:4" x14ac:dyDescent="0.2">
      <c r="A1247" s="5">
        <v>1186</v>
      </c>
      <c r="B1247" s="138">
        <f>'Expenditures 15-22'!F127</f>
        <v>903060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903060</v>
      </c>
      <c r="C1249" s="2" t="s">
        <v>594</v>
      </c>
      <c r="D1249" s="2" t="str">
        <f t="shared" si="18"/>
        <v>Error?</v>
      </c>
    </row>
    <row r="1250" spans="1:4" x14ac:dyDescent="0.2">
      <c r="A1250" s="5">
        <v>1189</v>
      </c>
      <c r="B1250" s="138">
        <f>'Expenditures 15-22'!F151</f>
        <v>903060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12875</v>
      </c>
      <c r="D1252" s="2" t="str">
        <f t="shared" si="18"/>
        <v>Error?</v>
      </c>
    </row>
    <row r="1253" spans="1:4" x14ac:dyDescent="0.2">
      <c r="A1253" s="5">
        <v>1192</v>
      </c>
      <c r="B1253" s="138">
        <f>'Expenditures 15-22'!G124</f>
        <v>44726</v>
      </c>
      <c r="D1253" s="2" t="str">
        <f t="shared" si="18"/>
        <v>Error?</v>
      </c>
    </row>
    <row r="1254" spans="1:4" x14ac:dyDescent="0.2">
      <c r="A1254" s="5">
        <v>1193</v>
      </c>
      <c r="B1254" s="138">
        <f>'Expenditures 15-22'!G126</f>
        <v>8181</v>
      </c>
      <c r="D1254" s="2" t="str">
        <f t="shared" si="18"/>
        <v>Error?</v>
      </c>
    </row>
    <row r="1255" spans="1:4" x14ac:dyDescent="0.2">
      <c r="A1255" s="10">
        <v>1194</v>
      </c>
      <c r="D1255" s="2" t="str">
        <f t="shared" si="18"/>
        <v>OK</v>
      </c>
    </row>
    <row r="1256" spans="1:4" x14ac:dyDescent="0.2">
      <c r="A1256" s="5">
        <v>1195</v>
      </c>
      <c r="B1256" s="138">
        <f>'Expenditures 15-22'!G127</f>
        <v>65782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65782</v>
      </c>
      <c r="C1258" s="2" t="s">
        <v>594</v>
      </c>
      <c r="D1258" s="2" t="str">
        <f t="shared" si="18"/>
        <v>Error?</v>
      </c>
    </row>
    <row r="1259" spans="1:4" x14ac:dyDescent="0.2">
      <c r="A1259" s="5">
        <v>1198</v>
      </c>
      <c r="B1259" s="138">
        <f>'Expenditures 15-22'!G151</f>
        <v>65782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728</v>
      </c>
      <c r="D1262" s="2" t="str">
        <f t="shared" si="18"/>
        <v>Error?</v>
      </c>
    </row>
    <row r="1263" spans="1:4" x14ac:dyDescent="0.2">
      <c r="A1263" s="10">
        <v>1202</v>
      </c>
      <c r="D1263" s="2" t="str">
        <f t="shared" si="18"/>
        <v>OK</v>
      </c>
    </row>
    <row r="1264" spans="1:4" x14ac:dyDescent="0.2">
      <c r="A1264" s="5">
        <v>1203</v>
      </c>
      <c r="B1264" s="138">
        <f>'Expenditures 15-22'!H127</f>
        <v>728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728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728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12875</v>
      </c>
      <c r="C1275" s="2" t="s">
        <v>594</v>
      </c>
      <c r="D1275" s="2" t="str">
        <f t="shared" si="18"/>
        <v>Error?</v>
      </c>
    </row>
    <row r="1276" spans="1:4" x14ac:dyDescent="0.2">
      <c r="A1276" s="5">
        <v>1215</v>
      </c>
      <c r="B1276" s="138">
        <f>'Expenditures 15-22'!K124</f>
        <v>4411523</v>
      </c>
      <c r="C1276" s="2" t="s">
        <v>594</v>
      </c>
      <c r="D1276" s="2" t="str">
        <f t="shared" si="18"/>
        <v>Error?</v>
      </c>
    </row>
    <row r="1277" spans="1:4" x14ac:dyDescent="0.2">
      <c r="A1277" s="5">
        <v>1216</v>
      </c>
      <c r="B1277" s="138">
        <f>'Expenditures 15-22'!K126</f>
        <v>8181</v>
      </c>
      <c r="C1277" s="2" t="s">
        <v>594</v>
      </c>
      <c r="D1277" s="2" t="str">
        <f t="shared" si="18"/>
        <v>Error?</v>
      </c>
    </row>
    <row r="1278" spans="1:4" x14ac:dyDescent="0.2">
      <c r="A1278" s="10">
        <v>1217</v>
      </c>
      <c r="D1278" s="2" t="str">
        <f t="shared" si="18"/>
        <v>OK</v>
      </c>
    </row>
    <row r="1279" spans="1:4" x14ac:dyDescent="0.2">
      <c r="A1279" s="5">
        <v>1218</v>
      </c>
      <c r="B1279" s="138">
        <f>'Expenditures 15-22'!K127</f>
        <v>4432579</v>
      </c>
      <c r="C1279" s="2" t="s">
        <v>594</v>
      </c>
      <c r="D1279" s="2" t="str">
        <f t="shared" ref="D1279:D1342" si="19">IF(ISBLANK(B1279),"OK",IF(A1279-B1279=0,"OK","Error?"))</f>
        <v>Error?</v>
      </c>
    </row>
    <row r="1280" spans="1:4" x14ac:dyDescent="0.2">
      <c r="A1280" s="5">
        <v>1219</v>
      </c>
      <c r="B1280" s="138">
        <f>'Expenditures 15-22'!K128</f>
        <v>1840</v>
      </c>
      <c r="C1280" s="2" t="s">
        <v>594</v>
      </c>
      <c r="D1280" s="2" t="str">
        <f t="shared" si="19"/>
        <v>Error?</v>
      </c>
    </row>
    <row r="1281" spans="1:4" x14ac:dyDescent="0.2">
      <c r="A1281" s="5">
        <v>1220</v>
      </c>
      <c r="B1281" s="138">
        <f>'Expenditures 15-22'!K129</f>
        <v>4434419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4434419</v>
      </c>
      <c r="C1288" s="2" t="s">
        <v>594</v>
      </c>
      <c r="D1288" s="2" t="str">
        <f t="shared" si="19"/>
        <v>Error?</v>
      </c>
    </row>
    <row r="1289" spans="1:4" x14ac:dyDescent="0.2">
      <c r="A1289" s="5">
        <v>1228</v>
      </c>
      <c r="B1289" s="138">
        <f>'Expenditures 15-22'!K152</f>
        <v>1069900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1161952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5473765</v>
      </c>
      <c r="D1315" s="2" t="str">
        <f t="shared" si="19"/>
        <v>Error?</v>
      </c>
    </row>
    <row r="1316" spans="1:4" x14ac:dyDescent="0.2">
      <c r="A1316" s="5">
        <v>1255</v>
      </c>
      <c r="B1316" s="138">
        <f>'Expenditures 15-22'!H171</f>
        <v>1425</v>
      </c>
      <c r="D1316" s="2" t="str">
        <f t="shared" si="19"/>
        <v>Error?</v>
      </c>
    </row>
    <row r="1317" spans="1:4" x14ac:dyDescent="0.2">
      <c r="A1317" s="5">
        <v>1256</v>
      </c>
      <c r="B1317" s="138">
        <f>'Expenditures 15-22'!H172</f>
        <v>6637142</v>
      </c>
      <c r="C1317" s="2" t="s">
        <v>594</v>
      </c>
      <c r="D1317" s="2" t="str">
        <f t="shared" si="19"/>
        <v>Error?</v>
      </c>
    </row>
    <row r="1318" spans="1:4" x14ac:dyDescent="0.2">
      <c r="A1318" s="5">
        <v>1257</v>
      </c>
      <c r="B1318" s="138">
        <f>'Expenditures 15-22'!H174</f>
        <v>6637142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1161952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5473765</v>
      </c>
      <c r="C1329" s="2" t="s">
        <v>594</v>
      </c>
      <c r="D1329" s="2" t="str">
        <f t="shared" si="19"/>
        <v>Error?</v>
      </c>
    </row>
    <row r="1330" spans="1:4" x14ac:dyDescent="0.2">
      <c r="A1330" s="5">
        <v>1269</v>
      </c>
      <c r="B1330" s="138">
        <f>'Expenditures 15-22'!K171</f>
        <v>1425</v>
      </c>
      <c r="C1330" s="2" t="s">
        <v>594</v>
      </c>
      <c r="D1330" s="2" t="str">
        <f t="shared" si="19"/>
        <v>Error?</v>
      </c>
    </row>
    <row r="1331" spans="1:4" x14ac:dyDescent="0.2">
      <c r="A1331" s="5">
        <v>1270</v>
      </c>
      <c r="B1331" s="138">
        <f>'Expenditures 15-22'!K172</f>
        <v>6637142</v>
      </c>
      <c r="C1331" s="2" t="s">
        <v>594</v>
      </c>
      <c r="D1331" s="2" t="str">
        <f t="shared" si="19"/>
        <v>Error?</v>
      </c>
    </row>
    <row r="1332" spans="1:4" x14ac:dyDescent="0.2">
      <c r="A1332" s="5">
        <v>1271</v>
      </c>
      <c r="B1332" s="138">
        <f>'Expenditures 15-22'!K174</f>
        <v>6637142</v>
      </c>
      <c r="C1332" s="2" t="s">
        <v>594</v>
      </c>
      <c r="D1332" s="2" t="str">
        <f t="shared" si="19"/>
        <v>Error?</v>
      </c>
    </row>
    <row r="1333" spans="1:4" x14ac:dyDescent="0.2">
      <c r="A1333" s="5">
        <v>1272</v>
      </c>
      <c r="B1333" s="138">
        <f>'Expenditures 15-22'!K175</f>
        <v>-605666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1969060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1969060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1969060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366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366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49704</v>
      </c>
      <c r="C1375" s="2" t="s">
        <v>594</v>
      </c>
      <c r="D1375" s="2" t="str">
        <f t="shared" si="20"/>
        <v>Error?</v>
      </c>
    </row>
    <row r="1376" spans="1:4" x14ac:dyDescent="0.2">
      <c r="A1376" s="5">
        <v>1315</v>
      </c>
      <c r="B1376" s="138">
        <f>'Expenditures 15-22'!H210</f>
        <v>50070</v>
      </c>
      <c r="C1376" s="2" t="s">
        <v>594</v>
      </c>
      <c r="D1376" s="2" t="str">
        <f t="shared" si="20"/>
        <v>Error?</v>
      </c>
    </row>
    <row r="1377" spans="1:4" x14ac:dyDescent="0.2">
      <c r="A1377" s="5">
        <v>1316</v>
      </c>
      <c r="B1377" s="138">
        <f>'Expenditures 15-22'!K182</f>
        <v>1969426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1969426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49704</v>
      </c>
      <c r="C1387" s="2" t="s">
        <v>594</v>
      </c>
      <c r="D1387" s="2" t="str">
        <f t="shared" si="20"/>
        <v>Error?</v>
      </c>
    </row>
    <row r="1388" spans="1:4" x14ac:dyDescent="0.2">
      <c r="A1388" s="5">
        <v>1327</v>
      </c>
      <c r="B1388" s="138">
        <f>'Expenditures 15-22'!K210</f>
        <v>2019130</v>
      </c>
      <c r="C1388" s="2" t="s">
        <v>594</v>
      </c>
      <c r="D1388" s="2" t="str">
        <f t="shared" si="20"/>
        <v>Error?</v>
      </c>
    </row>
    <row r="1389" spans="1:4" x14ac:dyDescent="0.2">
      <c r="A1389" s="5">
        <v>1328</v>
      </c>
      <c r="B1389" s="138">
        <f>'Expenditures 15-22'!K211</f>
        <v>170213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3993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19434</v>
      </c>
      <c r="D1407" s="2" t="str">
        <f t="shared" ref="D1407:D1470" si="21">IF(ISBLANK(B1407),"OK",IF(A1407-B1407=0,"OK","Error?"))</f>
        <v>Error?</v>
      </c>
    </row>
    <row r="1408" spans="1:4" x14ac:dyDescent="0.2">
      <c r="A1408" s="5">
        <v>1347</v>
      </c>
      <c r="B1408" s="138">
        <f>'Expenditures 15-22'!D223</f>
        <v>61353</v>
      </c>
      <c r="D1408" s="2" t="str">
        <f t="shared" si="21"/>
        <v>Error?</v>
      </c>
    </row>
    <row r="1409" spans="1:4" x14ac:dyDescent="0.2">
      <c r="A1409" s="5">
        <v>1348</v>
      </c>
      <c r="B1409" s="138">
        <f>'Expenditures 15-22'!D224</f>
        <v>811</v>
      </c>
      <c r="D1409" s="2" t="str">
        <f t="shared" si="21"/>
        <v>Error?</v>
      </c>
    </row>
    <row r="1410" spans="1:4" x14ac:dyDescent="0.2">
      <c r="A1410" s="5">
        <v>1349</v>
      </c>
      <c r="B1410" s="138">
        <f>'Expenditures 15-22'!D229</f>
        <v>427201</v>
      </c>
      <c r="C1410" s="2" t="s">
        <v>594</v>
      </c>
      <c r="D1410" s="2" t="str">
        <f t="shared" si="21"/>
        <v>Error?</v>
      </c>
    </row>
    <row r="1411" spans="1:4" x14ac:dyDescent="0.2">
      <c r="A1411" s="5">
        <v>1350</v>
      </c>
      <c r="B1411" s="138">
        <f>'Expenditures 15-22'!D232</f>
        <v>56528</v>
      </c>
      <c r="D1411" s="2" t="str">
        <f t="shared" si="21"/>
        <v>Error?</v>
      </c>
    </row>
    <row r="1412" spans="1:4" x14ac:dyDescent="0.2">
      <c r="A1412" s="5">
        <v>1351</v>
      </c>
      <c r="B1412" s="138">
        <f>'Expenditures 15-22'!D233</f>
        <v>62486</v>
      </c>
      <c r="D1412" s="2" t="str">
        <f t="shared" si="21"/>
        <v>Error?</v>
      </c>
    </row>
    <row r="1413" spans="1:4" x14ac:dyDescent="0.2">
      <c r="A1413" s="5">
        <v>1352</v>
      </c>
      <c r="B1413" s="138">
        <f>'Expenditures 15-22'!D234</f>
        <v>12322</v>
      </c>
      <c r="D1413" s="2" t="str">
        <f t="shared" si="21"/>
        <v>Error?</v>
      </c>
    </row>
    <row r="1414" spans="1:4" x14ac:dyDescent="0.2">
      <c r="A1414" s="5">
        <v>1353</v>
      </c>
      <c r="B1414" s="138">
        <f>'Expenditures 15-22'!D235</f>
        <v>2212</v>
      </c>
      <c r="D1414" s="2" t="str">
        <f t="shared" si="21"/>
        <v>Error?</v>
      </c>
    </row>
    <row r="1415" spans="1:4" x14ac:dyDescent="0.2">
      <c r="A1415" s="5">
        <v>1354</v>
      </c>
      <c r="B1415" s="138">
        <f>'Expenditures 15-22'!D236</f>
        <v>1162</v>
      </c>
      <c r="D1415" s="2" t="str">
        <f t="shared" si="21"/>
        <v>Error?</v>
      </c>
    </row>
    <row r="1416" spans="1:4" x14ac:dyDescent="0.2">
      <c r="A1416" s="5">
        <v>1355</v>
      </c>
      <c r="B1416" s="138">
        <f>'Expenditures 15-22'!D237</f>
        <v>1726</v>
      </c>
      <c r="D1416" s="2" t="str">
        <f t="shared" si="21"/>
        <v>Error?</v>
      </c>
    </row>
    <row r="1417" spans="1:4" x14ac:dyDescent="0.2">
      <c r="A1417" s="5">
        <v>1356</v>
      </c>
      <c r="B1417" s="138">
        <f>'Expenditures 15-22'!D238</f>
        <v>136436</v>
      </c>
      <c r="C1417" s="2" t="s">
        <v>594</v>
      </c>
      <c r="D1417" s="2" t="str">
        <f t="shared" si="21"/>
        <v>Error?</v>
      </c>
    </row>
    <row r="1418" spans="1:4" x14ac:dyDescent="0.2">
      <c r="A1418" s="5">
        <v>1357</v>
      </c>
      <c r="B1418" s="138">
        <f>'Expenditures 15-22'!D240</f>
        <v>11217</v>
      </c>
      <c r="D1418" s="2" t="str">
        <f t="shared" si="21"/>
        <v>Error?</v>
      </c>
    </row>
    <row r="1419" spans="1:4" x14ac:dyDescent="0.2">
      <c r="A1419" s="5">
        <v>1358</v>
      </c>
      <c r="B1419" s="138">
        <f>'Expenditures 15-22'!D241</f>
        <v>98313</v>
      </c>
      <c r="D1419" s="2" t="str">
        <f t="shared" si="21"/>
        <v>Error?</v>
      </c>
    </row>
    <row r="1420" spans="1:4" x14ac:dyDescent="0.2">
      <c r="A1420" s="5">
        <v>1359</v>
      </c>
      <c r="B1420" s="138">
        <f>'Expenditures 15-22'!D242</f>
        <v>1082</v>
      </c>
      <c r="D1420" s="2" t="str">
        <f t="shared" si="21"/>
        <v>Error?</v>
      </c>
    </row>
    <row r="1421" spans="1:4" x14ac:dyDescent="0.2">
      <c r="A1421" s="5">
        <v>1360</v>
      </c>
      <c r="B1421" s="138">
        <f>'Expenditures 15-22'!D243</f>
        <v>110612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42825</v>
      </c>
      <c r="D1423" s="2" t="str">
        <f t="shared" si="21"/>
        <v>Error?</v>
      </c>
    </row>
    <row r="1424" spans="1:4" x14ac:dyDescent="0.2">
      <c r="A1424" s="5">
        <v>1363</v>
      </c>
      <c r="B1424" s="138">
        <f>'Expenditures 15-22'!D257</f>
        <v>43385</v>
      </c>
      <c r="C1424" s="2" t="s">
        <v>594</v>
      </c>
      <c r="D1424" s="2" t="str">
        <f t="shared" si="21"/>
        <v>Error?</v>
      </c>
    </row>
    <row r="1425" spans="1:4" x14ac:dyDescent="0.2">
      <c r="A1425" s="5">
        <v>1364</v>
      </c>
      <c r="B1425" s="138">
        <f>'Expenditures 15-22'!D259</f>
        <v>68577</v>
      </c>
      <c r="D1425" s="2" t="str">
        <f t="shared" si="21"/>
        <v>Error?</v>
      </c>
    </row>
    <row r="1426" spans="1:4" x14ac:dyDescent="0.2">
      <c r="A1426" s="5">
        <v>1365</v>
      </c>
      <c r="B1426" s="138">
        <f>'Expenditures 15-22'!D260</f>
        <v>39555</v>
      </c>
      <c r="D1426" s="2" t="str">
        <f t="shared" si="21"/>
        <v>Error?</v>
      </c>
    </row>
    <row r="1427" spans="1:4" x14ac:dyDescent="0.2">
      <c r="A1427" s="5">
        <v>1366</v>
      </c>
      <c r="B1427" s="138">
        <f>'Expenditures 15-22'!D261</f>
        <v>108132</v>
      </c>
      <c r="C1427" s="2" t="s">
        <v>594</v>
      </c>
      <c r="D1427" s="2" t="str">
        <f t="shared" si="21"/>
        <v>Error?</v>
      </c>
    </row>
    <row r="1428" spans="1:4" x14ac:dyDescent="0.2">
      <c r="A1428" s="5">
        <v>1367</v>
      </c>
      <c r="B1428" s="138">
        <f>'Expenditures 15-22'!D263</f>
        <v>17394</v>
      </c>
      <c r="D1428" s="2" t="str">
        <f t="shared" si="21"/>
        <v>Error?</v>
      </c>
    </row>
    <row r="1429" spans="1:4" x14ac:dyDescent="0.2">
      <c r="A1429" s="5">
        <v>1368</v>
      </c>
      <c r="B1429" s="138">
        <f>'Expenditures 15-22'!D264</f>
        <v>67029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429675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22407</v>
      </c>
      <c r="D1434" s="2" t="str">
        <f t="shared" si="21"/>
        <v>Error?</v>
      </c>
    </row>
    <row r="1435" spans="1:4" x14ac:dyDescent="0.2">
      <c r="A1435" s="10">
        <v>1374</v>
      </c>
      <c r="D1435" s="2" t="str">
        <f t="shared" si="21"/>
        <v>OK</v>
      </c>
    </row>
    <row r="1436" spans="1:4" x14ac:dyDescent="0.2">
      <c r="A1436" s="5">
        <v>1375</v>
      </c>
      <c r="B1436" s="138">
        <f>'Expenditures 15-22'!D270</f>
        <v>536505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11715</v>
      </c>
      <c r="D1438" s="2" t="str">
        <f t="shared" si="21"/>
        <v>Error?</v>
      </c>
    </row>
    <row r="1439" spans="1:4" x14ac:dyDescent="0.2">
      <c r="A1439" s="5">
        <v>1378</v>
      </c>
      <c r="B1439" s="138">
        <f>'Expenditures 15-22'!D274</f>
        <v>25856</v>
      </c>
      <c r="D1439" s="2" t="str">
        <f t="shared" si="21"/>
        <v>Error?</v>
      </c>
    </row>
    <row r="1440" spans="1:4" x14ac:dyDescent="0.2">
      <c r="A1440" s="5">
        <v>1379</v>
      </c>
      <c r="B1440" s="138">
        <f>'Expenditures 15-22'!D275</f>
        <v>27434</v>
      </c>
      <c r="D1440" s="2" t="str">
        <f t="shared" si="21"/>
        <v>Error?</v>
      </c>
    </row>
    <row r="1441" spans="1:4" x14ac:dyDescent="0.2">
      <c r="A1441" s="10">
        <v>1380</v>
      </c>
      <c r="D1441" s="2" t="str">
        <f t="shared" si="21"/>
        <v>OK</v>
      </c>
    </row>
    <row r="1442" spans="1:4" x14ac:dyDescent="0.2">
      <c r="A1442" s="5">
        <v>1381</v>
      </c>
      <c r="B1442" s="138">
        <f>'Expenditures 15-22'!D276</f>
        <v>27908</v>
      </c>
      <c r="D1442" s="2" t="str">
        <f t="shared" si="21"/>
        <v>Error?</v>
      </c>
    </row>
    <row r="1443" spans="1:4" x14ac:dyDescent="0.2">
      <c r="A1443" s="10">
        <v>1382</v>
      </c>
      <c r="D1443" s="2" t="str">
        <f t="shared" si="21"/>
        <v>OK</v>
      </c>
    </row>
    <row r="1444" spans="1:4" x14ac:dyDescent="0.2">
      <c r="A1444" s="5">
        <v>1383</v>
      </c>
      <c r="B1444" s="138">
        <f>'Expenditures 15-22'!D277</f>
        <v>92913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1027983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1455184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3993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19434</v>
      </c>
      <c r="C1471" s="2" t="s">
        <v>594</v>
      </c>
      <c r="D1471" s="2" t="str">
        <f t="shared" ref="D1471:D1534" si="22">IF(ISBLANK(B1471),"OK",IF(A1471-B1471=0,"OK","Error?"))</f>
        <v>Error?</v>
      </c>
    </row>
    <row r="1472" spans="1:4" x14ac:dyDescent="0.2">
      <c r="A1472" s="5">
        <v>1411</v>
      </c>
      <c r="B1472" s="138">
        <f>'Expenditures 15-22'!K223</f>
        <v>61353</v>
      </c>
      <c r="C1472" s="2" t="s">
        <v>594</v>
      </c>
      <c r="D1472" s="2" t="str">
        <f t="shared" si="22"/>
        <v>Error?</v>
      </c>
    </row>
    <row r="1473" spans="1:4" x14ac:dyDescent="0.2">
      <c r="A1473" s="5">
        <v>1412</v>
      </c>
      <c r="B1473" s="138">
        <f>'Expenditures 15-22'!K224</f>
        <v>811</v>
      </c>
      <c r="C1473" s="2" t="s">
        <v>594</v>
      </c>
      <c r="D1473" s="2" t="str">
        <f t="shared" si="22"/>
        <v>Error?</v>
      </c>
    </row>
    <row r="1474" spans="1:4" x14ac:dyDescent="0.2">
      <c r="A1474" s="5">
        <v>1413</v>
      </c>
      <c r="B1474" s="138">
        <f>'Expenditures 15-22'!K229</f>
        <v>427201</v>
      </c>
      <c r="C1474" s="2" t="s">
        <v>594</v>
      </c>
      <c r="D1474" s="2" t="str">
        <f t="shared" si="22"/>
        <v>Error?</v>
      </c>
    </row>
    <row r="1475" spans="1:4" x14ac:dyDescent="0.2">
      <c r="A1475" s="5">
        <v>1414</v>
      </c>
      <c r="B1475" s="138">
        <f>'Expenditures 15-22'!K232</f>
        <v>56528</v>
      </c>
      <c r="C1475" s="2" t="s">
        <v>594</v>
      </c>
      <c r="D1475" s="2" t="str">
        <f t="shared" si="22"/>
        <v>Error?</v>
      </c>
    </row>
    <row r="1476" spans="1:4" x14ac:dyDescent="0.2">
      <c r="A1476" s="5">
        <v>1415</v>
      </c>
      <c r="B1476" s="138">
        <f>'Expenditures 15-22'!K233</f>
        <v>62486</v>
      </c>
      <c r="C1476" s="2" t="s">
        <v>594</v>
      </c>
      <c r="D1476" s="2" t="str">
        <f t="shared" si="22"/>
        <v>Error?</v>
      </c>
    </row>
    <row r="1477" spans="1:4" x14ac:dyDescent="0.2">
      <c r="A1477" s="5">
        <v>1416</v>
      </c>
      <c r="B1477" s="138">
        <f>'Expenditures 15-22'!K234</f>
        <v>12322</v>
      </c>
      <c r="C1477" s="2" t="s">
        <v>594</v>
      </c>
      <c r="D1477" s="2" t="str">
        <f t="shared" si="22"/>
        <v>Error?</v>
      </c>
    </row>
    <row r="1478" spans="1:4" x14ac:dyDescent="0.2">
      <c r="A1478" s="5">
        <v>1417</v>
      </c>
      <c r="B1478" s="138">
        <f>'Expenditures 15-22'!K235</f>
        <v>2212</v>
      </c>
      <c r="C1478" s="2" t="s">
        <v>594</v>
      </c>
      <c r="D1478" s="2" t="str">
        <f t="shared" si="22"/>
        <v>Error?</v>
      </c>
    </row>
    <row r="1479" spans="1:4" x14ac:dyDescent="0.2">
      <c r="A1479" s="5">
        <v>1418</v>
      </c>
      <c r="B1479" s="138">
        <f>'Expenditures 15-22'!K236</f>
        <v>1162</v>
      </c>
      <c r="C1479" s="2" t="s">
        <v>594</v>
      </c>
      <c r="D1479" s="2" t="str">
        <f t="shared" si="22"/>
        <v>Error?</v>
      </c>
    </row>
    <row r="1480" spans="1:4" x14ac:dyDescent="0.2">
      <c r="A1480" s="5">
        <v>1419</v>
      </c>
      <c r="B1480" s="138">
        <f>'Expenditures 15-22'!K237</f>
        <v>1726</v>
      </c>
      <c r="C1480" s="2" t="s">
        <v>594</v>
      </c>
      <c r="D1480" s="2" t="str">
        <f t="shared" si="22"/>
        <v>Error?</v>
      </c>
    </row>
    <row r="1481" spans="1:4" x14ac:dyDescent="0.2">
      <c r="A1481" s="5">
        <v>1420</v>
      </c>
      <c r="B1481" s="138">
        <f>'Expenditures 15-22'!K238</f>
        <v>136436</v>
      </c>
      <c r="C1481" s="2" t="s">
        <v>594</v>
      </c>
      <c r="D1481" s="2" t="str">
        <f t="shared" si="22"/>
        <v>Error?</v>
      </c>
    </row>
    <row r="1482" spans="1:4" x14ac:dyDescent="0.2">
      <c r="A1482" s="5">
        <v>1421</v>
      </c>
      <c r="B1482" s="138">
        <f>'Expenditures 15-22'!K240</f>
        <v>11217</v>
      </c>
      <c r="C1482" s="2" t="s">
        <v>594</v>
      </c>
      <c r="D1482" s="2" t="str">
        <f t="shared" si="22"/>
        <v>Error?</v>
      </c>
    </row>
    <row r="1483" spans="1:4" x14ac:dyDescent="0.2">
      <c r="A1483" s="5">
        <v>1422</v>
      </c>
      <c r="B1483" s="138">
        <f>'Expenditures 15-22'!K241</f>
        <v>98313</v>
      </c>
      <c r="C1483" s="2" t="s">
        <v>594</v>
      </c>
      <c r="D1483" s="2" t="str">
        <f t="shared" si="22"/>
        <v>Error?</v>
      </c>
    </row>
    <row r="1484" spans="1:4" x14ac:dyDescent="0.2">
      <c r="A1484" s="5">
        <v>1423</v>
      </c>
      <c r="B1484" s="138">
        <f>'Expenditures 15-22'!K242</f>
        <v>1082</v>
      </c>
      <c r="C1484" s="2" t="s">
        <v>594</v>
      </c>
      <c r="D1484" s="2" t="str">
        <f t="shared" si="22"/>
        <v>Error?</v>
      </c>
    </row>
    <row r="1485" spans="1:4" x14ac:dyDescent="0.2">
      <c r="A1485" s="5">
        <v>1424</v>
      </c>
      <c r="B1485" s="138">
        <f>'Expenditures 15-22'!K243</f>
        <v>110612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42825</v>
      </c>
      <c r="C1487" s="2" t="s">
        <v>594</v>
      </c>
      <c r="D1487" s="2" t="str">
        <f t="shared" si="22"/>
        <v>Error?</v>
      </c>
    </row>
    <row r="1488" spans="1:4" x14ac:dyDescent="0.2">
      <c r="A1488" s="5">
        <v>1427</v>
      </c>
      <c r="B1488" s="138">
        <f>'Expenditures 15-22'!K257</f>
        <v>43385</v>
      </c>
      <c r="C1488" s="2" t="s">
        <v>594</v>
      </c>
      <c r="D1488" s="2" t="str">
        <f t="shared" si="22"/>
        <v>Error?</v>
      </c>
    </row>
    <row r="1489" spans="1:4" x14ac:dyDescent="0.2">
      <c r="A1489" s="5">
        <v>1428</v>
      </c>
      <c r="B1489" s="138">
        <f>'Expenditures 15-22'!K259</f>
        <v>68577</v>
      </c>
      <c r="C1489" s="2" t="s">
        <v>594</v>
      </c>
      <c r="D1489" s="2" t="str">
        <f t="shared" si="22"/>
        <v>Error?</v>
      </c>
    </row>
    <row r="1490" spans="1:4" x14ac:dyDescent="0.2">
      <c r="A1490" s="5">
        <v>1429</v>
      </c>
      <c r="B1490" s="138">
        <f>'Expenditures 15-22'!K260</f>
        <v>39555</v>
      </c>
      <c r="C1490" s="2" t="s">
        <v>594</v>
      </c>
      <c r="D1490" s="2" t="str">
        <f t="shared" si="22"/>
        <v>Error?</v>
      </c>
    </row>
    <row r="1491" spans="1:4" x14ac:dyDescent="0.2">
      <c r="A1491" s="5">
        <v>1430</v>
      </c>
      <c r="B1491" s="138">
        <f>'Expenditures 15-22'!K261</f>
        <v>108132</v>
      </c>
      <c r="C1491" s="2" t="s">
        <v>594</v>
      </c>
      <c r="D1491" s="2" t="str">
        <f t="shared" si="22"/>
        <v>Error?</v>
      </c>
    </row>
    <row r="1492" spans="1:4" x14ac:dyDescent="0.2">
      <c r="A1492" s="5">
        <v>1431</v>
      </c>
      <c r="B1492" s="138">
        <f>'Expenditures 15-22'!K263</f>
        <v>17394</v>
      </c>
      <c r="C1492" s="2" t="s">
        <v>594</v>
      </c>
      <c r="D1492" s="2" t="str">
        <f t="shared" si="22"/>
        <v>Error?</v>
      </c>
    </row>
    <row r="1493" spans="1:4" x14ac:dyDescent="0.2">
      <c r="A1493" s="5">
        <v>1432</v>
      </c>
      <c r="B1493" s="138">
        <f>'Expenditures 15-22'!K264</f>
        <v>67029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429675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22407</v>
      </c>
      <c r="C1498" s="2" t="s">
        <v>594</v>
      </c>
      <c r="D1498" s="2" t="str">
        <f t="shared" si="22"/>
        <v>Error?</v>
      </c>
    </row>
    <row r="1499" spans="1:4" x14ac:dyDescent="0.2">
      <c r="A1499" s="10">
        <v>1438</v>
      </c>
      <c r="D1499" s="2" t="str">
        <f t="shared" si="22"/>
        <v>OK</v>
      </c>
    </row>
    <row r="1500" spans="1:4" x14ac:dyDescent="0.2">
      <c r="A1500" s="5">
        <v>1439</v>
      </c>
      <c r="B1500" s="138">
        <f>'Expenditures 15-22'!K270</f>
        <v>536505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11715</v>
      </c>
      <c r="C1502" s="2" t="s">
        <v>594</v>
      </c>
      <c r="D1502" s="2" t="str">
        <f t="shared" si="22"/>
        <v>Error?</v>
      </c>
    </row>
    <row r="1503" spans="1:4" x14ac:dyDescent="0.2">
      <c r="A1503" s="5">
        <v>1442</v>
      </c>
      <c r="B1503" s="138">
        <f>'Expenditures 15-22'!K274</f>
        <v>25856</v>
      </c>
      <c r="C1503" s="2" t="s">
        <v>594</v>
      </c>
      <c r="D1503" s="2" t="str">
        <f t="shared" si="22"/>
        <v>Error?</v>
      </c>
    </row>
    <row r="1504" spans="1:4" x14ac:dyDescent="0.2">
      <c r="A1504" s="5">
        <v>1443</v>
      </c>
      <c r="B1504" s="138">
        <f>'Expenditures 15-22'!K275</f>
        <v>27434</v>
      </c>
      <c r="C1504" s="2" t="s">
        <v>594</v>
      </c>
      <c r="D1504" s="2" t="str">
        <f t="shared" si="22"/>
        <v>Error?</v>
      </c>
    </row>
    <row r="1505" spans="1:4" x14ac:dyDescent="0.2">
      <c r="A1505" s="10">
        <v>1444</v>
      </c>
      <c r="D1505" s="2" t="str">
        <f t="shared" si="22"/>
        <v>OK</v>
      </c>
    </row>
    <row r="1506" spans="1:4" x14ac:dyDescent="0.2">
      <c r="A1506" s="5">
        <v>1445</v>
      </c>
      <c r="B1506" s="138">
        <f>'Expenditures 15-22'!K276</f>
        <v>27908</v>
      </c>
      <c r="C1506" s="2" t="s">
        <v>594</v>
      </c>
      <c r="D1506" s="2" t="str">
        <f t="shared" si="22"/>
        <v>Error?</v>
      </c>
    </row>
    <row r="1507" spans="1:4" x14ac:dyDescent="0.2">
      <c r="A1507" s="10">
        <v>1446</v>
      </c>
      <c r="D1507" s="2" t="str">
        <f t="shared" si="22"/>
        <v>OK</v>
      </c>
    </row>
    <row r="1508" spans="1:4" x14ac:dyDescent="0.2">
      <c r="A1508" s="5">
        <v>1447</v>
      </c>
      <c r="B1508" s="138">
        <f>'Expenditures 15-22'!K277</f>
        <v>92913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1027983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1455184</v>
      </c>
      <c r="C1517" s="2" t="s">
        <v>594</v>
      </c>
      <c r="D1517" s="2" t="str">
        <f t="shared" si="22"/>
        <v>Error?</v>
      </c>
    </row>
    <row r="1518" spans="1:4" x14ac:dyDescent="0.2">
      <c r="A1518" s="5">
        <v>1457</v>
      </c>
      <c r="B1518" s="138">
        <f>'Expenditures 15-22'!K296</f>
        <v>81308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58287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58287</v>
      </c>
      <c r="C1535" s="2" t="s">
        <v>594</v>
      </c>
      <c r="D1535" s="2" t="str">
        <f t="shared" ref="D1535:D1598" si="23">IF(ISBLANK(B1535),"OK",IF(A1535-B1535=0,"OK","Error?"))</f>
        <v>Error?</v>
      </c>
    </row>
    <row r="1536" spans="1:4" x14ac:dyDescent="0.2">
      <c r="A1536" s="5">
        <v>1475</v>
      </c>
      <c r="B1536" s="138">
        <f>'Expenditures 15-22'!E312</f>
        <v>58287</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790170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790170</v>
      </c>
      <c r="C1547" s="2" t="s">
        <v>594</v>
      </c>
      <c r="D1547" s="2" t="str">
        <f t="shared" si="23"/>
        <v>Error?</v>
      </c>
    </row>
    <row r="1548" spans="1:4" x14ac:dyDescent="0.2">
      <c r="A1548" s="5">
        <v>1487</v>
      </c>
      <c r="B1548" s="138">
        <f>'Expenditures 15-22'!G312</f>
        <v>790170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848457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848457</v>
      </c>
      <c r="C1559" s="2" t="s">
        <v>594</v>
      </c>
      <c r="D1559" s="2" t="str">
        <f t="shared" si="23"/>
        <v>Error?</v>
      </c>
    </row>
    <row r="1560" spans="1:4" x14ac:dyDescent="0.2">
      <c r="A1560" s="5">
        <v>1499</v>
      </c>
      <c r="B1560" s="138">
        <f>'Expenditures 15-22'!K312</f>
        <v>848457</v>
      </c>
      <c r="C1560" s="2" t="s">
        <v>594</v>
      </c>
      <c r="D1560" s="2" t="str">
        <f t="shared" si="23"/>
        <v>Error?</v>
      </c>
    </row>
    <row r="1561" spans="1:4" x14ac:dyDescent="0.2">
      <c r="A1561" s="5">
        <v>1500</v>
      </c>
      <c r="B1561" s="138">
        <f>'Expenditures 15-22'!K313</f>
        <v>628174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8062077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10207573</v>
      </c>
      <c r="C1630" s="2" t="s">
        <v>594</v>
      </c>
      <c r="D1630" s="2" t="str">
        <f t="shared" si="24"/>
        <v>Error?</v>
      </c>
    </row>
    <row r="1631" spans="1:4" x14ac:dyDescent="0.2">
      <c r="A1631" s="5">
        <v>1570</v>
      </c>
      <c r="B1631" s="138">
        <f>'Acct Summary 7-8'!D79</f>
        <v>1809668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2338313</v>
      </c>
      <c r="C1644" s="2" t="s">
        <v>594</v>
      </c>
      <c r="D1644" s="2" t="str">
        <f t="shared" si="24"/>
        <v>Error?</v>
      </c>
    </row>
    <row r="1645" spans="1:4" x14ac:dyDescent="0.2">
      <c r="A1645" s="5">
        <v>1584</v>
      </c>
      <c r="B1645" s="138">
        <f>'Acct Summary 7-8'!E79</f>
        <v>173490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241266</v>
      </c>
      <c r="C1658" s="2" t="s">
        <v>594</v>
      </c>
      <c r="D1658" s="2" t="str">
        <f t="shared" si="24"/>
        <v>Error?</v>
      </c>
    </row>
    <row r="1659" spans="1:4" x14ac:dyDescent="0.2">
      <c r="A1659" s="5">
        <v>1598</v>
      </c>
      <c r="B1659" s="138">
        <f>'Acct Summary 7-8'!F79</f>
        <v>944263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1114476</v>
      </c>
      <c r="C1672" s="2" t="s">
        <v>594</v>
      </c>
      <c r="D1672" s="2" t="str">
        <f t="shared" si="25"/>
        <v>Error?</v>
      </c>
    </row>
    <row r="1673" spans="1:4" x14ac:dyDescent="0.2">
      <c r="A1673" s="5">
        <v>1612</v>
      </c>
      <c r="B1673" s="138">
        <f>'Acct Summary 7-8'!G79</f>
        <v>69321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150629</v>
      </c>
      <c r="C1686" s="2" t="s">
        <v>594</v>
      </c>
      <c r="D1686" s="2" t="str">
        <f t="shared" si="25"/>
        <v>Error?</v>
      </c>
    </row>
    <row r="1687" spans="1:4" x14ac:dyDescent="0.2">
      <c r="A1687" s="5">
        <v>1626</v>
      </c>
      <c r="B1687" s="138">
        <f>'Acct Summary 7-8'!H79</f>
        <v>966758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1594932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33830987</v>
      </c>
      <c r="C1744" s="2" t="s">
        <v>594</v>
      </c>
      <c r="D1744" s="2" t="str">
        <f t="shared" si="26"/>
        <v>Error?</v>
      </c>
    </row>
    <row r="1745" spans="1:5" x14ac:dyDescent="0.2">
      <c r="A1745" s="5">
        <v>1684</v>
      </c>
      <c r="B1745" s="138">
        <f>'Tax Sched 23'!B5</f>
        <v>5329555</v>
      </c>
      <c r="C1745" s="2" t="s">
        <v>594</v>
      </c>
      <c r="D1745" s="2" t="str">
        <f t="shared" si="26"/>
        <v>Error?</v>
      </c>
    </row>
    <row r="1746" spans="1:5" x14ac:dyDescent="0.2">
      <c r="A1746" s="5">
        <v>1685</v>
      </c>
      <c r="B1746" s="138">
        <f>'Tax Sched 23'!B6</f>
        <v>6122114</v>
      </c>
      <c r="C1746" s="2" t="s">
        <v>594</v>
      </c>
      <c r="D1746" s="2" t="str">
        <f t="shared" si="26"/>
        <v>Error?</v>
      </c>
    </row>
    <row r="1747" spans="1:5" x14ac:dyDescent="0.2">
      <c r="A1747" s="5">
        <v>1686</v>
      </c>
      <c r="B1747" s="138">
        <f>'Tax Sched 23'!B7</f>
        <v>1837606</v>
      </c>
      <c r="C1747" s="2" t="s">
        <v>594</v>
      </c>
      <c r="D1747" s="2" t="str">
        <f t="shared" si="26"/>
        <v>Error?</v>
      </c>
    </row>
    <row r="1748" spans="1:5" x14ac:dyDescent="0.2">
      <c r="A1748" s="5">
        <v>1687</v>
      </c>
      <c r="B1748" s="138">
        <f>'Tax Sched 23'!B8</f>
        <v>723547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778060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49347467</v>
      </c>
      <c r="C1759" s="2" t="s">
        <v>594</v>
      </c>
      <c r="D1759" s="2" t="str">
        <f t="shared" si="26"/>
        <v>Error?</v>
      </c>
    </row>
    <row r="1760" spans="1:5" x14ac:dyDescent="0.2">
      <c r="A1760" s="5">
        <v>1699</v>
      </c>
      <c r="B1760" s="138">
        <f>'Tax Sched 23'!D4</f>
        <v>16254851</v>
      </c>
      <c r="C1760" s="2" t="s">
        <v>594</v>
      </c>
      <c r="D1760" s="2" t="str">
        <f t="shared" si="26"/>
        <v>Error?</v>
      </c>
    </row>
    <row r="1761" spans="1:5" x14ac:dyDescent="0.2">
      <c r="A1761" s="5">
        <v>1700</v>
      </c>
      <c r="B1761" s="138">
        <f>'Tax Sched 23'!D5</f>
        <v>2542309</v>
      </c>
      <c r="C1761" s="2" t="s">
        <v>594</v>
      </c>
      <c r="D1761" s="2" t="str">
        <f t="shared" si="26"/>
        <v>Error?</v>
      </c>
    </row>
    <row r="1762" spans="1:5" s="8" customFormat="1" x14ac:dyDescent="0.2">
      <c r="A1762" s="5">
        <v>1701</v>
      </c>
      <c r="B1762" s="138">
        <f>'Tax Sched 23'!D6</f>
        <v>2971314</v>
      </c>
      <c r="C1762" s="2" t="s">
        <v>594</v>
      </c>
      <c r="D1762" s="2" t="str">
        <f t="shared" si="26"/>
        <v>Error?</v>
      </c>
      <c r="E1762" s="9"/>
    </row>
    <row r="1763" spans="1:5" x14ac:dyDescent="0.2">
      <c r="A1763" s="5">
        <v>1702</v>
      </c>
      <c r="B1763" s="138">
        <f>'Tax Sched 23'!D7</f>
        <v>895423</v>
      </c>
      <c r="C1763" s="2" t="s">
        <v>594</v>
      </c>
      <c r="D1763" s="2" t="str">
        <f t="shared" si="26"/>
        <v>Error?</v>
      </c>
    </row>
    <row r="1764" spans="1:5" x14ac:dyDescent="0.2">
      <c r="A1764" s="5">
        <v>1703</v>
      </c>
      <c r="B1764" s="138">
        <f>'Tax Sched 23'!D8</f>
        <v>351259</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335900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23703275</v>
      </c>
      <c r="C1775" s="2" t="s">
        <v>594</v>
      </c>
      <c r="D1775" s="2" t="str">
        <f t="shared" si="26"/>
        <v>Error?</v>
      </c>
    </row>
    <row r="1776" spans="1:5" x14ac:dyDescent="0.2">
      <c r="A1776" s="5">
        <v>1715</v>
      </c>
      <c r="B1776" s="138">
        <f>'Tax Sched 23'!C4</f>
        <v>17576136</v>
      </c>
      <c r="D1776" s="2" t="str">
        <f t="shared" si="26"/>
        <v>Error?</v>
      </c>
    </row>
    <row r="1777" spans="1:4" x14ac:dyDescent="0.2">
      <c r="A1777" s="5">
        <v>1716</v>
      </c>
      <c r="B1777" s="138">
        <f>'Tax Sched 23'!C5</f>
        <v>2787246</v>
      </c>
      <c r="D1777" s="2" t="str">
        <f t="shared" si="26"/>
        <v>Error?</v>
      </c>
    </row>
    <row r="1778" spans="1:4" x14ac:dyDescent="0.2">
      <c r="A1778" s="5">
        <v>1717</v>
      </c>
      <c r="B1778" s="138">
        <f>'Tax Sched 23'!C6</f>
        <v>3150800</v>
      </c>
      <c r="D1778" s="2" t="str">
        <f t="shared" si="26"/>
        <v>Error?</v>
      </c>
    </row>
    <row r="1779" spans="1:4" x14ac:dyDescent="0.2">
      <c r="A1779" s="5">
        <v>1718</v>
      </c>
      <c r="B1779" s="138">
        <f>'Tax Sched 23'!C7</f>
        <v>942183</v>
      </c>
      <c r="D1779" s="2" t="str">
        <f t="shared" si="26"/>
        <v>Error?</v>
      </c>
    </row>
    <row r="1780" spans="1:4" x14ac:dyDescent="0.2">
      <c r="A1780" s="5">
        <v>1719</v>
      </c>
      <c r="B1780" s="138">
        <f>'Tax Sched 23'!C8</f>
        <v>372288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442160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25644192</v>
      </c>
      <c r="C1791" s="2" t="s">
        <v>594</v>
      </c>
      <c r="D1791" s="2" t="str">
        <f t="shared" ref="D1791:D1854" si="27">IF(ISBLANK(B1791),"OK",IF(A1791-B1791=0,"OK","Error?"))</f>
        <v>Error?</v>
      </c>
    </row>
    <row r="1792" spans="1:4" x14ac:dyDescent="0.2">
      <c r="A1792" s="5">
        <v>1731</v>
      </c>
      <c r="B1792" s="138">
        <f>'Tax Sched 23'!F4</f>
        <v>16026970</v>
      </c>
      <c r="C1792" s="2" t="s">
        <v>594</v>
      </c>
      <c r="D1792" s="2" t="str">
        <f t="shared" si="27"/>
        <v>Error?</v>
      </c>
    </row>
    <row r="1793" spans="1:4" x14ac:dyDescent="0.2">
      <c r="A1793" s="5">
        <v>1732</v>
      </c>
      <c r="B1793" s="138">
        <f>'Tax Sched 23'!F5</f>
        <v>2541577</v>
      </c>
      <c r="C1793" s="2" t="s">
        <v>594</v>
      </c>
      <c r="D1793" s="2" t="str">
        <f t="shared" si="27"/>
        <v>Error?</v>
      </c>
    </row>
    <row r="1794" spans="1:4" x14ac:dyDescent="0.2">
      <c r="A1794" s="5">
        <v>1733</v>
      </c>
      <c r="B1794" s="138">
        <f>'Tax Sched 23'!F6</f>
        <v>2873088</v>
      </c>
      <c r="C1794" s="2" t="s">
        <v>594</v>
      </c>
      <c r="D1794" s="2" t="str">
        <f t="shared" si="27"/>
        <v>Error?</v>
      </c>
    </row>
    <row r="1795" spans="1:4" x14ac:dyDescent="0.2">
      <c r="A1795" s="5">
        <v>1734</v>
      </c>
      <c r="B1795" s="138">
        <f>'Tax Sched 23'!F7</f>
        <v>859139</v>
      </c>
      <c r="C1795" s="2" t="s">
        <v>594</v>
      </c>
      <c r="D1795" s="2" t="str">
        <f t="shared" si="27"/>
        <v>Error?</v>
      </c>
    </row>
    <row r="1796" spans="1:4" x14ac:dyDescent="0.2">
      <c r="A1796" s="5">
        <v>1735</v>
      </c>
      <c r="B1796" s="138">
        <f>'Tax Sched 23'!F8</f>
        <v>339474</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403188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23383906</v>
      </c>
      <c r="C1807" s="2" t="s">
        <v>594</v>
      </c>
      <c r="D1807" s="2" t="str">
        <f t="shared" si="27"/>
        <v>Error?</v>
      </c>
    </row>
    <row r="1808" spans="1:4" x14ac:dyDescent="0.2">
      <c r="A1808" s="5">
        <v>1747</v>
      </c>
      <c r="B1808" s="138">
        <f>'Tax Sched 23'!E4</f>
        <v>33603106</v>
      </c>
      <c r="D1808" s="2" t="str">
        <f t="shared" si="27"/>
        <v>Error?</v>
      </c>
    </row>
    <row r="1809" spans="1:4" x14ac:dyDescent="0.2">
      <c r="A1809" s="5">
        <v>1748</v>
      </c>
      <c r="B1809" s="138">
        <f>'Tax Sched 23'!E5</f>
        <v>5328823</v>
      </c>
      <c r="D1809" s="2" t="str">
        <f t="shared" si="27"/>
        <v>Error?</v>
      </c>
    </row>
    <row r="1810" spans="1:4" x14ac:dyDescent="0.2">
      <c r="A1810" s="5">
        <v>1749</v>
      </c>
      <c r="B1810" s="138">
        <f>'Tax Sched 23'!E6</f>
        <v>6023888</v>
      </c>
      <c r="D1810" s="2" t="str">
        <f t="shared" si="27"/>
        <v>Error?</v>
      </c>
    </row>
    <row r="1811" spans="1:4" x14ac:dyDescent="0.2">
      <c r="A1811" s="5">
        <v>1750</v>
      </c>
      <c r="B1811" s="138">
        <f>'Tax Sched 23'!E7</f>
        <v>1801322</v>
      </c>
      <c r="D1811" s="2" t="str">
        <f t="shared" si="27"/>
        <v>Error?</v>
      </c>
    </row>
    <row r="1812" spans="1:4" x14ac:dyDescent="0.2">
      <c r="A1812" s="5">
        <v>1751</v>
      </c>
      <c r="B1812" s="138">
        <f>'Tax Sched 23'!E8</f>
        <v>711762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845348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49028098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32143798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678355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678355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678355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558191</v>
      </c>
      <c r="D2008" s="2" t="str">
        <f t="shared" si="30"/>
        <v>Error?</v>
      </c>
    </row>
    <row r="2009" spans="1:4" x14ac:dyDescent="0.2">
      <c r="A2009" s="5">
        <v>1948</v>
      </c>
      <c r="B2009" s="138">
        <f>'Cap Outlay Deprec 26'!C8</f>
        <v>94052831</v>
      </c>
      <c r="D2009" s="2" t="str">
        <f t="shared" si="30"/>
        <v>Error?</v>
      </c>
    </row>
    <row r="2010" spans="1:4" x14ac:dyDescent="0.2">
      <c r="A2010" s="5">
        <v>1949</v>
      </c>
      <c r="B2010" s="138">
        <f>'Cap Outlay Deprec 26'!C10</f>
        <v>6214764</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10244570</v>
      </c>
      <c r="D2012" s="2" t="str">
        <f t="shared" si="30"/>
        <v>Error?</v>
      </c>
    </row>
    <row r="2013" spans="1:4" x14ac:dyDescent="0.2">
      <c r="A2013" s="5">
        <v>1952</v>
      </c>
      <c r="B2013" s="138">
        <f>'Cap Outlay Deprec 26'!C16</f>
        <v>115561480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277932</v>
      </c>
      <c r="D2015" s="2" t="str">
        <f t="shared" si="30"/>
        <v>Error?</v>
      </c>
    </row>
    <row r="2016" spans="1:4" x14ac:dyDescent="0.2">
      <c r="A2016" s="5">
        <v>1955</v>
      </c>
      <c r="B2016" s="138">
        <f>'Cap Outlay Deprec 26'!D10</f>
        <v>339709</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4782268</v>
      </c>
      <c r="D2018" s="2" t="str">
        <f t="shared" si="30"/>
        <v>Error?</v>
      </c>
    </row>
    <row r="2019" spans="1:4" x14ac:dyDescent="0.2">
      <c r="A2019" s="5">
        <v>1958</v>
      </c>
      <c r="B2019" s="138">
        <f>'Cap Outlay Deprec 26'!D16</f>
        <v>5664711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187915</v>
      </c>
      <c r="D2024" s="2" t="str">
        <f t="shared" si="30"/>
        <v>Error?</v>
      </c>
    </row>
    <row r="2025" spans="1:4" x14ac:dyDescent="0.2">
      <c r="A2025" s="5">
        <v>1964</v>
      </c>
      <c r="B2025" s="138">
        <f>'Cap Outlay Deprec 26'!E16</f>
        <v>4679039</v>
      </c>
      <c r="C2025" s="2" t="s">
        <v>594</v>
      </c>
      <c r="D2025" s="2" t="str">
        <f t="shared" si="30"/>
        <v>Error?</v>
      </c>
    </row>
    <row r="2026" spans="1:4" x14ac:dyDescent="0.2">
      <c r="A2026" s="5">
        <v>1965</v>
      </c>
      <c r="B2026" s="138">
        <f>'Cap Outlay Deprec 26'!F5</f>
        <v>558191</v>
      </c>
      <c r="C2026" s="2" t="s">
        <v>594</v>
      </c>
      <c r="D2026" s="2" t="str">
        <f t="shared" si="30"/>
        <v>Error?</v>
      </c>
    </row>
    <row r="2027" spans="1:4" x14ac:dyDescent="0.2">
      <c r="A2027" s="5">
        <v>1966</v>
      </c>
      <c r="B2027" s="138">
        <f>'Cap Outlay Deprec 26'!F8</f>
        <v>94330763</v>
      </c>
      <c r="C2027" s="2" t="s">
        <v>594</v>
      </c>
      <c r="D2027" s="2" t="str">
        <f t="shared" si="30"/>
        <v>Error?</v>
      </c>
    </row>
    <row r="2028" spans="1:4" x14ac:dyDescent="0.2">
      <c r="A2028" s="5">
        <v>1967</v>
      </c>
      <c r="B2028" s="138">
        <f>'Cap Outlay Deprec 26'!F10</f>
        <v>6554473</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14838923</v>
      </c>
      <c r="C2030" s="2" t="s">
        <v>594</v>
      </c>
      <c r="D2030" s="2" t="str">
        <f t="shared" si="30"/>
        <v>Error?</v>
      </c>
    </row>
    <row r="2031" spans="1:4" x14ac:dyDescent="0.2">
      <c r="A2031" s="5">
        <v>1970</v>
      </c>
      <c r="B2031" s="138">
        <f>'Cap Outlay Deprec 26'!F16</f>
        <v>116547152</v>
      </c>
      <c r="C2031" s="2" t="s">
        <v>594</v>
      </c>
      <c r="D2031" s="2" t="str">
        <f t="shared" si="30"/>
        <v>Error?</v>
      </c>
    </row>
    <row r="2032" spans="1:4" x14ac:dyDescent="0.2">
      <c r="A2032" s="10">
        <v>1971</v>
      </c>
      <c r="D2032" s="2" t="str">
        <f t="shared" si="30"/>
        <v>OK</v>
      </c>
    </row>
    <row r="2033" spans="1:4" x14ac:dyDescent="0.2">
      <c r="A2033" s="5">
        <v>1972</v>
      </c>
      <c r="B2033" s="138">
        <f>'Cap Outlay Deprec 26'!H8</f>
        <v>32518293</v>
      </c>
      <c r="D2033" s="2" t="str">
        <f t="shared" si="30"/>
        <v>Error?</v>
      </c>
    </row>
    <row r="2034" spans="1:4" x14ac:dyDescent="0.2">
      <c r="A2034" s="5">
        <v>1973</v>
      </c>
      <c r="B2034" s="138">
        <f>'Cap Outlay Deprec 26'!H10</f>
        <v>2478453</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6769922</v>
      </c>
      <c r="D2036" s="2" t="str">
        <f t="shared" si="30"/>
        <v>Error?</v>
      </c>
    </row>
    <row r="2037" spans="1:4" x14ac:dyDescent="0.2">
      <c r="A2037" s="5">
        <v>1976</v>
      </c>
      <c r="B2037" s="138">
        <f>'Cap Outlay Deprec 26'!H16</f>
        <v>41766668</v>
      </c>
      <c r="C2037" s="2" t="s">
        <v>594</v>
      </c>
      <c r="D2037" s="2" t="str">
        <f t="shared" si="30"/>
        <v>Error?</v>
      </c>
    </row>
    <row r="2038" spans="1:4" x14ac:dyDescent="0.2">
      <c r="A2038" s="10">
        <v>1977</v>
      </c>
      <c r="D2038" s="2" t="str">
        <f t="shared" si="30"/>
        <v>OK</v>
      </c>
    </row>
    <row r="2039" spans="1:4" x14ac:dyDescent="0.2">
      <c r="A2039" s="5">
        <v>1978</v>
      </c>
      <c r="B2039" s="138">
        <f>'Cap Outlay Deprec 26'!I8</f>
        <v>1886615</v>
      </c>
      <c r="D2039" s="2" t="str">
        <f t="shared" si="30"/>
        <v>Error?</v>
      </c>
    </row>
    <row r="2040" spans="1:4" x14ac:dyDescent="0.2">
      <c r="A2040" s="5">
        <v>1979</v>
      </c>
      <c r="B2040" s="138">
        <f>'Cap Outlay Deprec 26'!I10</f>
        <v>221192</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994871</v>
      </c>
      <c r="D2042" s="2" t="str">
        <f t="shared" si="30"/>
        <v>Error?</v>
      </c>
    </row>
    <row r="2043" spans="1:4" x14ac:dyDescent="0.2">
      <c r="A2043" s="5">
        <v>1982</v>
      </c>
      <c r="B2043" s="138">
        <f>'Cap Outlay Deprec 26'!I16</f>
        <v>3102678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165215</v>
      </c>
      <c r="D2048" s="2" t="str">
        <f t="shared" si="31"/>
        <v>Error?</v>
      </c>
    </row>
    <row r="2049" spans="1:4" x14ac:dyDescent="0.2">
      <c r="A2049" s="5">
        <v>1988</v>
      </c>
      <c r="B2049" s="138">
        <f>'Cap Outlay Deprec 26'!J16</f>
        <v>165215</v>
      </c>
      <c r="C2049" s="2" t="s">
        <v>594</v>
      </c>
      <c r="D2049" s="2" t="str">
        <f t="shared" si="31"/>
        <v>Error?</v>
      </c>
    </row>
    <row r="2050" spans="1:4" x14ac:dyDescent="0.2">
      <c r="A2050" s="10">
        <v>1989</v>
      </c>
      <c r="D2050" s="2" t="str">
        <f t="shared" si="31"/>
        <v>OK</v>
      </c>
    </row>
    <row r="2051" spans="1:4" x14ac:dyDescent="0.2">
      <c r="A2051" s="5">
        <v>1990</v>
      </c>
      <c r="B2051" s="138">
        <f>'Cap Outlay Deprec 26'!K8</f>
        <v>34404908</v>
      </c>
      <c r="C2051" s="2" t="s">
        <v>594</v>
      </c>
      <c r="D2051" s="2" t="str">
        <f t="shared" si="31"/>
        <v>Error?</v>
      </c>
    </row>
    <row r="2052" spans="1:4" x14ac:dyDescent="0.2">
      <c r="A2052" s="5">
        <v>1991</v>
      </c>
      <c r="B2052" s="138">
        <f>'Cap Outlay Deprec 26'!K10</f>
        <v>2699645</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7599578</v>
      </c>
      <c r="C2054" s="2" t="s">
        <v>594</v>
      </c>
      <c r="D2054" s="2" t="str">
        <f t="shared" si="31"/>
        <v>Error?</v>
      </c>
    </row>
    <row r="2055" spans="1:4" x14ac:dyDescent="0.2">
      <c r="A2055" s="5">
        <v>1994</v>
      </c>
      <c r="B2055" s="138">
        <f>'Cap Outlay Deprec 26'!K16</f>
        <v>44704131</v>
      </c>
      <c r="C2055" s="2" t="s">
        <v>594</v>
      </c>
      <c r="D2055" s="2" t="str">
        <f t="shared" si="31"/>
        <v>Error?</v>
      </c>
    </row>
    <row r="2056" spans="1:4" x14ac:dyDescent="0.2">
      <c r="A2056" s="5">
        <v>1995</v>
      </c>
      <c r="B2056" s="138">
        <f>'Cap Outlay Deprec 26'!L5</f>
        <v>558191</v>
      </c>
      <c r="C2056" s="2" t="s">
        <v>594</v>
      </c>
      <c r="D2056" s="2" t="str">
        <f t="shared" si="31"/>
        <v>Error?</v>
      </c>
    </row>
    <row r="2057" spans="1:4" x14ac:dyDescent="0.2">
      <c r="A2057" s="5">
        <v>1996</v>
      </c>
      <c r="B2057" s="138">
        <f>'Cap Outlay Deprec 26'!L8</f>
        <v>59925855</v>
      </c>
      <c r="C2057" s="2" t="s">
        <v>594</v>
      </c>
      <c r="D2057" s="2" t="str">
        <f t="shared" si="31"/>
        <v>Error?</v>
      </c>
    </row>
    <row r="2058" spans="1:4" x14ac:dyDescent="0.2">
      <c r="A2058" s="5">
        <v>1997</v>
      </c>
      <c r="B2058" s="138">
        <f>'Cap Outlay Deprec 26'!L10</f>
        <v>3854828</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7239345</v>
      </c>
      <c r="C2060" s="2" t="s">
        <v>594</v>
      </c>
      <c r="D2060" s="2" t="str">
        <f t="shared" si="31"/>
        <v>Error?</v>
      </c>
    </row>
    <row r="2061" spans="1:4" x14ac:dyDescent="0.2">
      <c r="A2061" s="5">
        <v>2000</v>
      </c>
      <c r="B2061" s="138">
        <f>'Cap Outlay Deprec 26'!L16</f>
        <v>71843021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2156</v>
      </c>
      <c r="C2088" s="2" t="s">
        <v>594</v>
      </c>
      <c r="D2088" s="2" t="str">
        <f t="shared" si="31"/>
        <v>Error?</v>
      </c>
    </row>
    <row r="2089" spans="1:4" x14ac:dyDescent="0.2">
      <c r="A2089" s="5">
        <v>2028</v>
      </c>
      <c r="B2089" s="138">
        <f>'Expenditures 15-22'!K92</f>
        <v>1751325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64056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36811557</v>
      </c>
      <c r="C2551" s="2" t="s">
        <v>594</v>
      </c>
      <c r="D2551" s="2" t="str">
        <f t="shared" si="38"/>
        <v>Error?</v>
      </c>
    </row>
    <row r="2552" spans="1:4" x14ac:dyDescent="0.2">
      <c r="A2552" s="10">
        <v>2491</v>
      </c>
      <c r="D2552" s="2" t="str">
        <f t="shared" si="38"/>
        <v>OK</v>
      </c>
    </row>
    <row r="2553" spans="1:4" x14ac:dyDescent="0.2">
      <c r="A2553" s="5">
        <v>2492</v>
      </c>
      <c r="B2553" s="138">
        <f>'Acct Summary 7-8'!C6</f>
        <v>1780929</v>
      </c>
      <c r="C2553" s="2" t="s">
        <v>594</v>
      </c>
      <c r="D2553" s="2" t="str">
        <f t="shared" si="38"/>
        <v>Error?</v>
      </c>
    </row>
    <row r="2554" spans="1:4" x14ac:dyDescent="0.2">
      <c r="A2554" s="5">
        <v>2493</v>
      </c>
      <c r="B2554" s="138">
        <f>'Acct Summary 7-8'!C7</f>
        <v>1093660</v>
      </c>
      <c r="C2554" s="2" t="s">
        <v>594</v>
      </c>
      <c r="D2554" s="2" t="str">
        <f t="shared" si="38"/>
        <v>Error?</v>
      </c>
    </row>
    <row r="2555" spans="1:4" x14ac:dyDescent="0.2">
      <c r="A2555" s="5">
        <v>2494</v>
      </c>
      <c r="B2555" s="138">
        <f>'Acct Summary 7-8'!C8</f>
        <v>39686146</v>
      </c>
      <c r="C2555" s="2" t="s">
        <v>594</v>
      </c>
      <c r="D2555" s="2" t="str">
        <f t="shared" si="38"/>
        <v>Error?</v>
      </c>
    </row>
    <row r="2556" spans="1:4" x14ac:dyDescent="0.2">
      <c r="A2556" s="5">
        <v>2495</v>
      </c>
      <c r="B2556" s="138">
        <f>'Acct Summary 7-8'!C12</f>
        <v>22457112</v>
      </c>
      <c r="C2556" s="2" t="s">
        <v>594</v>
      </c>
      <c r="D2556" s="2" t="str">
        <f t="shared" si="38"/>
        <v>Error?</v>
      </c>
    </row>
    <row r="2557" spans="1:4" x14ac:dyDescent="0.2">
      <c r="A2557" s="5">
        <v>2496</v>
      </c>
      <c r="B2557" s="138">
        <f>'Acct Summary 7-8'!C13</f>
        <v>13197501</v>
      </c>
      <c r="C2557" s="2" t="s">
        <v>594</v>
      </c>
      <c r="D2557" s="2" t="str">
        <f t="shared" si="38"/>
        <v>Error?</v>
      </c>
    </row>
    <row r="2558" spans="1:4" x14ac:dyDescent="0.2">
      <c r="A2558" s="5">
        <v>2497</v>
      </c>
      <c r="B2558" s="138">
        <f>'Acct Summary 7-8'!C14</f>
        <v>369</v>
      </c>
      <c r="C2558" s="2" t="s">
        <v>594</v>
      </c>
      <c r="D2558" s="2" t="str">
        <f t="shared" si="38"/>
        <v>Error?</v>
      </c>
    </row>
    <row r="2559" spans="1:4" x14ac:dyDescent="0.2">
      <c r="A2559" s="5">
        <v>2498</v>
      </c>
      <c r="B2559" s="138">
        <f>'Acct Summary 7-8'!C15</f>
        <v>1753481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37408463</v>
      </c>
      <c r="C2561" s="2" t="s">
        <v>594</v>
      </c>
      <c r="D2561" s="2" t="str">
        <f t="shared" si="39"/>
        <v>Error?</v>
      </c>
    </row>
    <row r="2562" spans="1:4" x14ac:dyDescent="0.2">
      <c r="A2562" s="5">
        <v>2501</v>
      </c>
      <c r="B2562" s="138">
        <f>'Acct Summary 7-8'!C20</f>
        <v>2277683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5504319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5504319</v>
      </c>
      <c r="C2568" s="2" t="s">
        <v>594</v>
      </c>
      <c r="D2568" s="2" t="str">
        <f t="shared" si="39"/>
        <v>Error?</v>
      </c>
    </row>
    <row r="2569" spans="1:4" x14ac:dyDescent="0.2">
      <c r="A2569" s="5">
        <v>2508</v>
      </c>
      <c r="B2569" s="138">
        <f>'Acct Summary 7-8'!D13</f>
        <v>4434419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4434419</v>
      </c>
      <c r="C2573" s="2" t="s">
        <v>594</v>
      </c>
      <c r="D2573" s="2" t="str">
        <f t="shared" si="39"/>
        <v>Error?</v>
      </c>
    </row>
    <row r="2574" spans="1:4" x14ac:dyDescent="0.2">
      <c r="A2574" s="5">
        <v>2513</v>
      </c>
      <c r="B2574" s="138">
        <f>'Acct Summary 7-8'!D20</f>
        <v>1069900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1843706</v>
      </c>
      <c r="C2591" s="2" t="s">
        <v>594</v>
      </c>
      <c r="D2591" s="2" t="str">
        <f t="shared" si="39"/>
        <v>Error?</v>
      </c>
    </row>
    <row r="2592" spans="1:4" x14ac:dyDescent="0.2">
      <c r="A2592" s="10">
        <v>2531</v>
      </c>
      <c r="D2592" s="2" t="str">
        <f t="shared" si="39"/>
        <v>OK</v>
      </c>
    </row>
    <row r="2593" spans="1:4" x14ac:dyDescent="0.2">
      <c r="A2593" s="5">
        <v>2532</v>
      </c>
      <c r="B2593" s="138">
        <f>'Acct Summary 7-8'!F6</f>
        <v>345637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2189343</v>
      </c>
      <c r="C2595" s="2" t="s">
        <v>594</v>
      </c>
      <c r="D2595" s="2" t="str">
        <f t="shared" si="39"/>
        <v>Error?</v>
      </c>
    </row>
    <row r="2596" spans="1:4" x14ac:dyDescent="0.2">
      <c r="A2596" s="5">
        <v>2535</v>
      </c>
      <c r="B2596" s="138">
        <f>'Acct Summary 7-8'!F13</f>
        <v>1969426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49704</v>
      </c>
      <c r="C2599" s="2" t="s">
        <v>594</v>
      </c>
      <c r="D2599" s="2" t="str">
        <f t="shared" si="39"/>
        <v>Error?</v>
      </c>
    </row>
    <row r="2600" spans="1:4" x14ac:dyDescent="0.2">
      <c r="A2600" s="5">
        <v>2539</v>
      </c>
      <c r="B2600" s="138">
        <f>'Acct Summary 7-8'!F17</f>
        <v>2019130</v>
      </c>
      <c r="C2600" s="2" t="s">
        <v>594</v>
      </c>
      <c r="D2600" s="2" t="str">
        <f t="shared" si="39"/>
        <v>Error?</v>
      </c>
    </row>
    <row r="2601" spans="1:4" x14ac:dyDescent="0.2">
      <c r="A2601" s="5">
        <v>2540</v>
      </c>
      <c r="B2601" s="138">
        <f>'Acct Summary 7-8'!F20</f>
        <v>170213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1536492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1536492</v>
      </c>
      <c r="C2606" s="2" t="s">
        <v>594</v>
      </c>
      <c r="D2606" s="2" t="str">
        <f t="shared" si="39"/>
        <v>Error?</v>
      </c>
    </row>
    <row r="2607" spans="1:4" x14ac:dyDescent="0.2">
      <c r="A2607" s="5">
        <v>2546</v>
      </c>
      <c r="B2607" s="138">
        <f>'Acct Summary 7-8'!G12</f>
        <v>427201</v>
      </c>
      <c r="C2607" s="2" t="s">
        <v>594</v>
      </c>
      <c r="D2607" s="2" t="str">
        <f t="shared" si="39"/>
        <v>Error?</v>
      </c>
    </row>
    <row r="2608" spans="1:4" x14ac:dyDescent="0.2">
      <c r="A2608" s="5">
        <v>2547</v>
      </c>
      <c r="B2608" s="138">
        <f>'Acct Summary 7-8'!G13</f>
        <v>1027983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1455184</v>
      </c>
      <c r="C2612" s="2" t="s">
        <v>594</v>
      </c>
      <c r="D2612" s="2" t="str">
        <f t="shared" si="39"/>
        <v>Error?</v>
      </c>
    </row>
    <row r="2613" spans="1:4" x14ac:dyDescent="0.2">
      <c r="A2613" s="5">
        <v>2552</v>
      </c>
      <c r="B2613" s="138">
        <f>'Acct Summary 7-8'!G20</f>
        <v>81308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6031476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6031476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6637142</v>
      </c>
      <c r="C2634" s="2" t="s">
        <v>594</v>
      </c>
      <c r="D2634" s="2" t="str">
        <f t="shared" si="40"/>
        <v>Error?</v>
      </c>
    </row>
    <row r="2635" spans="1:4" x14ac:dyDescent="0.2">
      <c r="A2635" s="5">
        <v>2574</v>
      </c>
      <c r="B2635" s="138">
        <f>'Acct Summary 7-8'!E17</f>
        <v>6637142</v>
      </c>
      <c r="C2635" s="2" t="s">
        <v>594</v>
      </c>
      <c r="D2635" s="2" t="str">
        <f t="shared" si="40"/>
        <v>Error?</v>
      </c>
    </row>
    <row r="2636" spans="1:4" x14ac:dyDescent="0.2">
      <c r="A2636" s="5">
        <v>2575</v>
      </c>
      <c r="B2636" s="138">
        <f>'Acct Summary 7-8'!E20</f>
        <v>-605666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476631</v>
      </c>
      <c r="C2655" s="2" t="s">
        <v>594</v>
      </c>
      <c r="D2655" s="2" t="str">
        <f t="shared" si="40"/>
        <v>Error?</v>
      </c>
    </row>
    <row r="2656" spans="1:4" x14ac:dyDescent="0.2">
      <c r="A2656" s="5">
        <v>2595</v>
      </c>
      <c r="B2656" s="138">
        <f>'Acct Summary 7-8'!H6</f>
        <v>1000000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1476631</v>
      </c>
      <c r="C2658" s="2" t="s">
        <v>594</v>
      </c>
      <c r="D2658" s="2" t="str">
        <f t="shared" si="40"/>
        <v>Error?</v>
      </c>
    </row>
    <row r="2659" spans="1:4" x14ac:dyDescent="0.2">
      <c r="A2659" s="5">
        <v>2598</v>
      </c>
      <c r="B2659" s="138">
        <f>'Acct Summary 7-8'!H13</f>
        <v>848457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848457</v>
      </c>
      <c r="C2661" s="2" t="s">
        <v>594</v>
      </c>
      <c r="D2661" s="2" t="str">
        <f t="shared" si="40"/>
        <v>Error?</v>
      </c>
    </row>
    <row r="2662" spans="1:4" x14ac:dyDescent="0.2">
      <c r="A2662" s="5">
        <v>2601</v>
      </c>
      <c r="B2662" s="138">
        <f>'Acct Summary 7-8'!H20</f>
        <v>628174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38720</v>
      </c>
      <c r="D2718" s="2" t="str">
        <f t="shared" si="41"/>
        <v>Error?</v>
      </c>
    </row>
    <row r="2719" spans="1:4" x14ac:dyDescent="0.2">
      <c r="A2719" s="5">
        <v>2658</v>
      </c>
      <c r="B2719" s="138">
        <f>'Expenditures 15-22'!D51</f>
        <v>4873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43593</v>
      </c>
      <c r="C2724" s="2" t="s">
        <v>594</v>
      </c>
      <c r="D2724" s="2" t="str">
        <f t="shared" si="41"/>
        <v>Error?</v>
      </c>
    </row>
    <row r="2725" spans="1:4" x14ac:dyDescent="0.2">
      <c r="A2725" s="5">
        <v>2664</v>
      </c>
      <c r="B2725" s="138">
        <f>'Expenditures 15-22'!D247</f>
        <v>560</v>
      </c>
      <c r="D2725" s="2" t="str">
        <f t="shared" si="41"/>
        <v>Error?</v>
      </c>
    </row>
    <row r="2726" spans="1:4" x14ac:dyDescent="0.2">
      <c r="A2726" s="5">
        <v>2665</v>
      </c>
      <c r="B2726" s="138">
        <f>'Expenditures 15-22'!K247</f>
        <v>560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2156</v>
      </c>
      <c r="C2789" s="2" t="s">
        <v>594</v>
      </c>
      <c r="D2789" s="2" t="str">
        <f t="shared" si="42"/>
        <v>Error?</v>
      </c>
    </row>
    <row r="2790" spans="1:4" x14ac:dyDescent="0.2">
      <c r="A2790" s="5">
        <v>2729</v>
      </c>
      <c r="B2790" s="138">
        <f>'Expenditures 15-22'!E102</f>
        <v>2156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489586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5199337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230855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723056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33319</v>
      </c>
      <c r="D2908" s="2" t="str">
        <f t="shared" si="44"/>
        <v>Error?</v>
      </c>
    </row>
    <row r="2909" spans="1:4" x14ac:dyDescent="0.2">
      <c r="A2909" s="10">
        <v>2848</v>
      </c>
      <c r="D2909" s="2" t="str">
        <f t="shared" si="44"/>
        <v>OK</v>
      </c>
    </row>
    <row r="2910" spans="1:4" x14ac:dyDescent="0.2">
      <c r="A2910" s="5">
        <v>2849</v>
      </c>
      <c r="B2910" s="138">
        <f>'Assets-Liab 5-6'!I34</f>
        <v>33319</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5166018</v>
      </c>
      <c r="D2912" s="2" t="str">
        <f t="shared" si="44"/>
        <v>Error?</v>
      </c>
    </row>
    <row r="2913" spans="1:4" x14ac:dyDescent="0.2">
      <c r="A2913" s="5">
        <v>2852</v>
      </c>
      <c r="B2913" s="138">
        <f>'Assets-Liab 5-6'!I41</f>
        <v>5199337</v>
      </c>
      <c r="C2913" s="2" t="s">
        <v>594</v>
      </c>
      <c r="D2913" s="2" t="str">
        <f t="shared" si="44"/>
        <v>Error?</v>
      </c>
    </row>
    <row r="2914" spans="1:4" x14ac:dyDescent="0.2">
      <c r="A2914" s="5">
        <v>2853</v>
      </c>
      <c r="B2914" s="138">
        <f>'Assets-Liab 5-6'!L33</f>
        <v>723056</v>
      </c>
      <c r="D2914" s="2" t="str">
        <f t="shared" si="44"/>
        <v>Error?</v>
      </c>
    </row>
    <row r="2915" spans="1:4" x14ac:dyDescent="0.2">
      <c r="A2915" s="10">
        <v>2854</v>
      </c>
      <c r="D2915" s="2" t="str">
        <f t="shared" si="44"/>
        <v>OK</v>
      </c>
    </row>
    <row r="2916" spans="1:4" x14ac:dyDescent="0.2">
      <c r="A2916" s="5">
        <v>2855</v>
      </c>
      <c r="B2916" s="138">
        <f>'Assets-Liab 5-6'!L34</f>
        <v>723056</v>
      </c>
      <c r="C2916" s="2" t="s">
        <v>594</v>
      </c>
      <c r="D2916" s="2" t="str">
        <f t="shared" si="44"/>
        <v>Error?</v>
      </c>
    </row>
    <row r="2917" spans="1:4" x14ac:dyDescent="0.2">
      <c r="A2917" s="5">
        <v>2856</v>
      </c>
      <c r="B2917" s="138">
        <f>'Assets-Liab 5-6'!L41</f>
        <v>723056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2156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389765</v>
      </c>
      <c r="D3055" s="2" t="str">
        <f t="shared" si="46"/>
        <v>Error?</v>
      </c>
    </row>
    <row r="3056" spans="1:4" x14ac:dyDescent="0.2">
      <c r="A3056" s="5">
        <v>2995</v>
      </c>
      <c r="B3056" s="138">
        <f>'Expenditures 15-22'!D10</f>
        <v>118134</v>
      </c>
      <c r="D3056" s="2" t="str">
        <f t="shared" si="46"/>
        <v>Error?</v>
      </c>
    </row>
    <row r="3057" spans="1:4" x14ac:dyDescent="0.2">
      <c r="A3057" s="5">
        <v>2996</v>
      </c>
      <c r="B3057" s="138">
        <f>'Expenditures 15-22'!E10</f>
        <v>27377</v>
      </c>
      <c r="D3057" s="2" t="str">
        <f t="shared" si="46"/>
        <v>Error?</v>
      </c>
    </row>
    <row r="3058" spans="1:4" x14ac:dyDescent="0.2">
      <c r="A3058" s="5">
        <v>2997</v>
      </c>
      <c r="B3058" s="138">
        <f>'Expenditures 15-22'!F10</f>
        <v>19170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552244</v>
      </c>
      <c r="C3062" s="2" t="s">
        <v>594</v>
      </c>
      <c r="D3062" s="2" t="str">
        <f t="shared" si="46"/>
        <v>Error?</v>
      </c>
    </row>
    <row r="3063" spans="1:4" x14ac:dyDescent="0.2">
      <c r="A3063" s="10">
        <v>3002</v>
      </c>
      <c r="D3063" s="2" t="str">
        <f t="shared" si="46"/>
        <v>OK</v>
      </c>
    </row>
    <row r="3064" spans="1:4" x14ac:dyDescent="0.2">
      <c r="A3064" s="5">
        <v>3003</v>
      </c>
      <c r="B3064" s="138">
        <f>'Expenditures 15-22'!D219</f>
        <v>27761</v>
      </c>
      <c r="D3064" s="2" t="str">
        <f t="shared" si="46"/>
        <v>Error?</v>
      </c>
    </row>
    <row r="3065" spans="1:4" x14ac:dyDescent="0.2">
      <c r="A3065" s="5">
        <v>3004</v>
      </c>
      <c r="B3065" s="138">
        <f>'Expenditures 15-22'!K219</f>
        <v>27761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55404</v>
      </c>
      <c r="C3225" s="2" t="s">
        <v>594</v>
      </c>
      <c r="D3225" s="2" t="str">
        <f t="shared" si="49"/>
        <v>Error?</v>
      </c>
    </row>
    <row r="3226" spans="1:4" x14ac:dyDescent="0.2">
      <c r="A3226" s="5">
        <v>3165</v>
      </c>
      <c r="B3226" s="138">
        <f>'Acct Summary 7-8'!I8</f>
        <v>55404</v>
      </c>
      <c r="C3226" s="2" t="s">
        <v>594</v>
      </c>
      <c r="D3226" s="2" t="str">
        <f t="shared" si="49"/>
        <v>Error?</v>
      </c>
    </row>
    <row r="3227" spans="1:4" x14ac:dyDescent="0.2">
      <c r="A3227" s="5">
        <v>3166</v>
      </c>
      <c r="B3227" s="138">
        <f>'Acct Summary 7-8'!I20</f>
        <v>55404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132187</v>
      </c>
      <c r="C3231" s="2" t="s">
        <v>594</v>
      </c>
      <c r="D3231" s="2" t="str">
        <f t="shared" si="49"/>
        <v>Error?</v>
      </c>
    </row>
    <row r="3232" spans="1:4" x14ac:dyDescent="0.2">
      <c r="A3232" s="5">
        <v>3171</v>
      </c>
      <c r="B3232" s="138">
        <f>'Acct Summary 7-8'!C77</f>
        <v>-132187</v>
      </c>
      <c r="C3232" s="2" t="s">
        <v>594</v>
      </c>
      <c r="D3232" s="2" t="str">
        <f t="shared" si="49"/>
        <v>Error?</v>
      </c>
    </row>
    <row r="3233" spans="1:4" x14ac:dyDescent="0.2">
      <c r="A3233" s="5">
        <v>3172</v>
      </c>
      <c r="B3233" s="138">
        <f>'Acct Summary 7-8'!C78</f>
        <v>2145496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541255</v>
      </c>
      <c r="D3236" s="2" t="str">
        <f t="shared" si="49"/>
        <v>Error?</v>
      </c>
    </row>
    <row r="3237" spans="1:4" x14ac:dyDescent="0.2">
      <c r="A3237" s="5">
        <v>3176</v>
      </c>
      <c r="B3237" s="138">
        <f>'Acct Summary 7-8'!D76</f>
        <v>541255</v>
      </c>
      <c r="C3237" s="2" t="s">
        <v>594</v>
      </c>
      <c r="D3237" s="2" t="str">
        <f t="shared" si="49"/>
        <v>Error?</v>
      </c>
    </row>
    <row r="3238" spans="1:4" x14ac:dyDescent="0.2">
      <c r="A3238" s="5">
        <v>3177</v>
      </c>
      <c r="B3238" s="138">
        <f>'Acct Summary 7-8'!D77</f>
        <v>-541255</v>
      </c>
      <c r="C3238" s="2" t="s">
        <v>594</v>
      </c>
      <c r="D3238" s="2" t="str">
        <f t="shared" si="49"/>
        <v>Error?</v>
      </c>
    </row>
    <row r="3239" spans="1:4" x14ac:dyDescent="0.2">
      <c r="A3239" s="5">
        <v>3178</v>
      </c>
      <c r="B3239" s="138">
        <f>'Acct Summary 7-8'!D78</f>
        <v>528645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170213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81308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541255</v>
      </c>
      <c r="D3273" s="2" t="str">
        <f t="shared" si="50"/>
        <v>Error?</v>
      </c>
    </row>
    <row r="3274" spans="1:4" x14ac:dyDescent="0.2">
      <c r="A3274" s="5">
        <v>3213</v>
      </c>
      <c r="B3274" s="138">
        <f>'Acct Summary 7-8'!E44</f>
        <v>673442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673442</v>
      </c>
      <c r="C3277" s="2" t="s">
        <v>594</v>
      </c>
      <c r="D3277" s="2" t="str">
        <f t="shared" si="50"/>
        <v>Error?</v>
      </c>
    </row>
    <row r="3278" spans="1:4" x14ac:dyDescent="0.2">
      <c r="A3278" s="5">
        <v>3217</v>
      </c>
      <c r="B3278" s="138">
        <f>'Acct Summary 7-8'!E78</f>
        <v>67776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628174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55404</v>
      </c>
      <c r="C3320" s="2" t="s">
        <v>594</v>
      </c>
      <c r="D3320" s="2" t="str">
        <f t="shared" si="50"/>
        <v>Error?</v>
      </c>
    </row>
    <row r="3321" spans="1:4" x14ac:dyDescent="0.2">
      <c r="A3321" s="5">
        <v>3260</v>
      </c>
      <c r="B3321" s="138">
        <f>'Acct Summary 7-8'!I79</f>
        <v>5110614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5166018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2510819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542213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6218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26006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8161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3093993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189373</v>
      </c>
      <c r="D3387" s="2" t="str">
        <f t="shared" si="51"/>
        <v>Error?</v>
      </c>
    </row>
    <row r="3388" spans="1:4" x14ac:dyDescent="0.2">
      <c r="A3388" s="5">
        <v>3327</v>
      </c>
      <c r="B3388" s="138">
        <f>'Expenditures 15-22'!D217</f>
        <v>120206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189373</v>
      </c>
      <c r="C3390" s="2" t="s">
        <v>594</v>
      </c>
      <c r="D3390" s="2" t="str">
        <f t="shared" si="51"/>
        <v>Error?</v>
      </c>
    </row>
    <row r="3391" spans="1:4" x14ac:dyDescent="0.2">
      <c r="A3391" s="5">
        <v>3330</v>
      </c>
      <c r="B3391" s="138">
        <f>'Expenditures 15-22'!K217</f>
        <v>120206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2109875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352317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227471</v>
      </c>
      <c r="D3417" s="2" t="str">
        <f t="shared" si="52"/>
        <v>Error?</v>
      </c>
    </row>
    <row r="3418" spans="1:4" x14ac:dyDescent="0.2">
      <c r="A3418" s="10">
        <v>3357</v>
      </c>
      <c r="D3418" s="2" t="str">
        <f t="shared" si="52"/>
        <v>OK</v>
      </c>
    </row>
    <row r="3419" spans="1:4" x14ac:dyDescent="0.2">
      <c r="A3419" s="5">
        <v>3358</v>
      </c>
      <c r="B3419" s="138">
        <f>'Assets-Liab 5-6'!F4</f>
        <v>140377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64486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120321</v>
      </c>
      <c r="D3425" s="2" t="str">
        <f t="shared" si="52"/>
        <v>Error?</v>
      </c>
    </row>
    <row r="3426" spans="1:4" x14ac:dyDescent="0.2">
      <c r="A3426" s="10">
        <v>3365</v>
      </c>
      <c r="D3426" s="2" t="str">
        <f t="shared" si="52"/>
        <v>OK</v>
      </c>
    </row>
    <row r="3427" spans="1:4" x14ac:dyDescent="0.2">
      <c r="A3427" s="5">
        <v>3366</v>
      </c>
      <c r="B3427" s="138">
        <f>'Assets-Liab 5-6'!I4</f>
        <v>4676432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492201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725598</v>
      </c>
      <c r="C3446" s="2" t="s">
        <v>594</v>
      </c>
      <c r="D3446" s="2" t="str">
        <f t="shared" si="52"/>
        <v>Error?</v>
      </c>
    </row>
    <row r="3447" spans="1:4" x14ac:dyDescent="0.2">
      <c r="A3447" s="5">
        <v>3386</v>
      </c>
      <c r="B3447" s="138">
        <f>'Tax Sched 23'!D16</f>
        <v>352219</v>
      </c>
      <c r="C3447" s="2" t="s">
        <v>594</v>
      </c>
      <c r="D3447" s="2" t="str">
        <f t="shared" si="52"/>
        <v>Error?</v>
      </c>
    </row>
    <row r="3448" spans="1:4" x14ac:dyDescent="0.2">
      <c r="A3448" s="5">
        <v>3387</v>
      </c>
      <c r="B3448" s="138">
        <f>'Tax Sched 23'!C16</f>
        <v>373379</v>
      </c>
      <c r="D3448" s="2" t="str">
        <f t="shared" si="52"/>
        <v>Error?</v>
      </c>
    </row>
    <row r="3449" spans="1:4" x14ac:dyDescent="0.2">
      <c r="A3449" s="5">
        <v>3388</v>
      </c>
      <c r="B3449" s="138">
        <f>'Tax Sched 23'!F16</f>
        <v>340470</v>
      </c>
      <c r="C3449" s="2" t="s">
        <v>594</v>
      </c>
      <c r="D3449" s="2" t="str">
        <f t="shared" si="52"/>
        <v>Error?</v>
      </c>
    </row>
    <row r="3450" spans="1:4" x14ac:dyDescent="0.2">
      <c r="A3450" s="5">
        <v>3389</v>
      </c>
      <c r="B3450" s="138">
        <f>'Tax Sched 23'!E16</f>
        <v>713849</v>
      </c>
      <c r="D3450" s="2" t="str">
        <f t="shared" si="52"/>
        <v>Error?</v>
      </c>
    </row>
    <row r="3451" spans="1:4" x14ac:dyDescent="0.2">
      <c r="A3451" s="5">
        <v>3390</v>
      </c>
      <c r="B3451" s="138">
        <f>'Cap Outlay Deprec 26'!C15</f>
        <v>4491124</v>
      </c>
      <c r="D3451" s="2" t="str">
        <f t="shared" si="52"/>
        <v>Error?</v>
      </c>
    </row>
    <row r="3452" spans="1:4" x14ac:dyDescent="0.2">
      <c r="A3452" s="5">
        <v>3391</v>
      </c>
      <c r="B3452" s="138">
        <f>'Cap Outlay Deprec 26'!D15</f>
        <v>264802</v>
      </c>
      <c r="D3452" s="2" t="str">
        <f t="shared" si="52"/>
        <v>Error?</v>
      </c>
    </row>
    <row r="3453" spans="1:4" x14ac:dyDescent="0.2">
      <c r="A3453" s="5">
        <v>3392</v>
      </c>
      <c r="B3453" s="138">
        <f>'Cap Outlay Deprec 26'!E15</f>
        <v>4491124</v>
      </c>
      <c r="D3453" s="2" t="str">
        <f t="shared" si="52"/>
        <v>Error?</v>
      </c>
    </row>
    <row r="3454" spans="1:4" x14ac:dyDescent="0.2">
      <c r="A3454" s="5">
        <v>3393</v>
      </c>
      <c r="B3454" s="138">
        <f>'Cap Outlay Deprec 26'!F15</f>
        <v>264802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264802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-14759169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24926977</v>
      </c>
      <c r="C4122" s="2" t="s">
        <v>594</v>
      </c>
      <c r="D4122" s="2" t="str">
        <f t="shared" si="63"/>
        <v>Error?</v>
      </c>
    </row>
    <row r="4123" spans="1:4" x14ac:dyDescent="0.2">
      <c r="A4123" s="5">
        <v>4062</v>
      </c>
      <c r="B4123" s="138">
        <f>'Acct Summary 7-8'!D10</f>
        <v>5504319</v>
      </c>
      <c r="C4123" s="2" t="s">
        <v>594</v>
      </c>
      <c r="D4123" s="2" t="str">
        <f t="shared" si="63"/>
        <v>Error?</v>
      </c>
    </row>
    <row r="4124" spans="1:4" x14ac:dyDescent="0.2">
      <c r="A4124" s="5">
        <v>4063</v>
      </c>
      <c r="B4124" s="138">
        <f>'Acct Summary 7-8'!E10</f>
        <v>6031476</v>
      </c>
      <c r="C4124" s="2" t="s">
        <v>594</v>
      </c>
      <c r="D4124" s="2" t="str">
        <f t="shared" si="63"/>
        <v>Error?</v>
      </c>
    </row>
    <row r="4125" spans="1:4" x14ac:dyDescent="0.2">
      <c r="A4125" s="5">
        <v>4064</v>
      </c>
      <c r="B4125" s="138">
        <f>'Acct Summary 7-8'!F10</f>
        <v>2189343</v>
      </c>
      <c r="C4125" s="2" t="s">
        <v>594</v>
      </c>
      <c r="D4125" s="2" t="str">
        <f t="shared" si="63"/>
        <v>Error?</v>
      </c>
    </row>
    <row r="4126" spans="1:4" x14ac:dyDescent="0.2">
      <c r="A4126" s="5">
        <v>4065</v>
      </c>
      <c r="B4126" s="138">
        <f>'Acct Summary 7-8'!G10</f>
        <v>1536492</v>
      </c>
      <c r="C4126" s="2" t="s">
        <v>594</v>
      </c>
      <c r="D4126" s="2" t="str">
        <f t="shared" si="63"/>
        <v>Error?</v>
      </c>
    </row>
    <row r="4127" spans="1:4" x14ac:dyDescent="0.2">
      <c r="A4127" s="5">
        <v>4066</v>
      </c>
      <c r="B4127" s="138">
        <f>'Acct Summary 7-8'!H10</f>
        <v>1476631</v>
      </c>
      <c r="C4127" s="2" t="s">
        <v>594</v>
      </c>
      <c r="D4127" s="2" t="str">
        <f t="shared" si="63"/>
        <v>Error?</v>
      </c>
    </row>
    <row r="4128" spans="1:4" x14ac:dyDescent="0.2">
      <c r="A4128" s="5">
        <v>4067</v>
      </c>
      <c r="B4128" s="138">
        <f>'Acct Summary 7-8'!I10</f>
        <v>55404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-14759169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22649294</v>
      </c>
      <c r="C4136" s="2" t="s">
        <v>594</v>
      </c>
      <c r="D4136" s="2" t="str">
        <f t="shared" si="63"/>
        <v>Error?</v>
      </c>
    </row>
    <row r="4137" spans="1:4" x14ac:dyDescent="0.2">
      <c r="A4137" s="5">
        <v>4076</v>
      </c>
      <c r="B4137" s="138">
        <f>'Acct Summary 7-8'!D19</f>
        <v>4434419</v>
      </c>
      <c r="C4137" s="2" t="s">
        <v>594</v>
      </c>
      <c r="D4137" s="2" t="str">
        <f t="shared" si="63"/>
        <v>Error?</v>
      </c>
    </row>
    <row r="4138" spans="1:4" x14ac:dyDescent="0.2">
      <c r="A4138" s="5">
        <v>4077</v>
      </c>
      <c r="B4138" s="138">
        <f>'Acct Summary 7-8'!E19</f>
        <v>6637142</v>
      </c>
      <c r="C4138" s="2" t="s">
        <v>594</v>
      </c>
      <c r="D4138" s="2" t="str">
        <f t="shared" si="63"/>
        <v>Error?</v>
      </c>
    </row>
    <row r="4139" spans="1:4" x14ac:dyDescent="0.2">
      <c r="A4139" s="5">
        <v>4078</v>
      </c>
      <c r="B4139" s="138">
        <f>'Acct Summary 7-8'!F19</f>
        <v>2019130</v>
      </c>
      <c r="C4139" s="2" t="s">
        <v>594</v>
      </c>
      <c r="D4139" s="2" t="str">
        <f t="shared" si="63"/>
        <v>Error?</v>
      </c>
    </row>
    <row r="4140" spans="1:4" x14ac:dyDescent="0.2">
      <c r="A4140" s="5">
        <v>4079</v>
      </c>
      <c r="B4140" s="138">
        <f>'Acct Summary 7-8'!G19</f>
        <v>1455184</v>
      </c>
      <c r="C4140" s="2" t="s">
        <v>594</v>
      </c>
      <c r="D4140" s="2" t="str">
        <f t="shared" si="63"/>
        <v>Error?</v>
      </c>
    </row>
    <row r="4141" spans="1:4" x14ac:dyDescent="0.2">
      <c r="A4141" s="5">
        <v>4080</v>
      </c>
      <c r="B4141" s="138">
        <f>'Acct Summary 7-8'!H19</f>
        <v>848457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26627199</v>
      </c>
      <c r="C4171" s="2" t="s">
        <v>594</v>
      </c>
      <c r="D4171" s="2" t="str">
        <f t="shared" si="64"/>
        <v>Error?</v>
      </c>
    </row>
    <row r="4172" spans="1:4" x14ac:dyDescent="0.2">
      <c r="A4172" s="5">
        <v>4111</v>
      </c>
      <c r="B4172" s="138">
        <f>'Short-Term Long-Term Debt 24'!J49</f>
        <v>26385933</v>
      </c>
      <c r="C4172" s="2" t="s">
        <v>594</v>
      </c>
      <c r="D4172" s="2" t="str">
        <f t="shared" si="64"/>
        <v>Error?</v>
      </c>
    </row>
    <row r="4173" spans="1:4" x14ac:dyDescent="0.2">
      <c r="A4173" s="5">
        <v>4112</v>
      </c>
      <c r="B4173" s="138">
        <f>'Short-Term Long-Term Debt 24'!H49</f>
        <v>5516599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42834</v>
      </c>
      <c r="D4210" s="2" t="str">
        <f t="shared" si="64"/>
        <v>Error?</v>
      </c>
    </row>
    <row r="4211" spans="1:4" x14ac:dyDescent="0.2">
      <c r="A4211" s="5">
        <v>4150</v>
      </c>
      <c r="B4211" s="138">
        <f>'Expenditures 15-22'!K206</f>
        <v>42834</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1609.8999999999999</v>
      </c>
      <c r="C4265" s="2" t="s">
        <v>594</v>
      </c>
      <c r="D4265" s="2" t="str">
        <f t="shared" si="65"/>
        <v>Error?</v>
      </c>
      <c r="E4265" s="128"/>
    </row>
    <row r="4266" spans="1:5" x14ac:dyDescent="0.2">
      <c r="A4266" s="12">
        <v>4205</v>
      </c>
      <c r="B4266" s="138">
        <f>('FP Info 3'!F10)*100000</f>
        <v>255.3</v>
      </c>
      <c r="C4266" s="2" t="s">
        <v>594</v>
      </c>
      <c r="D4266" s="2" t="str">
        <f t="shared" si="65"/>
        <v>Error?</v>
      </c>
      <c r="E4266" s="128"/>
    </row>
    <row r="4267" spans="1:5" x14ac:dyDescent="0.2">
      <c r="A4267" s="12">
        <v>4206</v>
      </c>
      <c r="B4267" s="138">
        <f>('FP Info 3'!H10)*100000</f>
        <v>86.300000000000011</v>
      </c>
      <c r="C4267" s="2" t="s">
        <v>594</v>
      </c>
      <c r="D4267" s="2" t="str">
        <f t="shared" si="65"/>
        <v>Error?</v>
      </c>
      <c r="E4267" s="128"/>
    </row>
    <row r="4268" spans="1:5" x14ac:dyDescent="0.2">
      <c r="A4268" s="12">
        <v>4207</v>
      </c>
      <c r="B4268" s="138">
        <f>('FP Info 3'!J10)*100000</f>
        <v>1952</v>
      </c>
      <c r="C4268" s="2" t="s">
        <v>594</v>
      </c>
      <c r="D4268" s="2" t="str">
        <f t="shared" si="65"/>
        <v>Error?</v>
      </c>
    </row>
    <row r="4269" spans="1:5" x14ac:dyDescent="0.2">
      <c r="A4269" s="12">
        <v>4208</v>
      </c>
      <c r="B4269" s="138">
        <f>'FP Info 3'!J16</f>
        <v>18826380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42699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84954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14500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58217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1678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2087279069</v>
      </c>
      <c r="D4995" s="2" t="str">
        <f t="shared" si="77"/>
        <v>Error?</v>
      </c>
    </row>
    <row r="4996" spans="1:4" x14ac:dyDescent="0.2">
      <c r="A4996" s="12">
        <v>4935</v>
      </c>
      <c r="B4996" s="138">
        <f>'FP Info 3'!H31</f>
        <v>144022255.76100001</v>
      </c>
      <c r="D4996" s="2" t="str">
        <f t="shared" si="77"/>
        <v>Error?</v>
      </c>
    </row>
    <row r="4997" spans="1:4" x14ac:dyDescent="0.2">
      <c r="A4997" s="12">
        <v>4936</v>
      </c>
      <c r="B4997" s="138">
        <f>'FP Info 3'!H37</f>
        <v>26627199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32826737</v>
      </c>
      <c r="D5061" s="2" t="str">
        <f t="shared" si="78"/>
        <v>Error?</v>
      </c>
    </row>
    <row r="5062" spans="1:4" x14ac:dyDescent="0.2">
      <c r="A5062" s="10">
        <v>5001</v>
      </c>
      <c r="D5062" s="2" t="str">
        <f t="shared" si="78"/>
        <v>OK</v>
      </c>
    </row>
    <row r="5063" spans="1:4" x14ac:dyDescent="0.2">
      <c r="A5063" s="5">
        <v>5002</v>
      </c>
      <c r="B5063" s="138">
        <f>'Revenues 9-14'!C7</f>
        <v>678355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33505092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3206</v>
      </c>
      <c r="D5068" s="2" t="str">
        <f t="shared" si="78"/>
        <v>Error?</v>
      </c>
    </row>
    <row r="5069" spans="1:4" x14ac:dyDescent="0.2">
      <c r="A5069" s="5">
        <v>5008</v>
      </c>
      <c r="B5069" s="138">
        <f>'Revenues 9-14'!C16</f>
        <v>48842</v>
      </c>
      <c r="D5069" s="2" t="str">
        <f t="shared" si="78"/>
        <v>Error?</v>
      </c>
    </row>
    <row r="5070" spans="1:4" x14ac:dyDescent="0.2">
      <c r="A5070" s="5">
        <v>5009</v>
      </c>
      <c r="B5070" s="138">
        <f>'Revenues 9-14'!C17</f>
        <v>46641</v>
      </c>
      <c r="D5070" s="2" t="str">
        <f t="shared" si="78"/>
        <v>Error?</v>
      </c>
    </row>
    <row r="5071" spans="1:4" x14ac:dyDescent="0.2">
      <c r="A5071" s="5">
        <v>5010</v>
      </c>
      <c r="B5071" s="138">
        <f>'Revenues 9-14'!C18</f>
        <v>98689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45974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46374</v>
      </c>
      <c r="C5087" s="2" t="s">
        <v>594</v>
      </c>
      <c r="D5087" s="2" t="str">
        <f t="shared" si="78"/>
        <v>Error?</v>
      </c>
    </row>
    <row r="5088" spans="1:4" x14ac:dyDescent="0.2">
      <c r="A5088" s="5">
        <v>5027</v>
      </c>
      <c r="B5088" s="138">
        <f>'Revenues 9-14'!C65</f>
        <v>313529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313529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923578</v>
      </c>
      <c r="D5092" s="2" t="str">
        <f t="shared" si="78"/>
        <v>Error?</v>
      </c>
    </row>
    <row r="5093" spans="1:4" x14ac:dyDescent="0.2">
      <c r="A5093" s="5">
        <v>5032</v>
      </c>
      <c r="B5093" s="138">
        <f>'Revenues 9-14'!C72</f>
        <v>21604</v>
      </c>
      <c r="D5093" s="2" t="str">
        <f t="shared" si="78"/>
        <v>Error?</v>
      </c>
    </row>
    <row r="5094" spans="1:4" x14ac:dyDescent="0.2">
      <c r="A5094" s="5">
        <v>5033</v>
      </c>
      <c r="B5094" s="138">
        <f>'Revenues 9-14'!C73</f>
        <v>22901</v>
      </c>
      <c r="D5094" s="2" t="str">
        <f t="shared" si="78"/>
        <v>Error?</v>
      </c>
    </row>
    <row r="5095" spans="1:4" x14ac:dyDescent="0.2">
      <c r="A5095" s="5">
        <v>5034</v>
      </c>
      <c r="B5095" s="138">
        <f>'Revenues 9-14'!C74</f>
        <v>88067</v>
      </c>
      <c r="D5095" s="2" t="str">
        <f t="shared" si="78"/>
        <v>Error?</v>
      </c>
    </row>
    <row r="5096" spans="1:4" x14ac:dyDescent="0.2">
      <c r="A5096" s="5">
        <v>5035</v>
      </c>
      <c r="B5096" s="138">
        <f>'Revenues 9-14'!C75</f>
        <v>1056150</v>
      </c>
      <c r="C5096" s="2" t="s">
        <v>594</v>
      </c>
      <c r="D5096" s="2" t="str">
        <f t="shared" si="78"/>
        <v>Error?</v>
      </c>
    </row>
    <row r="5097" spans="1:4" x14ac:dyDescent="0.2">
      <c r="A5097" s="5">
        <v>5036</v>
      </c>
      <c r="B5097" s="138">
        <f>'Revenues 9-14'!C77</f>
        <v>31832</v>
      </c>
      <c r="D5097" s="2" t="str">
        <f t="shared" si="78"/>
        <v>Error?</v>
      </c>
    </row>
    <row r="5098" spans="1:4" x14ac:dyDescent="0.2">
      <c r="A5098" s="5">
        <v>5037</v>
      </c>
      <c r="B5098" s="138">
        <f>'Revenues 9-14'!C78</f>
        <v>10964</v>
      </c>
      <c r="D5098" s="2" t="str">
        <f t="shared" si="78"/>
        <v>Error?</v>
      </c>
    </row>
    <row r="5099" spans="1:4" x14ac:dyDescent="0.2">
      <c r="A5099" s="5">
        <v>5038</v>
      </c>
      <c r="B5099" s="138">
        <f>'Revenues 9-14'!C79</f>
        <v>1248161</v>
      </c>
      <c r="D5099" s="2" t="str">
        <f t="shared" si="78"/>
        <v>Error?</v>
      </c>
    </row>
    <row r="5100" spans="1:4" x14ac:dyDescent="0.2">
      <c r="A5100" s="5">
        <v>5039</v>
      </c>
      <c r="B5100" s="138">
        <f>'Revenues 9-14'!C80</f>
        <v>31148</v>
      </c>
      <c r="D5100" s="2" t="str">
        <f t="shared" si="78"/>
        <v>Error?</v>
      </c>
    </row>
    <row r="5101" spans="1:4" x14ac:dyDescent="0.2">
      <c r="A5101" s="5">
        <v>5040</v>
      </c>
      <c r="B5101" s="138">
        <f>'Revenues 9-14'!C81</f>
        <v>377</v>
      </c>
      <c r="D5101" s="2" t="str">
        <f t="shared" si="78"/>
        <v>Error?</v>
      </c>
    </row>
    <row r="5102" spans="1:4" x14ac:dyDescent="0.2">
      <c r="A5102" s="5">
        <v>5041</v>
      </c>
      <c r="B5102" s="138">
        <f>'Revenues 9-14'!C82</f>
        <v>1322482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3723</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2225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5948</v>
      </c>
      <c r="C5112" s="2" t="s">
        <v>594</v>
      </c>
      <c r="D5112" s="2" t="str">
        <f t="shared" si="78"/>
        <v>Error?</v>
      </c>
    </row>
    <row r="5113" spans="1:4" x14ac:dyDescent="0.2">
      <c r="A5113" s="5">
        <v>5052</v>
      </c>
      <c r="B5113" s="138">
        <f>'Revenues 9-14'!C95</f>
        <v>525</v>
      </c>
      <c r="D5113" s="2" t="str">
        <f t="shared" si="78"/>
        <v>Error?</v>
      </c>
    </row>
    <row r="5114" spans="1:4" x14ac:dyDescent="0.2">
      <c r="A5114" s="5">
        <v>5053</v>
      </c>
      <c r="B5114" s="138">
        <f>'Revenues 9-14'!C96</f>
        <v>41603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303187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10079</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463293</v>
      </c>
      <c r="C5120" s="2" t="s">
        <v>594</v>
      </c>
      <c r="D5120" s="2" t="str">
        <f t="shared" si="79"/>
        <v>Error?</v>
      </c>
    </row>
    <row r="5121" spans="1:4" x14ac:dyDescent="0.2">
      <c r="A5121" s="5">
        <v>5060</v>
      </c>
      <c r="B5121" s="138">
        <f>'Revenues 9-14'!C109</f>
        <v>36811557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1059189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1059189</v>
      </c>
      <c r="C5132" s="2" t="s">
        <v>594</v>
      </c>
      <c r="D5132" s="2" t="str">
        <f t="shared" si="79"/>
        <v>Error?</v>
      </c>
    </row>
    <row r="5133" spans="1:4" x14ac:dyDescent="0.2">
      <c r="A5133" s="5">
        <v>5072</v>
      </c>
      <c r="B5133" s="138">
        <f>'Revenues 9-14'!C124</f>
        <v>122266</v>
      </c>
      <c r="D5133" s="2" t="str">
        <f t="shared" si="79"/>
        <v>Error?</v>
      </c>
    </row>
    <row r="5134" spans="1:4" x14ac:dyDescent="0.2">
      <c r="A5134" s="5">
        <v>5073</v>
      </c>
      <c r="B5134" s="138">
        <f>'Revenues 9-14'!C125</f>
        <v>85327</v>
      </c>
      <c r="D5134" s="2" t="str">
        <f t="shared" si="79"/>
        <v>Error?</v>
      </c>
    </row>
    <row r="5135" spans="1:4" x14ac:dyDescent="0.2">
      <c r="A5135" s="5">
        <v>5074</v>
      </c>
      <c r="B5135" s="138">
        <f>'Revenues 9-14'!C126</f>
        <v>82342</v>
      </c>
      <c r="D5135" s="2" t="str">
        <f t="shared" si="79"/>
        <v>Error?</v>
      </c>
    </row>
    <row r="5136" spans="1:4" x14ac:dyDescent="0.2">
      <c r="A5136" s="10">
        <v>5075</v>
      </c>
      <c r="D5136" s="2" t="str">
        <f t="shared" si="79"/>
        <v>OK</v>
      </c>
    </row>
    <row r="5137" spans="1:4" x14ac:dyDescent="0.2">
      <c r="A5137" s="5">
        <v>5076</v>
      </c>
      <c r="B5137" s="138">
        <f>'Revenues 9-14'!C127</f>
        <v>226149</v>
      </c>
      <c r="D5137" s="2" t="str">
        <f t="shared" si="79"/>
        <v>Error?</v>
      </c>
    </row>
    <row r="5138" spans="1:4" x14ac:dyDescent="0.2">
      <c r="A5138" s="10">
        <v>5077</v>
      </c>
      <c r="D5138" s="2" t="str">
        <f t="shared" si="79"/>
        <v>OK</v>
      </c>
    </row>
    <row r="5139" spans="1:4" x14ac:dyDescent="0.2">
      <c r="A5139" s="5">
        <v>5078</v>
      </c>
      <c r="B5139" s="138">
        <f>'Revenues 9-14'!C128</f>
        <v>50237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1580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567901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42423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42423</v>
      </c>
      <c r="C5161" s="2" t="s">
        <v>594</v>
      </c>
      <c r="D5161" s="2" t="str">
        <f t="shared" si="79"/>
        <v>Error?</v>
      </c>
    </row>
    <row r="5162" spans="1:4" x14ac:dyDescent="0.2">
      <c r="A5162" s="10">
        <v>5101</v>
      </c>
      <c r="D5162" s="2" t="str">
        <f t="shared" si="79"/>
        <v>OK</v>
      </c>
    </row>
    <row r="5163" spans="1:4" x14ac:dyDescent="0.2">
      <c r="A5163" s="5">
        <v>5102</v>
      </c>
      <c r="B5163" s="138">
        <f>'Revenues 9-14'!C142</f>
        <v>7389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7389</v>
      </c>
      <c r="C5165" s="2" t="s">
        <v>594</v>
      </c>
      <c r="D5165" s="2" t="str">
        <f t="shared" si="79"/>
        <v>Error?</v>
      </c>
    </row>
    <row r="5166" spans="1:4" x14ac:dyDescent="0.2">
      <c r="A5166" s="10">
        <v>5105</v>
      </c>
      <c r="D5166" s="2" t="str">
        <f t="shared" si="79"/>
        <v>OK</v>
      </c>
    </row>
    <row r="5167" spans="1:4" x14ac:dyDescent="0.2">
      <c r="A5167" s="5">
        <v>5106</v>
      </c>
      <c r="B5167" s="138">
        <f>'Revenues 9-14'!C145</f>
        <v>2734</v>
      </c>
      <c r="D5167" s="2" t="str">
        <f t="shared" si="79"/>
        <v>Error?</v>
      </c>
    </row>
    <row r="5168" spans="1:4" x14ac:dyDescent="0.2">
      <c r="A5168" s="5">
        <v>5107</v>
      </c>
      <c r="B5168" s="138">
        <f>'Revenues 9-14'!C147</f>
        <v>99615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721740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1780929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229215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229215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477225</v>
      </c>
      <c r="D5278" s="2" t="str">
        <f t="shared" si="81"/>
        <v>Error?</v>
      </c>
    </row>
    <row r="5279" spans="1:4" x14ac:dyDescent="0.2">
      <c r="A5279" s="5">
        <v>5218</v>
      </c>
      <c r="B5279" s="138">
        <f>'Revenues 9-14'!C221</f>
        <v>159618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636843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27232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27232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1093660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1093660</v>
      </c>
      <c r="C5326" s="2" t="s">
        <v>594</v>
      </c>
      <c r="D5326" s="2" t="str">
        <f t="shared" si="82"/>
        <v>Error?</v>
      </c>
    </row>
    <row r="5327" spans="1:4" x14ac:dyDescent="0.2">
      <c r="A5327" s="5">
        <v>5266</v>
      </c>
      <c r="B5327" s="138">
        <f>'Revenues 9-14'!C275</f>
        <v>39686146</v>
      </c>
      <c r="C5327" s="2" t="s">
        <v>594</v>
      </c>
      <c r="D5327" s="2" t="str">
        <f t="shared" si="82"/>
        <v>Error?</v>
      </c>
    </row>
    <row r="5328" spans="1:4" x14ac:dyDescent="0.2">
      <c r="A5328" s="5">
        <v>5267</v>
      </c>
      <c r="B5328" s="138">
        <f>'Revenues 9-14'!D5</f>
        <v>5134205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5134205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44336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44336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155574</v>
      </c>
      <c r="D5349" s="2" t="str">
        <f t="shared" si="82"/>
        <v>Error?</v>
      </c>
    </row>
    <row r="5350" spans="1:4" x14ac:dyDescent="0.2">
      <c r="A5350" s="5">
        <v>5289</v>
      </c>
      <c r="B5350" s="138">
        <f>'Revenues 9-14'!D96</f>
        <v>7500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808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161896</v>
      </c>
      <c r="D5354" s="2" t="str">
        <f t="shared" si="82"/>
        <v>Error?</v>
      </c>
    </row>
    <row r="5355" spans="1:4" x14ac:dyDescent="0.2">
      <c r="A5355" s="5">
        <v>5294</v>
      </c>
      <c r="B5355" s="138">
        <f>'Revenues 9-14'!D108</f>
        <v>325778</v>
      </c>
      <c r="C5355" s="2" t="s">
        <v>594</v>
      </c>
      <c r="D5355" s="2" t="str">
        <f t="shared" si="82"/>
        <v>Error?</v>
      </c>
    </row>
    <row r="5356" spans="1:4" x14ac:dyDescent="0.2">
      <c r="A5356" s="5">
        <v>5295</v>
      </c>
      <c r="B5356" s="138">
        <f>'Revenues 9-14'!D109</f>
        <v>5504319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5504319</v>
      </c>
      <c r="C5508" s="2" t="s">
        <v>594</v>
      </c>
      <c r="D5508" s="2" t="str">
        <f t="shared" si="85"/>
        <v>Error?</v>
      </c>
    </row>
    <row r="5509" spans="1:4" x14ac:dyDescent="0.2">
      <c r="A5509" s="5">
        <v>5448</v>
      </c>
      <c r="B5509" s="138">
        <f>'Revenues 9-14'!E5</f>
        <v>6000574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6000574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30902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30902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6031476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6031476</v>
      </c>
      <c r="C5552" s="2" t="s">
        <v>594</v>
      </c>
      <c r="D5552" s="2" t="str">
        <f t="shared" si="85"/>
        <v>Error?</v>
      </c>
    </row>
    <row r="5553" spans="1:4" x14ac:dyDescent="0.2">
      <c r="A5553" s="5">
        <v>5492</v>
      </c>
      <c r="B5553" s="138">
        <f>'Revenues 9-14'!F5</f>
        <v>1808310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1808310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11602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5144</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16746</v>
      </c>
      <c r="C5579" s="2" t="s">
        <v>594</v>
      </c>
      <c r="D5579" s="2" t="str">
        <f t="shared" si="86"/>
        <v>Error?</v>
      </c>
    </row>
    <row r="5580" spans="1:4" x14ac:dyDescent="0.2">
      <c r="A5580" s="5">
        <v>5519</v>
      </c>
      <c r="B5580" s="138">
        <f>'Revenues 9-14'!F65</f>
        <v>18650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18650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1843706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47078</v>
      </c>
      <c r="D5615" s="2" t="str">
        <f t="shared" si="86"/>
        <v>Error?</v>
      </c>
    </row>
    <row r="5616" spans="1:4" x14ac:dyDescent="0.2">
      <c r="A5616" s="10">
        <v>5555</v>
      </c>
      <c r="D5616" s="2" t="str">
        <f t="shared" si="86"/>
        <v>OK</v>
      </c>
    </row>
    <row r="5617" spans="1:4" x14ac:dyDescent="0.2">
      <c r="A5617" s="5">
        <v>5556</v>
      </c>
      <c r="B5617" s="138">
        <f>'Revenues 9-14'!F152</f>
        <v>298559</v>
      </c>
      <c r="D5617" s="2" t="str">
        <f t="shared" si="86"/>
        <v>Error?</v>
      </c>
    </row>
    <row r="5618" spans="1:4" x14ac:dyDescent="0.2">
      <c r="A5618" s="5">
        <v>5557</v>
      </c>
      <c r="B5618" s="138">
        <f>'Revenues 9-14'!F154</f>
        <v>345637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345637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345637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2189343</v>
      </c>
      <c r="C5720" s="2" t="s">
        <v>594</v>
      </c>
      <c r="D5720" s="2" t="str">
        <f t="shared" si="88"/>
        <v>Error?</v>
      </c>
    </row>
    <row r="5721" spans="1:4" x14ac:dyDescent="0.2">
      <c r="A5721" s="5">
        <v>5660</v>
      </c>
      <c r="B5721" s="138">
        <f>'Revenues 9-14'!G5</f>
        <v>709369</v>
      </c>
      <c r="D5721" s="2" t="str">
        <f t="shared" si="88"/>
        <v>Error?</v>
      </c>
    </row>
    <row r="5722" spans="1:4" x14ac:dyDescent="0.2">
      <c r="A5722" s="5">
        <v>5661</v>
      </c>
      <c r="B5722" s="138">
        <f>'Revenues 9-14'!G7</f>
        <v>0</v>
      </c>
      <c r="D5722" s="2" t="str">
        <f t="shared" si="88"/>
        <v>Error?</v>
      </c>
    </row>
    <row r="5723" spans="1:4" x14ac:dyDescent="0.2">
      <c r="A5723" s="5">
        <v>5662</v>
      </c>
      <c r="B5723" s="138">
        <f>'Revenues 9-14'!G8</f>
        <v>711307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1420676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105230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105230</v>
      </c>
      <c r="C5730" s="2" t="s">
        <v>594</v>
      </c>
      <c r="D5730" s="2" t="str">
        <f t="shared" si="88"/>
        <v>Error?</v>
      </c>
    </row>
    <row r="5731" spans="1:4" x14ac:dyDescent="0.2">
      <c r="A5731" s="5">
        <v>5670</v>
      </c>
      <c r="B5731" s="138">
        <f>'Revenues 9-14'!G65</f>
        <v>10586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10586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1536492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452923</v>
      </c>
      <c r="D5876" s="2" t="str">
        <f t="shared" si="90"/>
        <v>Error?</v>
      </c>
    </row>
    <row r="5877" spans="1:4" x14ac:dyDescent="0.2">
      <c r="A5877" s="5">
        <v>5816</v>
      </c>
      <c r="B5877" s="138">
        <f>'Revenues 9-14'!H17</f>
        <v>0</v>
      </c>
      <c r="D5877" s="2" t="str">
        <f t="shared" si="90"/>
        <v>Error?</v>
      </c>
    </row>
    <row r="5878" spans="1:4" x14ac:dyDescent="0.2">
      <c r="A5878" s="5">
        <v>5817</v>
      </c>
      <c r="B5878" s="138">
        <f>'Revenues 9-14'!H18</f>
        <v>452923</v>
      </c>
      <c r="C5878" s="2" t="s">
        <v>594</v>
      </c>
      <c r="D5878" s="2" t="str">
        <f t="shared" si="90"/>
        <v>Error?</v>
      </c>
    </row>
    <row r="5879" spans="1:4" x14ac:dyDescent="0.2">
      <c r="A5879" s="5">
        <v>5818</v>
      </c>
      <c r="B5879" s="138">
        <f>'Revenues 9-14'!H65</f>
        <v>18744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18744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4964</v>
      </c>
      <c r="D5885" s="2" t="str">
        <f t="shared" si="90"/>
        <v>Error?</v>
      </c>
    </row>
    <row r="5886" spans="1:4" x14ac:dyDescent="0.2">
      <c r="A5886" s="5">
        <v>5825</v>
      </c>
      <c r="B5886" s="138">
        <f>'Revenues 9-14'!H108</f>
        <v>4964</v>
      </c>
      <c r="C5886" s="2" t="s">
        <v>594</v>
      </c>
      <c r="D5886" s="2" t="str">
        <f t="shared" si="90"/>
        <v>Error?</v>
      </c>
    </row>
    <row r="5887" spans="1:4" x14ac:dyDescent="0.2">
      <c r="A5887" s="5">
        <v>5826</v>
      </c>
      <c r="B5887" s="138">
        <f>'Revenues 9-14'!H117</f>
        <v>1000000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1000000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1000000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1476631</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55404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55404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55404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1536492</v>
      </c>
      <c r="C6024" s="2" t="s">
        <v>594</v>
      </c>
      <c r="D6024" s="2" t="str">
        <f t="shared" si="93"/>
        <v>Error?</v>
      </c>
    </row>
    <row r="6025" spans="1:5" x14ac:dyDescent="0.2">
      <c r="A6025" s="5">
        <v>5964</v>
      </c>
      <c r="B6025" s="138">
        <f>'Revenues 9-14'!H109</f>
        <v>476631</v>
      </c>
      <c r="C6025" s="2" t="s">
        <v>594</v>
      </c>
      <c r="D6025" s="2" t="str">
        <f t="shared" si="93"/>
        <v>Error?</v>
      </c>
    </row>
    <row r="6026" spans="1:5" x14ac:dyDescent="0.2">
      <c r="A6026" s="5">
        <v>5965</v>
      </c>
      <c r="B6026" s="138">
        <f>'Revenues 9-14'!I109</f>
        <v>55404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2353.64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359771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83883</v>
      </c>
      <c r="D6093" s="2" t="str">
        <f t="shared" si="94"/>
        <v>Error?</v>
      </c>
      <c r="E6093" s="2" t="s">
        <v>199</v>
      </c>
    </row>
    <row r="6094" spans="1:5" x14ac:dyDescent="0.2">
      <c r="A6094">
        <v>6033</v>
      </c>
      <c r="B6094" s="138">
        <f>'Assets-Liab 5-6'!G8</f>
        <v>10914</v>
      </c>
      <c r="D6094" s="2" t="str">
        <f t="shared" si="94"/>
        <v>Error?</v>
      </c>
      <c r="E6094" s="2" t="s">
        <v>199</v>
      </c>
    </row>
    <row r="6095" spans="1:5" x14ac:dyDescent="0.2">
      <c r="A6095">
        <v>6034</v>
      </c>
      <c r="B6095" s="138">
        <f>'Assets-Liab 5-6'!H8</f>
        <v>91657</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192801</v>
      </c>
      <c r="D6099" s="2" t="str">
        <f t="shared" si="94"/>
        <v>Error?</v>
      </c>
      <c r="E6099" s="2" t="s">
        <v>199</v>
      </c>
    </row>
    <row r="6100" spans="1:5" x14ac:dyDescent="0.2">
      <c r="A6100">
        <v>6039</v>
      </c>
      <c r="B6100" s="138">
        <f>'Assets-Liab 5-6'!D9</f>
        <v>28795</v>
      </c>
      <c r="D6100" s="2" t="str">
        <f t="shared" si="94"/>
        <v>Error?</v>
      </c>
      <c r="E6100" s="2" t="s">
        <v>199</v>
      </c>
    </row>
    <row r="6101" spans="1:5" x14ac:dyDescent="0.2">
      <c r="A6101">
        <v>6040</v>
      </c>
      <c r="B6101" s="138">
        <f>'Assets-Liab 5-6'!E9</f>
        <v>6412</v>
      </c>
      <c r="D6101" s="2" t="str">
        <f t="shared" si="94"/>
        <v>Error?</v>
      </c>
      <c r="E6101" s="2" t="s">
        <v>199</v>
      </c>
    </row>
    <row r="6102" spans="1:5" x14ac:dyDescent="0.2">
      <c r="A6102">
        <v>6041</v>
      </c>
      <c r="B6102" s="138">
        <f>'Assets-Liab 5-6'!F9</f>
        <v>13376</v>
      </c>
      <c r="D6102" s="2" t="str">
        <f t="shared" si="94"/>
        <v>Error?</v>
      </c>
      <c r="E6102" s="2" t="s">
        <v>199</v>
      </c>
    </row>
    <row r="6103" spans="1:5" x14ac:dyDescent="0.2">
      <c r="A6103">
        <f>A6102+1</f>
        <v>6042</v>
      </c>
      <c r="B6103" s="138">
        <f>'Assets-Liab 5-6'!G9</f>
        <v>4045</v>
      </c>
      <c r="D6103" s="2" t="str">
        <f t="shared" si="94"/>
        <v>Error?</v>
      </c>
      <c r="E6103" s="2" t="s">
        <v>199</v>
      </c>
    </row>
    <row r="6104" spans="1:5" x14ac:dyDescent="0.2">
      <c r="A6104">
        <v>6043</v>
      </c>
      <c r="B6104" s="138">
        <f>'Assets-Liab 5-6'!H9</f>
        <v>13984</v>
      </c>
      <c r="D6104" s="2" t="str">
        <f t="shared" si="94"/>
        <v>Error?</v>
      </c>
      <c r="E6104" s="2" t="s">
        <v>199</v>
      </c>
    </row>
    <row r="6105" spans="1:5" x14ac:dyDescent="0.2">
      <c r="A6105">
        <v>6044</v>
      </c>
      <c r="B6105" s="138">
        <f>'Assets-Liab 5-6'!I9</f>
        <v>33319</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352567</v>
      </c>
      <c r="D6113" s="2" t="str">
        <f t="shared" si="94"/>
        <v>Error?</v>
      </c>
      <c r="E6113" s="2" t="s">
        <v>199</v>
      </c>
    </row>
    <row r="6114" spans="1:5" x14ac:dyDescent="0.2">
      <c r="A6114">
        <v>6053</v>
      </c>
      <c r="B6114" s="138">
        <f>'Assets-Liab 5-6'!D11</f>
        <v>41626</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459264</v>
      </c>
      <c r="D6142" s="2" t="str">
        <f t="shared" si="94"/>
        <v>Error?</v>
      </c>
      <c r="E6142" s="2" t="s">
        <v>199</v>
      </c>
    </row>
    <row r="6143" spans="1:5" x14ac:dyDescent="0.2">
      <c r="A6143">
        <v>6082</v>
      </c>
      <c r="B6143" s="138">
        <f>'Assets-Liab 5-6'!D27</f>
        <v>150810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34985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291073</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2977405</v>
      </c>
      <c r="D6169" s="2" t="str">
        <f t="shared" si="95"/>
        <v>Error?</v>
      </c>
      <c r="E6169" s="2" t="s">
        <v>199</v>
      </c>
    </row>
    <row r="6170" spans="1:5" x14ac:dyDescent="0.2">
      <c r="A6170">
        <v>6109</v>
      </c>
      <c r="B6170" s="138">
        <f>'Assets-Liab 5-6'!D30</f>
        <v>26653</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78857</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2145496</v>
      </c>
      <c r="D6267" s="2" t="str">
        <f t="shared" si="96"/>
        <v>Error?</v>
      </c>
      <c r="E6267" s="2" t="s">
        <v>199</v>
      </c>
    </row>
    <row r="6268" spans="1:5" x14ac:dyDescent="0.2">
      <c r="A6268">
        <v>6207</v>
      </c>
      <c r="B6268" s="138">
        <f>'Acct Summary 7-8'!D82</f>
        <v>528645</v>
      </c>
      <c r="D6268" s="2" t="str">
        <f t="shared" si="96"/>
        <v>Error?</v>
      </c>
      <c r="E6268" s="2" t="s">
        <v>199</v>
      </c>
    </row>
    <row r="6269" spans="1:5" x14ac:dyDescent="0.2">
      <c r="A6269">
        <v>6208</v>
      </c>
      <c r="B6269" s="138">
        <f>'Acct Summary 7-8'!E82</f>
        <v>67776</v>
      </c>
      <c r="D6269" s="2" t="str">
        <f t="shared" si="96"/>
        <v>Error?</v>
      </c>
      <c r="E6269" s="2" t="s">
        <v>199</v>
      </c>
    </row>
    <row r="6270" spans="1:5" x14ac:dyDescent="0.2">
      <c r="A6270">
        <v>6209</v>
      </c>
      <c r="B6270" s="138">
        <f>'Acct Summary 7-8'!F82</f>
        <v>170213</v>
      </c>
      <c r="D6270" s="2" t="str">
        <f t="shared" si="96"/>
        <v>Error?</v>
      </c>
      <c r="E6270" s="2" t="s">
        <v>199</v>
      </c>
    </row>
    <row r="6271" spans="1:5" x14ac:dyDescent="0.2">
      <c r="A6271">
        <v>6210</v>
      </c>
      <c r="B6271" s="138">
        <f>'Acct Summary 7-8'!G82</f>
        <v>81308</v>
      </c>
      <c r="D6271" s="2" t="str">
        <f t="shared" ref="D6271:D6334" si="97">IF(ISBLANK(B6271),"OK",IF(A6271-B6271=0,"OK","Error?"))</f>
        <v>Error?</v>
      </c>
      <c r="E6271" s="2" t="s">
        <v>199</v>
      </c>
    </row>
    <row r="6272" spans="1:5" x14ac:dyDescent="0.2">
      <c r="A6272">
        <v>6211</v>
      </c>
      <c r="B6272" s="138">
        <f>'Acct Summary 7-8'!H82</f>
        <v>628174</v>
      </c>
      <c r="D6272" s="2" t="str">
        <f t="shared" si="97"/>
        <v>Error?</v>
      </c>
      <c r="E6272" s="2" t="s">
        <v>199</v>
      </c>
    </row>
    <row r="6273" spans="1:5" x14ac:dyDescent="0.2">
      <c r="A6273">
        <v>6212</v>
      </c>
      <c r="B6273" s="138">
        <f>'Acct Summary 7-8'!I82</f>
        <v>55404</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0.21018669178265981</v>
      </c>
      <c r="D6276" s="2" t="str">
        <f t="shared" si="97"/>
        <v>Error?</v>
      </c>
      <c r="E6276" s="2" t="s">
        <v>199</v>
      </c>
    </row>
    <row r="6277" spans="1:5" x14ac:dyDescent="0.2">
      <c r="A6277">
        <v>6216</v>
      </c>
      <c r="B6277" s="138">
        <f>'Acct Summary 7-8'!D83</f>
        <v>0.22607965657292245</v>
      </c>
      <c r="D6277" s="2" t="str">
        <f t="shared" si="97"/>
        <v>Error?</v>
      </c>
      <c r="E6277" s="2" t="s">
        <v>199</v>
      </c>
    </row>
    <row r="6278" spans="1:5" x14ac:dyDescent="0.2">
      <c r="A6278">
        <v>6217</v>
      </c>
      <c r="B6278" s="138">
        <f>'Acct Summary 7-8'!E83</f>
        <v>0.28091815672328468</v>
      </c>
      <c r="D6278" s="2" t="str">
        <f t="shared" si="97"/>
        <v>Error?</v>
      </c>
      <c r="E6278" s="2" t="s">
        <v>199</v>
      </c>
    </row>
    <row r="6279" spans="1:5" x14ac:dyDescent="0.2">
      <c r="A6279">
        <v>6218</v>
      </c>
      <c r="B6279" s="138">
        <f>'Acct Summary 7-8'!F83</f>
        <v>0.15272917496653135</v>
      </c>
      <c r="D6279" s="2" t="str">
        <f t="shared" si="97"/>
        <v>Error?</v>
      </c>
      <c r="E6279" s="2" t="s">
        <v>199</v>
      </c>
    </row>
    <row r="6280" spans="1:5" x14ac:dyDescent="0.2">
      <c r="A6280">
        <v>6219</v>
      </c>
      <c r="B6280" s="138">
        <f>'Acct Summary 7-8'!G83</f>
        <v>0.53978981471031473</v>
      </c>
      <c r="D6280" s="2" t="str">
        <f t="shared" si="97"/>
        <v>Error?</v>
      </c>
      <c r="E6280" s="2" t="s">
        <v>199</v>
      </c>
    </row>
    <row r="6281" spans="1:5" x14ac:dyDescent="0.2">
      <c r="A6281">
        <v>6220</v>
      </c>
      <c r="B6281" s="138">
        <f>'Acct Summary 7-8'!H83</f>
        <v>0.39385628979793497</v>
      </c>
      <c r="D6281" s="2" t="str">
        <f t="shared" si="97"/>
        <v>Error?</v>
      </c>
      <c r="E6281" s="2" t="s">
        <v>199</v>
      </c>
    </row>
    <row r="6282" spans="1:5" x14ac:dyDescent="0.2">
      <c r="A6282">
        <v>6221</v>
      </c>
      <c r="B6282" s="138">
        <f>'Acct Summary 7-8'!I83</f>
        <v>1.0724701307660948E-2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118765</v>
      </c>
      <c r="D6285" s="2" t="str">
        <f t="shared" si="97"/>
        <v>Error?</v>
      </c>
      <c r="E6285" s="2" t="s">
        <v>199</v>
      </c>
    </row>
    <row r="6286" spans="1:5" x14ac:dyDescent="0.2">
      <c r="A6286">
        <v>6225</v>
      </c>
      <c r="B6286" s="138">
        <f>'Acct Summary 7-8'!E38</f>
        <v>13422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84504</v>
      </c>
      <c r="D6339" s="2" t="str">
        <f t="shared" si="98"/>
        <v>Error?</v>
      </c>
      <c r="E6339" s="2" t="s">
        <v>199</v>
      </c>
    </row>
    <row r="6340" spans="1:5" x14ac:dyDescent="0.2">
      <c r="A6340">
        <v>6279</v>
      </c>
      <c r="B6340" s="138">
        <f>'Revenues 9-14'!C102</f>
        <v>23395</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53427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550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-2202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31303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19219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453984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13500</v>
      </c>
      <c r="D6878" s="2" t="str">
        <f t="shared" si="106"/>
        <v>Error?</v>
      </c>
    </row>
    <row r="6879" spans="1:4" x14ac:dyDescent="0.2">
      <c r="A6879">
        <v>6818</v>
      </c>
      <c r="B6879" s="138">
        <f>'Expenditures 15-22'!K21</f>
        <v>13500</v>
      </c>
      <c r="D6879" s="2" t="str">
        <f t="shared" si="106"/>
        <v>Error?</v>
      </c>
    </row>
    <row r="6880" spans="1:4" x14ac:dyDescent="0.2">
      <c r="A6880">
        <v>6819</v>
      </c>
      <c r="B6880" s="138">
        <f>'Expenditures 15-22'!H22</f>
        <v>823632</v>
      </c>
      <c r="D6880" s="2" t="str">
        <f t="shared" si="106"/>
        <v>Error?</v>
      </c>
    </row>
    <row r="6881" spans="1:4" x14ac:dyDescent="0.2">
      <c r="A6881">
        <v>6820</v>
      </c>
      <c r="B6881" s="138">
        <f>'Expenditures 15-22'!K22</f>
        <v>823632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102297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1101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50420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51521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10829</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6752</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335633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335633</v>
      </c>
      <c r="D6940" s="2" t="str">
        <f t="shared" si="107"/>
        <v>Error?</v>
      </c>
    </row>
    <row r="6941" spans="1:4" x14ac:dyDescent="0.2">
      <c r="A6941">
        <v>6880</v>
      </c>
      <c r="B6941" s="138">
        <f>'Expenditures 15-22'!L52</f>
        <v>335636</v>
      </c>
      <c r="D6941" s="2" t="str">
        <f t="shared" si="107"/>
        <v>Error?</v>
      </c>
    </row>
    <row r="6942" spans="1:4" x14ac:dyDescent="0.2">
      <c r="A6942">
        <v>6881</v>
      </c>
      <c r="B6942" s="138">
        <f>'Expenditures 15-22'!I53</f>
        <v>10829</v>
      </c>
      <c r="D6942" s="2" t="str">
        <f t="shared" si="107"/>
        <v>Error?</v>
      </c>
    </row>
    <row r="6943" spans="1:4" x14ac:dyDescent="0.2">
      <c r="A6943">
        <v>6882</v>
      </c>
      <c r="B6943" s="138">
        <f>'Expenditures 15-22'!J53</f>
        <v>6752</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535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535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62885</v>
      </c>
      <c r="D6977" s="2" t="str">
        <f t="shared" si="108"/>
        <v>Error?</v>
      </c>
    </row>
    <row r="6978" spans="1:4" x14ac:dyDescent="0.2">
      <c r="A6978">
        <v>6917</v>
      </c>
      <c r="B6978" s="138">
        <f>'Expenditures 15-22'!J74</f>
        <v>6752</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15165</v>
      </c>
      <c r="D6981" s="2" t="str">
        <f t="shared" si="108"/>
        <v>Error?</v>
      </c>
    </row>
    <row r="6982" spans="1:4" x14ac:dyDescent="0.2">
      <c r="A6982">
        <v>6921</v>
      </c>
      <c r="B6982" s="138">
        <f>'Expenditures 15-22'!K85</f>
        <v>15165</v>
      </c>
      <c r="D6982" s="2" t="str">
        <f t="shared" si="108"/>
        <v>Error?</v>
      </c>
    </row>
    <row r="6983" spans="1:4" x14ac:dyDescent="0.2">
      <c r="A6983">
        <v>6922</v>
      </c>
      <c r="B6983" s="138">
        <f>'Expenditures 15-22'!H86</f>
        <v>1350557</v>
      </c>
      <c r="D6983" s="2" t="str">
        <f t="shared" si="108"/>
        <v>Error?</v>
      </c>
    </row>
    <row r="6984" spans="1:4" x14ac:dyDescent="0.2">
      <c r="A6984">
        <v>6923</v>
      </c>
      <c r="B6984" s="138">
        <f>'Expenditures 15-22'!K86</f>
        <v>1350557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385603</v>
      </c>
      <c r="D6987" s="2" t="str">
        <f t="shared" si="108"/>
        <v>Error?</v>
      </c>
    </row>
    <row r="6988" spans="1:4" x14ac:dyDescent="0.2">
      <c r="A6988">
        <v>6927</v>
      </c>
      <c r="B6988" s="138">
        <f>'Expenditures 15-22'!K88</f>
        <v>385603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1751325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165182</v>
      </c>
      <c r="D7020" s="2" t="str">
        <f t="shared" si="108"/>
        <v>Error?</v>
      </c>
    </row>
    <row r="7021" spans="1:4" x14ac:dyDescent="0.2">
      <c r="A7021">
        <v>6960</v>
      </c>
      <c r="B7021" s="138">
        <f>'Expenditures 15-22'!J114</f>
        <v>6752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3049</v>
      </c>
      <c r="D7028" s="2" t="str">
        <f t="shared" si="108"/>
        <v>Error?</v>
      </c>
    </row>
    <row r="7029" spans="1:4" x14ac:dyDescent="0.2">
      <c r="A7029">
        <v>6968</v>
      </c>
      <c r="B7029" s="138">
        <f>'Expenditures 15-22'!J124</f>
        <v>3162</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3049</v>
      </c>
      <c r="D7033" s="2" t="str">
        <f t="shared" si="108"/>
        <v>Error?</v>
      </c>
    </row>
    <row r="7034" spans="1:4" x14ac:dyDescent="0.2">
      <c r="A7034">
        <v>6973</v>
      </c>
      <c r="B7034" s="138">
        <f>'Expenditures 15-22'!J127</f>
        <v>3162</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3049</v>
      </c>
      <c r="D7037" s="2" t="str">
        <f t="shared" si="108"/>
        <v>Error?</v>
      </c>
    </row>
    <row r="7038" spans="1:4" x14ac:dyDescent="0.2">
      <c r="A7038">
        <v>6977</v>
      </c>
      <c r="B7038" s="138">
        <f>'Expenditures 15-22'!J129</f>
        <v>3162</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3049</v>
      </c>
      <c r="D7051" s="2" t="str">
        <f t="shared" si="109"/>
        <v>Error?</v>
      </c>
    </row>
    <row r="7052" spans="1:5" x14ac:dyDescent="0.2">
      <c r="A7052">
        <v>6991</v>
      </c>
      <c r="B7052" s="138">
        <f>'Expenditures 15-22'!J151</f>
        <v>3162</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6870</v>
      </c>
      <c r="D7067" s="2" t="str">
        <f t="shared" si="109"/>
        <v>Error?</v>
      </c>
    </row>
    <row r="7068" spans="1:4" x14ac:dyDescent="0.2">
      <c r="A7068">
        <v>7007</v>
      </c>
      <c r="B7068" s="138">
        <f>'Expenditures 15-22'!K205</f>
        <v>6870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4270</v>
      </c>
      <c r="D7079" s="2" t="str">
        <f t="shared" si="109"/>
        <v>Error?</v>
      </c>
    </row>
    <row r="7080" spans="1:4" x14ac:dyDescent="0.2">
      <c r="A7080">
        <v>7019</v>
      </c>
      <c r="B7080" s="138">
        <f>'Expenditures 15-22'!K226</f>
        <v>4270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216938</v>
      </c>
      <c r="D7263" s="2" t="str">
        <f t="shared" si="112"/>
        <v>Error?</v>
      </c>
    </row>
    <row r="7264" spans="1:4" x14ac:dyDescent="0.2">
      <c r="A7264">
        <f t="shared" si="113"/>
        <v>7203</v>
      </c>
      <c r="B7264" s="138">
        <f>'Expenditures 15-22'!D17</f>
        <v>84731</v>
      </c>
      <c r="D7264" s="2" t="str">
        <f t="shared" si="112"/>
        <v>Error?</v>
      </c>
    </row>
    <row r="7265" spans="1:5" x14ac:dyDescent="0.2">
      <c r="A7265">
        <f t="shared" si="113"/>
        <v>7204</v>
      </c>
      <c r="B7265" s="138">
        <f>'Expenditures 15-22'!E17</f>
        <v>23481</v>
      </c>
      <c r="D7265" s="2" t="str">
        <f t="shared" si="112"/>
        <v>Error?</v>
      </c>
    </row>
    <row r="7266" spans="1:5" x14ac:dyDescent="0.2">
      <c r="A7266">
        <f t="shared" si="113"/>
        <v>7205</v>
      </c>
      <c r="B7266" s="138">
        <f>'Expenditures 15-22'!F17</f>
        <v>11151</v>
      </c>
      <c r="D7266" s="2" t="str">
        <f t="shared" si="112"/>
        <v>Error?</v>
      </c>
    </row>
    <row r="7267" spans="1:5" x14ac:dyDescent="0.2">
      <c r="A7267">
        <f t="shared" si="113"/>
        <v>7206</v>
      </c>
      <c r="B7267" s="138">
        <f>'Expenditures 15-22'!G17</f>
        <v>117030</v>
      </c>
      <c r="D7267" s="2" t="str">
        <f t="shared" si="112"/>
        <v>Error?</v>
      </c>
    </row>
    <row r="7268" spans="1:5" x14ac:dyDescent="0.2">
      <c r="A7268">
        <f t="shared" si="113"/>
        <v>7207</v>
      </c>
      <c r="B7268" s="138">
        <f>'Expenditures 15-22'!H17</f>
        <v>653</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168231</v>
      </c>
      <c r="D7624" s="2" t="str">
        <f t="shared" si="124"/>
        <v>Error?</v>
      </c>
      <c r="E7624" s="2" t="s">
        <v>19</v>
      </c>
    </row>
    <row r="7625" spans="1:5" x14ac:dyDescent="0.2">
      <c r="A7625">
        <f t="shared" si="123"/>
        <v>7564</v>
      </c>
      <c r="B7625" s="138">
        <f>'Cap Outlay Deprec 26'!I17</f>
        <v>16823.099999999999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3119501.1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118765</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13422</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84505</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99615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184120</v>
      </c>
      <c r="D7719" s="2" t="str">
        <f t="shared" si="126"/>
        <v>Error?</v>
      </c>
      <c r="E7719" s="2" t="s">
        <v>881</v>
      </c>
    </row>
    <row r="7720" spans="1:6" x14ac:dyDescent="0.2">
      <c r="A7720">
        <v>7659</v>
      </c>
      <c r="B7720" s="138">
        <f>'Rest Tax Levies-Tort Im 25'!H14</f>
        <v>678355</v>
      </c>
      <c r="D7720" s="2" t="str">
        <f t="shared" si="126"/>
        <v>Error?</v>
      </c>
      <c r="E7720" s="2" t="s">
        <v>881</v>
      </c>
    </row>
    <row r="7721" spans="1:6" x14ac:dyDescent="0.2">
      <c r="A7721">
        <v>7660</v>
      </c>
      <c r="B7721" s="138">
        <f>'Rest Tax Levies-Tort Im 25'!K14</f>
        <v>184120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110017</v>
      </c>
      <c r="D7758" s="2" t="str">
        <f t="shared" si="127"/>
        <v>Error?</v>
      </c>
      <c r="E7758" s="4" t="s">
        <v>1400</v>
      </c>
    </row>
    <row r="7759" spans="1:6" x14ac:dyDescent="0.2">
      <c r="A7759">
        <v>7698</v>
      </c>
      <c r="B7759" s="138">
        <f>'Aud Quest 2'!J88</f>
        <v>110017</v>
      </c>
      <c r="D7759" s="2" t="str">
        <f t="shared" si="127"/>
        <v>Error?</v>
      </c>
      <c r="E7759" s="4" t="s">
        <v>1400</v>
      </c>
    </row>
    <row r="7760" spans="1:6" x14ac:dyDescent="0.2">
      <c r="A7760">
        <v>7699</v>
      </c>
      <c r="B7760" s="138">
        <f>'Aud Quest 2'!J90</f>
        <v>220034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4971671.0999999996</v>
      </c>
      <c r="D7797" s="2" t="str">
        <f t="shared" si="127"/>
        <v>Error?</v>
      </c>
      <c r="E7797" s="4" t="s">
        <v>2017</v>
      </c>
    </row>
    <row r="7798" spans="1:5" x14ac:dyDescent="0.2">
      <c r="A7798">
        <v>7737</v>
      </c>
      <c r="B7798" s="138">
        <f>'Contracts Paid in CY 29'!F141</f>
        <v>523579.1</v>
      </c>
      <c r="D7798" s="2" t="str">
        <f t="shared" si="127"/>
        <v>Error?</v>
      </c>
      <c r="E7798" s="4" t="s">
        <v>2017</v>
      </c>
    </row>
    <row r="7799" spans="1:5" x14ac:dyDescent="0.2">
      <c r="A7799">
        <v>7738</v>
      </c>
      <c r="B7799" s="138">
        <f>'Contracts Paid in CY 29'!G141</f>
        <v>4448092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60"/>
  <sheetViews>
    <sheetView showGridLines="0" showZeros="0" topLeftCell="A16" zoomScale="110" zoomScaleNormal="110" workbookViewId="0">
      <selection activeCell="J30" sqref="J3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7" t="s">
        <v>1253</v>
      </c>
      <c r="B2" s="2417"/>
      <c r="C2" s="2417"/>
      <c r="D2" s="2417"/>
      <c r="E2" s="2417"/>
      <c r="F2" s="2417"/>
      <c r="G2" s="2417"/>
      <c r="H2" s="2417"/>
      <c r="I2" s="2417"/>
      <c r="J2" s="2417"/>
      <c r="K2" s="2417"/>
      <c r="L2" s="2417"/>
    </row>
    <row r="3" spans="1:29" ht="13.5" customHeight="1" x14ac:dyDescent="0.2">
      <c r="A3" s="2448" t="s">
        <v>1252</v>
      </c>
      <c r="B3" s="2448"/>
      <c r="C3" s="2448"/>
      <c r="D3" s="2448"/>
      <c r="E3" s="2448"/>
      <c r="F3" s="2448"/>
      <c r="G3" s="2448"/>
      <c r="H3" s="2448"/>
      <c r="I3" s="2448"/>
      <c r="J3" s="2448"/>
      <c r="K3" s="2448"/>
      <c r="L3" s="2448"/>
    </row>
    <row r="4" spans="1:29" ht="13.5" customHeight="1" x14ac:dyDescent="0.2">
      <c r="A4" s="2417" t="s">
        <v>1799</v>
      </c>
      <c r="B4" s="2438"/>
      <c r="C4" s="2438"/>
      <c r="D4" s="2438"/>
      <c r="E4" s="2438"/>
      <c r="F4" s="2438"/>
      <c r="G4" s="2438"/>
      <c r="H4" s="2438"/>
      <c r="I4" s="2438"/>
      <c r="J4" s="2438"/>
      <c r="K4" s="2438"/>
      <c r="L4" s="243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9" t="str">
        <f>COVER!A17</f>
        <v>Lake Park CHSD 108</v>
      </c>
      <c r="B7" s="2440"/>
      <c r="C7" s="2440"/>
      <c r="D7" s="2441"/>
      <c r="E7" s="2442">
        <f>COVER!A13</f>
        <v>19022108016</v>
      </c>
      <c r="F7" s="2443"/>
      <c r="G7" s="2449" t="str">
        <f>COVER!T23</f>
        <v>066-005142</v>
      </c>
      <c r="H7" s="2450"/>
      <c r="I7" s="2450"/>
      <c r="J7" s="2450"/>
      <c r="K7" s="2450"/>
      <c r="L7" s="2451"/>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52"/>
      <c r="B9" s="2453"/>
      <c r="C9" s="2453"/>
      <c r="D9" s="2453"/>
      <c r="E9" s="2453"/>
      <c r="F9" s="2454"/>
      <c r="G9" s="2423" t="str">
        <f>COVER!T13</f>
        <v>EDER, CASELLA &amp; CO</v>
      </c>
      <c r="H9" s="2455"/>
      <c r="I9" s="2455"/>
      <c r="J9" s="2455"/>
      <c r="K9" s="2455"/>
      <c r="L9" s="2456"/>
    </row>
    <row r="10" spans="1:29" ht="13.5" customHeight="1" x14ac:dyDescent="0.2">
      <c r="A10" s="2429">
        <f>COVER!A38</f>
        <v>0</v>
      </c>
      <c r="B10" s="2430"/>
      <c r="C10" s="2430"/>
      <c r="D10" s="2430"/>
      <c r="E10" s="2430"/>
      <c r="F10" s="2431"/>
      <c r="G10" s="2423" t="str">
        <f>COVER!T17</f>
        <v>5400 WEST ELM STREET, SUITE 203</v>
      </c>
      <c r="H10" s="2424"/>
      <c r="I10" s="2424"/>
      <c r="J10" s="2424"/>
      <c r="K10" s="2424"/>
      <c r="L10" s="2425"/>
    </row>
    <row r="11" spans="1:29" ht="13.5" customHeight="1" x14ac:dyDescent="0.2">
      <c r="A11" s="1184" t="s">
        <v>1599</v>
      </c>
      <c r="B11" s="1185"/>
      <c r="C11" s="1186"/>
      <c r="D11" s="1191"/>
      <c r="E11" s="1186"/>
      <c r="F11" s="1190"/>
      <c r="G11" s="2423" t="str">
        <f>COVER!T19</f>
        <v>MCHENRY</v>
      </c>
      <c r="H11" s="2424"/>
      <c r="I11" s="2424"/>
      <c r="J11" s="2424"/>
      <c r="K11" s="2424"/>
      <c r="L11" s="2425"/>
    </row>
    <row r="12" spans="1:29" ht="13.5" customHeight="1" x14ac:dyDescent="0.2">
      <c r="A12" s="2432" t="s">
        <v>1598</v>
      </c>
      <c r="B12" s="2433"/>
      <c r="C12" s="2433"/>
      <c r="D12" s="2433"/>
      <c r="E12" s="2433"/>
      <c r="F12" s="2434"/>
      <c r="G12" s="2426"/>
      <c r="H12" s="2427"/>
      <c r="I12" s="2427"/>
      <c r="J12" s="2427"/>
      <c r="K12" s="2427"/>
      <c r="L12" s="2428"/>
    </row>
    <row r="13" spans="1:29" ht="13.5" customHeight="1" x14ac:dyDescent="0.2">
      <c r="A13" s="2423"/>
      <c r="B13" s="2424"/>
      <c r="C13" s="2424"/>
      <c r="D13" s="2424"/>
      <c r="E13" s="2424"/>
      <c r="F13" s="2425"/>
      <c r="G13" s="2418" t="s">
        <v>1600</v>
      </c>
      <c r="H13" s="2419"/>
      <c r="I13" s="2435" t="str">
        <f>COVER!T25</f>
        <v>CPAS@EDERCASELLA.COM</v>
      </c>
      <c r="J13" s="2436"/>
      <c r="K13" s="2436"/>
      <c r="L13" s="2437"/>
    </row>
    <row r="14" spans="1:29" ht="13.5" customHeight="1" x14ac:dyDescent="0.2">
      <c r="A14" s="2423" t="str">
        <f>COVER!A19</f>
        <v>590 SOUTH MEDINAH ROAD</v>
      </c>
      <c r="B14" s="2424"/>
      <c r="C14" s="2424"/>
      <c r="D14" s="2424"/>
      <c r="E14" s="2424"/>
      <c r="F14" s="2425"/>
      <c r="G14" s="1195" t="s">
        <v>1247</v>
      </c>
      <c r="H14" s="1193"/>
      <c r="I14" s="1193"/>
      <c r="J14" s="1193"/>
      <c r="K14" s="1193"/>
      <c r="L14" s="1194"/>
    </row>
    <row r="15" spans="1:29" ht="13.5" customHeight="1" x14ac:dyDescent="0.2">
      <c r="A15" s="2423" t="str">
        <f>COVER!A21</f>
        <v>ROSELLE</v>
      </c>
      <c r="B15" s="2424"/>
      <c r="C15" s="2424"/>
      <c r="D15" s="2424"/>
      <c r="E15" s="2424"/>
      <c r="F15" s="2425"/>
      <c r="G15" s="2420" t="str">
        <f>COVER!T15</f>
        <v>JOHN ALBANESE</v>
      </c>
      <c r="H15" s="2421"/>
      <c r="I15" s="2421"/>
      <c r="J15" s="2421"/>
      <c r="K15" s="2421"/>
      <c r="L15" s="2422"/>
    </row>
    <row r="16" spans="1:29" ht="12.2" customHeight="1" x14ac:dyDescent="0.2">
      <c r="A16" s="2445">
        <f>COVER!A25</f>
        <v>60712</v>
      </c>
      <c r="B16" s="2446"/>
      <c r="C16" s="2446"/>
      <c r="D16" s="2446"/>
      <c r="E16" s="2446"/>
      <c r="F16" s="2447"/>
      <c r="G16" s="2457"/>
      <c r="H16" s="2458"/>
      <c r="I16" s="2458"/>
      <c r="J16" s="2458"/>
      <c r="K16" s="2458"/>
      <c r="L16" s="2459"/>
    </row>
    <row r="17" spans="1:13" ht="12.2" customHeight="1" x14ac:dyDescent="0.2">
      <c r="A17" s="2460"/>
      <c r="B17" s="2446"/>
      <c r="C17" s="2446"/>
      <c r="D17" s="2446"/>
      <c r="E17" s="2446"/>
      <c r="F17" s="2447"/>
      <c r="G17" s="1195" t="s">
        <v>1246</v>
      </c>
      <c r="H17" s="1193"/>
      <c r="I17" s="1193"/>
      <c r="J17" s="1193"/>
      <c r="K17" s="1197" t="s">
        <v>1245</v>
      </c>
      <c r="L17" s="1190"/>
      <c r="M17" s="1183"/>
    </row>
    <row r="18" spans="1:13" ht="12.2" customHeight="1" x14ac:dyDescent="0.2">
      <c r="A18" s="2429"/>
      <c r="B18" s="2430"/>
      <c r="C18" s="2430"/>
      <c r="D18" s="2430"/>
      <c r="E18" s="2430"/>
      <c r="F18" s="2431"/>
      <c r="G18" s="2439" t="str">
        <f>COVER!T21</f>
        <v>815-344-1300</v>
      </c>
      <c r="H18" s="2440"/>
      <c r="I18" s="2440"/>
      <c r="J18" s="2440"/>
      <c r="K18" s="2439" t="str">
        <f>COVER!X21</f>
        <v>815-344-1320</v>
      </c>
      <c r="L18" s="244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2114</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2114</v>
      </c>
      <c r="C26" s="1202" t="s">
        <v>1801</v>
      </c>
    </row>
    <row r="27" spans="1:13" s="1198" customFormat="1" ht="9" customHeight="1" x14ac:dyDescent="0.2">
      <c r="B27" s="1203"/>
      <c r="C27" s="1202"/>
    </row>
    <row r="28" spans="1:13" s="1198" customFormat="1" ht="12.2" customHeight="1" x14ac:dyDescent="0.2">
      <c r="A28" s="1205"/>
      <c r="B28" s="1201" t="s">
        <v>2114</v>
      </c>
      <c r="C28" s="1202" t="s">
        <v>1802</v>
      </c>
    </row>
    <row r="29" spans="1:13" s="1198" customFormat="1" ht="9" customHeight="1" x14ac:dyDescent="0.2">
      <c r="A29" s="1205"/>
      <c r="B29" s="1203"/>
      <c r="C29" s="1202"/>
    </row>
    <row r="30" spans="1:13" s="1198" customFormat="1" ht="12.2" customHeight="1" x14ac:dyDescent="0.2">
      <c r="B30" s="1201" t="s">
        <v>2114</v>
      </c>
      <c r="C30" s="1202" t="s">
        <v>1643</v>
      </c>
      <c r="D30" s="1196"/>
      <c r="E30" s="1196"/>
    </row>
    <row r="31" spans="1:13" s="1198" customFormat="1" ht="9" customHeight="1" x14ac:dyDescent="0.2">
      <c r="B31" s="1203"/>
      <c r="C31" s="1202"/>
      <c r="D31" s="1196"/>
      <c r="E31" s="1196"/>
    </row>
    <row r="32" spans="1:13" s="1198" customFormat="1" ht="12.2" customHeight="1" x14ac:dyDescent="0.2">
      <c r="B32" s="1201" t="s">
        <v>2114</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2114</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2114</v>
      </c>
      <c r="C38" s="1202" t="s">
        <v>1647</v>
      </c>
    </row>
    <row r="39" spans="1:8" ht="9" customHeight="1" x14ac:dyDescent="0.2">
      <c r="B39" s="1203"/>
      <c r="C39" s="1206"/>
    </row>
    <row r="40" spans="1:8" s="1198" customFormat="1" ht="13.5" customHeight="1" x14ac:dyDescent="0.2">
      <c r="B40" s="1201" t="s">
        <v>2114</v>
      </c>
      <c r="C40" s="1202" t="s">
        <v>1648</v>
      </c>
    </row>
    <row r="41" spans="1:8" ht="9" customHeight="1" x14ac:dyDescent="0.2">
      <c r="A41" s="1207"/>
      <c r="B41" s="1203"/>
      <c r="C41" s="1206"/>
    </row>
    <row r="42" spans="1:8" s="1198" customFormat="1" ht="13.5" customHeight="1" x14ac:dyDescent="0.2">
      <c r="B42" s="1201" t="s">
        <v>2114</v>
      </c>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27"/>
  <sheetViews>
    <sheetView showGridLines="0" zoomScale="125" zoomScaleNormal="125" workbookViewId="0">
      <selection activeCell="J30" sqref="J30"/>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61" t="str">
        <f>'Single Audit Cover'!A7</f>
        <v>Lake Park CHSD 108</v>
      </c>
      <c r="B1" s="2438"/>
      <c r="C1" s="2438"/>
      <c r="D1" s="2438"/>
    </row>
    <row r="2" spans="1:11" s="1214" customFormat="1" ht="12.75" x14ac:dyDescent="0.2">
      <c r="A2" s="2462">
        <f>'Single Audit Cover'!E7</f>
        <v>19022108016</v>
      </c>
      <c r="B2" s="2463"/>
      <c r="C2" s="2463"/>
      <c r="D2" s="2463"/>
    </row>
    <row r="3" spans="1:11" s="1214" customFormat="1" ht="12.75" x14ac:dyDescent="0.2">
      <c r="A3" s="2461" t="s">
        <v>1593</v>
      </c>
      <c r="B3" s="2438"/>
      <c r="C3" s="2438"/>
      <c r="D3" s="2438"/>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1945</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4"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49"/>
  <sheetViews>
    <sheetView showGridLines="0" zoomScale="110" zoomScaleNormal="110" zoomScaleSheetLayoutView="100" workbookViewId="0">
      <selection activeCell="J30" sqref="J30"/>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5" t="str">
        <f>'Single Audit Cover'!A7</f>
        <v>Lake Park CHSD 108</v>
      </c>
      <c r="B1" s="2465"/>
      <c r="C1" s="2465"/>
      <c r="D1" s="2465"/>
      <c r="E1" s="2465"/>
    </row>
    <row r="2" spans="1:5" x14ac:dyDescent="0.2">
      <c r="A2" s="2466">
        <f>'Single Audit Cover'!E7</f>
        <v>19022108016</v>
      </c>
      <c r="B2" s="2466"/>
      <c r="C2" s="2466"/>
      <c r="D2" s="2466"/>
      <c r="E2" s="2466"/>
    </row>
    <row r="3" spans="1:5" ht="4.5" customHeight="1" x14ac:dyDescent="0.2"/>
    <row r="4" spans="1:5" x14ac:dyDescent="0.2">
      <c r="A4" s="2465" t="s">
        <v>1307</v>
      </c>
      <c r="B4" s="2465"/>
      <c r="C4" s="2465"/>
      <c r="D4" s="2465"/>
      <c r="E4" s="2465"/>
    </row>
    <row r="5" spans="1:5" x14ac:dyDescent="0.2">
      <c r="A5" s="2468" t="str">
        <f>'Single Audit Cover'!A4</f>
        <v>Year Ending June 30, 2018</v>
      </c>
      <c r="B5" s="2468"/>
      <c r="C5" s="2468"/>
      <c r="D5" s="2468"/>
      <c r="E5" s="2468"/>
    </row>
    <row r="6" spans="1:5" x14ac:dyDescent="0.2">
      <c r="A6" s="2465" t="s">
        <v>1306</v>
      </c>
      <c r="B6" s="2465"/>
      <c r="C6" s="2465"/>
      <c r="D6" s="2465"/>
      <c r="E6" s="2465"/>
    </row>
    <row r="8" spans="1:5" x14ac:dyDescent="0.2">
      <c r="A8" s="1259" t="s">
        <v>1305</v>
      </c>
    </row>
    <row r="10" spans="1:5" x14ac:dyDescent="0.2">
      <c r="A10" s="1260" t="s">
        <v>1304</v>
      </c>
      <c r="B10" s="1261" t="s">
        <v>1303</v>
      </c>
      <c r="C10" s="1261"/>
      <c r="D10" s="1262">
        <f>SUM('Acct Summary 7-8'!C7:K7)</f>
        <v>1093660</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1953</v>
      </c>
      <c r="B16" s="1261"/>
      <c r="C16" s="1261"/>
    </row>
    <row r="17" spans="1:4" x14ac:dyDescent="0.2">
      <c r="A17" s="1260" t="s">
        <v>1601</v>
      </c>
      <c r="B17" s="1261" t="s">
        <v>1298</v>
      </c>
      <c r="C17" s="1261"/>
      <c r="D17" s="1263">
        <f>-SUM('Revenues 9-14'!C271:D271,'Revenues 9-14'!F271:G271)</f>
        <v>-84954</v>
      </c>
    </row>
    <row r="19" spans="1:4" ht="13.5" thickBot="1" x14ac:dyDescent="0.25">
      <c r="A19" s="1264" t="s">
        <v>1297</v>
      </c>
      <c r="D19" s="1265">
        <f>SUM(D10:D17)</f>
        <v>1008706</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7"/>
      <c r="B24" s="2467"/>
      <c r="D24" s="1267"/>
    </row>
    <row r="25" spans="1:4" x14ac:dyDescent="0.2">
      <c r="A25" s="2464"/>
      <c r="B25" s="2464"/>
      <c r="D25" s="1267"/>
    </row>
    <row r="26" spans="1:4" x14ac:dyDescent="0.2">
      <c r="A26" s="2464"/>
      <c r="B26" s="2464"/>
      <c r="D26" s="1267"/>
    </row>
    <row r="27" spans="1:4" x14ac:dyDescent="0.2">
      <c r="A27" s="2464"/>
      <c r="B27" s="2464"/>
      <c r="D27" s="1267"/>
    </row>
    <row r="28" spans="1:4" x14ac:dyDescent="0.2">
      <c r="A28" s="2464"/>
      <c r="B28" s="2464"/>
      <c r="D28" s="1267"/>
    </row>
    <row r="29" spans="1:4" x14ac:dyDescent="0.2">
      <c r="A29" s="2464"/>
      <c r="B29" s="2464"/>
      <c r="D29" s="1267"/>
    </row>
    <row r="30" spans="1:4" x14ac:dyDescent="0.2">
      <c r="A30" s="2464"/>
      <c r="B30" s="2464"/>
      <c r="D30" s="1267"/>
    </row>
    <row r="32" spans="1:4" x14ac:dyDescent="0.2">
      <c r="A32" s="1259" t="s">
        <v>1295</v>
      </c>
      <c r="D32" s="1262">
        <f>SUM(D19:D30)</f>
        <v>1008706</v>
      </c>
    </row>
    <row r="33" spans="1:4" x14ac:dyDescent="0.2">
      <c r="D33" s="1268"/>
    </row>
    <row r="34" spans="1:4" x14ac:dyDescent="0.2">
      <c r="A34" s="317" t="s">
        <v>1294</v>
      </c>
    </row>
    <row r="35" spans="1:4" x14ac:dyDescent="0.2">
      <c r="A35" s="317" t="s">
        <v>1293</v>
      </c>
      <c r="B35" s="1257" t="s">
        <v>1292</v>
      </c>
      <c r="D35" s="1269">
        <f>+' SEFA (2)'!F25</f>
        <v>1010484</v>
      </c>
    </row>
    <row r="37" spans="1:4" x14ac:dyDescent="0.2">
      <c r="A37" s="1259" t="s">
        <v>1291</v>
      </c>
    </row>
    <row r="39" spans="1:4" ht="13.35" customHeight="1" x14ac:dyDescent="0.2">
      <c r="A39" s="1266" t="s">
        <v>1290</v>
      </c>
    </row>
    <row r="40" spans="1:4" x14ac:dyDescent="0.2">
      <c r="A40" s="2464" t="s">
        <v>2099</v>
      </c>
      <c r="B40" s="2464"/>
      <c r="D40" s="1267">
        <v>-1778</v>
      </c>
    </row>
    <row r="41" spans="1:4" x14ac:dyDescent="0.2">
      <c r="A41" s="2464"/>
      <c r="B41" s="2464"/>
      <c r="D41" s="1270"/>
    </row>
    <row r="42" spans="1:4" x14ac:dyDescent="0.2">
      <c r="A42" s="2464"/>
      <c r="B42" s="2464"/>
      <c r="D42" s="1270"/>
    </row>
    <row r="43" spans="1:4" x14ac:dyDescent="0.2">
      <c r="A43" s="2464"/>
      <c r="B43" s="2464"/>
      <c r="D43" s="1270"/>
    </row>
    <row r="44" spans="1:4" x14ac:dyDescent="0.2">
      <c r="A44" s="2464"/>
      <c r="B44" s="2464"/>
      <c r="D44" s="1270"/>
    </row>
    <row r="45" spans="1:4" x14ac:dyDescent="0.2">
      <c r="A45" s="2464"/>
      <c r="B45" s="2464"/>
      <c r="D45" s="1270"/>
    </row>
    <row r="47" spans="1:4" x14ac:dyDescent="0.2">
      <c r="B47" s="1271" t="s">
        <v>1289</v>
      </c>
      <c r="C47" s="1271"/>
      <c r="D47" s="1272">
        <f>SUM(D35:D45)</f>
        <v>1008706</v>
      </c>
    </row>
    <row r="49" spans="2:4" x14ac:dyDescent="0.2">
      <c r="B49" s="1271" t="s">
        <v>1288</v>
      </c>
      <c r="C49" s="1271"/>
      <c r="D49" s="127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2"/>
  <sheetViews>
    <sheetView showGridLines="0" topLeftCell="A28" zoomScale="120" zoomScaleNormal="120" workbookViewId="0">
      <selection activeCell="A32" sqref="A32:F32"/>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8" t="str">
        <f>'Single Audit Cover'!A7</f>
        <v>Lake Park CHSD 108</v>
      </c>
      <c r="B1" s="2478"/>
      <c r="C1" s="2478"/>
      <c r="D1" s="2478"/>
      <c r="E1" s="2478"/>
      <c r="F1" s="2478"/>
    </row>
    <row r="2" spans="1:7" ht="13.5" customHeight="1" x14ac:dyDescent="0.2">
      <c r="A2" s="2479">
        <f>'Single Audit Cover'!E7</f>
        <v>19022108016</v>
      </c>
      <c r="B2" s="2479"/>
      <c r="C2" s="2479"/>
      <c r="D2" s="2479"/>
      <c r="E2" s="2479"/>
      <c r="F2" s="2479"/>
      <c r="G2" s="1274"/>
    </row>
    <row r="3" spans="1:7" ht="15.75" customHeight="1" x14ac:dyDescent="0.2">
      <c r="A3" s="2480" t="s">
        <v>1333</v>
      </c>
      <c r="B3" s="2480"/>
      <c r="C3" s="2480"/>
      <c r="D3" s="2480"/>
      <c r="E3" s="2480"/>
      <c r="F3" s="2480"/>
    </row>
    <row r="4" spans="1:7" ht="13.5" customHeight="1" x14ac:dyDescent="0.2">
      <c r="A4" s="2481" t="str">
        <f>'Single Audit Cover'!A4</f>
        <v>Year Ending June 30, 2018</v>
      </c>
      <c r="B4" s="2481"/>
      <c r="C4" s="2481"/>
      <c r="D4" s="2481"/>
      <c r="E4" s="2481"/>
      <c r="F4" s="2481"/>
    </row>
    <row r="5" spans="1:7" ht="8.25" customHeight="1" x14ac:dyDescent="0.2">
      <c r="C5" s="317"/>
      <c r="D5" s="317"/>
    </row>
    <row r="6" spans="1:7" ht="13.5" customHeight="1" x14ac:dyDescent="0.2">
      <c r="A6" s="1275" t="s">
        <v>1831</v>
      </c>
      <c r="C6" s="317"/>
      <c r="D6" s="317"/>
    </row>
    <row r="7" spans="1:7" ht="60.95" customHeight="1" x14ac:dyDescent="0.2">
      <c r="A7" s="2477" t="s">
        <v>2177</v>
      </c>
      <c r="B7" s="2477"/>
      <c r="C7" s="2477"/>
      <c r="D7" s="2477"/>
      <c r="E7" s="2477"/>
      <c r="F7" s="2477"/>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2114</v>
      </c>
      <c r="F10" s="1279" t="s">
        <v>101</v>
      </c>
      <c r="G10" s="1277"/>
    </row>
    <row r="11" spans="1:7" ht="12" customHeight="1" x14ac:dyDescent="0.2">
      <c r="A11" s="1278"/>
      <c r="B11" s="1279"/>
      <c r="C11" s="1917"/>
      <c r="D11" s="1279"/>
      <c r="E11" s="1917"/>
      <c r="F11" s="1279"/>
      <c r="G11" s="1277"/>
    </row>
    <row r="12" spans="1:7" x14ac:dyDescent="0.2">
      <c r="A12" s="1275" t="s">
        <v>1669</v>
      </c>
      <c r="C12" s="1259"/>
      <c r="D12" s="1259"/>
    </row>
    <row r="13" spans="1:7" ht="15" customHeight="1" x14ac:dyDescent="0.2">
      <c r="A13" s="2477" t="s">
        <v>2178</v>
      </c>
      <c r="B13" s="2477"/>
      <c r="C13" s="2477"/>
      <c r="D13" s="2477"/>
      <c r="E13" s="2477"/>
      <c r="F13" s="2477"/>
    </row>
    <row r="14" spans="1:7" ht="9.75" customHeight="1" x14ac:dyDescent="0.2">
      <c r="C14" s="1259"/>
      <c r="D14" s="1259"/>
    </row>
    <row r="15" spans="1:7" ht="13.5" customHeight="1" x14ac:dyDescent="0.2">
      <c r="C15" s="1861" t="s">
        <v>1332</v>
      </c>
      <c r="D15" s="2475" t="s">
        <v>1331</v>
      </c>
      <c r="E15" s="2475"/>
      <c r="F15" s="2475"/>
    </row>
    <row r="16" spans="1:7" ht="13.5" customHeight="1" x14ac:dyDescent="0.2">
      <c r="A16" s="1281"/>
      <c r="B16" s="1275" t="s">
        <v>1330</v>
      </c>
      <c r="C16" s="1861" t="s">
        <v>1329</v>
      </c>
      <c r="D16" s="2476" t="s">
        <v>1670</v>
      </c>
      <c r="E16" s="2476"/>
      <c r="F16" s="2476"/>
    </row>
    <row r="17" spans="1:6" ht="20.45" customHeight="1" x14ac:dyDescent="0.2">
      <c r="A17" s="1282"/>
      <c r="B17" s="1283" t="s">
        <v>2154</v>
      </c>
      <c r="C17" s="1284"/>
      <c r="D17" s="2470"/>
      <c r="E17" s="2470"/>
      <c r="F17" s="2470"/>
    </row>
    <row r="18" spans="1:6" ht="20.65" customHeight="1" x14ac:dyDescent="0.2">
      <c r="A18" s="1282"/>
      <c r="B18" s="1283"/>
      <c r="C18" s="1284"/>
      <c r="D18" s="2470"/>
      <c r="E18" s="2470"/>
      <c r="F18" s="2470"/>
    </row>
    <row r="19" spans="1:6" ht="20.65" customHeight="1" x14ac:dyDescent="0.2">
      <c r="A19" s="1282"/>
      <c r="B19" s="1283"/>
      <c r="C19" s="1284"/>
      <c r="D19" s="2470"/>
      <c r="E19" s="2470"/>
      <c r="F19" s="2470"/>
    </row>
    <row r="20" spans="1:6" ht="20.65" customHeight="1" x14ac:dyDescent="0.2">
      <c r="A20" s="1282"/>
      <c r="B20" s="1283"/>
      <c r="C20" s="1284"/>
      <c r="D20" s="2470"/>
      <c r="E20" s="2470"/>
      <c r="F20" s="2470"/>
    </row>
    <row r="21" spans="1:6" ht="20.65" customHeight="1" x14ac:dyDescent="0.2">
      <c r="A21" s="1282"/>
      <c r="B21" s="1283"/>
      <c r="C21" s="1284"/>
      <c r="D21" s="2470"/>
      <c r="E21" s="2470"/>
      <c r="F21" s="2470"/>
    </row>
    <row r="22" spans="1:6" ht="20.65" customHeight="1" x14ac:dyDescent="0.2">
      <c r="A22" s="1282"/>
      <c r="B22" s="1283"/>
      <c r="C22" s="1284"/>
      <c r="D22" s="2470"/>
      <c r="E22" s="2470"/>
      <c r="F22" s="2470"/>
    </row>
    <row r="23" spans="1:6" ht="20.65" customHeight="1" x14ac:dyDescent="0.2">
      <c r="A23" s="1282"/>
      <c r="B23" s="1283"/>
      <c r="C23" s="1284"/>
      <c r="D23" s="2470"/>
      <c r="E23" s="2470"/>
      <c r="F23" s="2470"/>
    </row>
    <row r="24" spans="1:6" ht="20.65" customHeight="1" x14ac:dyDescent="0.2">
      <c r="A24" s="1282"/>
      <c r="B24" s="1283"/>
      <c r="C24" s="1284"/>
      <c r="D24" s="2470"/>
      <c r="E24" s="2470"/>
      <c r="F24" s="2470"/>
    </row>
    <row r="25" spans="1:6" ht="20.65" customHeight="1" x14ac:dyDescent="0.2">
      <c r="A25" s="1282"/>
      <c r="B25" s="1283"/>
      <c r="C25" s="1284"/>
      <c r="D25" s="2470"/>
      <c r="E25" s="2470"/>
      <c r="F25" s="2470"/>
    </row>
    <row r="26" spans="1:6" ht="20.65" customHeight="1" x14ac:dyDescent="0.2">
      <c r="A26" s="1282"/>
      <c r="B26" s="1283"/>
      <c r="C26" s="1284"/>
      <c r="D26" s="2470"/>
      <c r="E26" s="2470"/>
      <c r="F26" s="2470"/>
    </row>
    <row r="27" spans="1:6" ht="20.65" customHeight="1" x14ac:dyDescent="0.2">
      <c r="A27" s="1282"/>
      <c r="B27" s="1283"/>
      <c r="C27" s="1284"/>
      <c r="D27" s="2470"/>
      <c r="E27" s="2470"/>
      <c r="F27" s="2470"/>
    </row>
    <row r="28" spans="1:6" ht="20.65" customHeight="1" x14ac:dyDescent="0.2">
      <c r="A28" s="1282"/>
      <c r="B28" s="1283"/>
      <c r="C28" s="1284"/>
      <c r="D28" s="2470"/>
      <c r="E28" s="2470"/>
      <c r="F28" s="2470"/>
    </row>
    <row r="29" spans="1:6" ht="20.65" customHeight="1" x14ac:dyDescent="0.2">
      <c r="A29" s="1282"/>
      <c r="B29" s="1283"/>
      <c r="C29" s="1284"/>
      <c r="D29" s="2470"/>
      <c r="E29" s="2470"/>
      <c r="F29" s="2470"/>
    </row>
    <row r="30" spans="1:6" ht="12" customHeight="1" x14ac:dyDescent="0.2">
      <c r="A30" s="328"/>
      <c r="B30" s="328"/>
      <c r="C30" s="1470"/>
      <c r="D30" s="1918"/>
      <c r="E30" s="1285"/>
    </row>
    <row r="31" spans="1:6" ht="12" customHeight="1" x14ac:dyDescent="0.2">
      <c r="A31" s="1286" t="s">
        <v>1630</v>
      </c>
      <c r="B31" s="328"/>
      <c r="C31" s="1470"/>
      <c r="D31" s="1918"/>
      <c r="E31" s="1285"/>
    </row>
    <row r="32" spans="1:6" ht="30" customHeight="1" x14ac:dyDescent="0.2">
      <c r="A32" s="2471" t="s">
        <v>2179</v>
      </c>
      <c r="B32" s="2471"/>
      <c r="C32" s="2471"/>
      <c r="D32" s="2471"/>
      <c r="E32" s="2471"/>
      <c r="F32" s="2471"/>
    </row>
    <row r="33" spans="1:6" ht="13.5" customHeight="1" x14ac:dyDescent="0.2">
      <c r="A33" s="328" t="s">
        <v>1509</v>
      </c>
      <c r="B33" s="328"/>
      <c r="C33" s="1287">
        <v>0</v>
      </c>
      <c r="D33" s="1918"/>
      <c r="E33" s="1285"/>
    </row>
    <row r="34" spans="1:6" ht="13.5" customHeight="1" x14ac:dyDescent="0.2">
      <c r="A34" s="328" t="s">
        <v>1946</v>
      </c>
      <c r="B34" s="328"/>
      <c r="C34" s="1288">
        <v>0</v>
      </c>
      <c r="D34" s="1918" t="s">
        <v>1671</v>
      </c>
      <c r="E34" s="2472">
        <f>+C33+C34</f>
        <v>0</v>
      </c>
      <c r="F34" s="2473"/>
    </row>
    <row r="35" spans="1:6" ht="12" customHeight="1" x14ac:dyDescent="0.2">
      <c r="A35" s="328"/>
      <c r="B35" s="328"/>
      <c r="C35" s="1919"/>
      <c r="D35" s="1918"/>
      <c r="E35" s="1289"/>
      <c r="F35" s="1290"/>
    </row>
    <row r="36" spans="1:6" ht="13.5" customHeight="1" x14ac:dyDescent="0.2">
      <c r="A36" s="1286" t="s">
        <v>1631</v>
      </c>
      <c r="B36" s="328"/>
      <c r="C36" s="1470"/>
      <c r="D36" s="1918"/>
      <c r="E36" s="1285"/>
    </row>
    <row r="37" spans="1:6" ht="14.25" customHeight="1" x14ac:dyDescent="0.2">
      <c r="A37" s="328" t="s">
        <v>1563</v>
      </c>
      <c r="B37" s="328"/>
      <c r="C37" s="1920"/>
      <c r="D37" s="1918"/>
      <c r="E37" s="1285"/>
    </row>
    <row r="38" spans="1:6" ht="14.25" customHeight="1" x14ac:dyDescent="0.2">
      <c r="A38" s="328"/>
      <c r="B38" s="328" t="s">
        <v>1510</v>
      </c>
      <c r="C38" s="1291" t="s">
        <v>101</v>
      </c>
      <c r="D38" s="1918"/>
      <c r="E38" s="1285"/>
    </row>
    <row r="39" spans="1:6" ht="14.25" customHeight="1" x14ac:dyDescent="0.2">
      <c r="A39" s="328"/>
      <c r="B39" s="328" t="s">
        <v>1511</v>
      </c>
      <c r="C39" s="1291" t="s">
        <v>101</v>
      </c>
      <c r="D39" s="1918"/>
      <c r="E39" s="1285"/>
    </row>
    <row r="40" spans="1:6" ht="14.25" customHeight="1" x14ac:dyDescent="0.2">
      <c r="A40" s="328"/>
      <c r="B40" s="328" t="s">
        <v>1512</v>
      </c>
      <c r="C40" s="1291" t="s">
        <v>101</v>
      </c>
      <c r="D40" s="1918"/>
      <c r="E40" s="1285"/>
    </row>
    <row r="41" spans="1:6" ht="14.25" customHeight="1" x14ac:dyDescent="0.2">
      <c r="A41" s="328"/>
      <c r="B41" s="328" t="s">
        <v>1513</v>
      </c>
      <c r="C41" s="1291" t="s">
        <v>101</v>
      </c>
      <c r="D41" s="1918"/>
      <c r="E41" s="1285"/>
    </row>
    <row r="42" spans="1:6" ht="14.25" customHeight="1" x14ac:dyDescent="0.2">
      <c r="A42" s="328" t="s">
        <v>1514</v>
      </c>
      <c r="B42" s="328"/>
      <c r="C42" s="1916" t="s">
        <v>101</v>
      </c>
      <c r="D42" s="1918"/>
      <c r="E42" s="1285"/>
    </row>
    <row r="43" spans="1:6" ht="14.25" customHeight="1" x14ac:dyDescent="0.2">
      <c r="A43" s="328" t="s">
        <v>1515</v>
      </c>
      <c r="B43" s="328"/>
      <c r="C43" s="1292" t="s">
        <v>101</v>
      </c>
      <c r="D43" s="1918"/>
      <c r="E43" s="1285"/>
    </row>
    <row r="44" spans="1:6" ht="14.25" customHeight="1" x14ac:dyDescent="0.2">
      <c r="A44" s="328"/>
      <c r="B44" s="328"/>
      <c r="C44" s="1920" t="s">
        <v>1516</v>
      </c>
      <c r="D44" s="1918"/>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4" t="s">
        <v>1672</v>
      </c>
      <c r="C49" s="2474"/>
      <c r="D49" s="2474"/>
      <c r="E49" s="1391"/>
    </row>
    <row r="50" spans="1:5" s="1299" customFormat="1" ht="3.75" customHeight="1" x14ac:dyDescent="0.2">
      <c r="A50" s="1298"/>
      <c r="B50" s="1860"/>
      <c r="C50" s="1860"/>
      <c r="D50" s="1860"/>
      <c r="E50" s="1391"/>
    </row>
    <row r="51" spans="1:5" s="1299" customFormat="1" ht="20.25" customHeight="1" x14ac:dyDescent="0.2">
      <c r="A51" s="1300">
        <v>6</v>
      </c>
      <c r="B51" s="2469" t="s">
        <v>1632</v>
      </c>
      <c r="C51" s="2469"/>
      <c r="D51" s="2469"/>
    </row>
    <row r="52" spans="1:5" ht="14.25" customHeight="1" x14ac:dyDescent="0.2">
      <c r="A52" s="1300"/>
      <c r="B52" s="2469"/>
      <c r="C52" s="2469"/>
      <c r="D52" s="246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N152"/>
  <sheetViews>
    <sheetView showGridLines="0" zoomScaleNormal="100" workbookViewId="0">
      <selection activeCell="O35" sqref="O35"/>
    </sheetView>
  </sheetViews>
  <sheetFormatPr defaultColWidth="33.5703125" defaultRowHeight="12.75" x14ac:dyDescent="0.2"/>
  <cols>
    <col min="1" max="1" width="0.140625" style="317" customWidth="1"/>
    <col min="2" max="2" width="39.85546875" style="317" customWidth="1"/>
    <col min="3" max="3" width="8.7109375" style="1349" customWidth="1"/>
    <col min="4" max="4" width="12.7109375" style="1350"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8" t="str">
        <f>'Single Audit Cover'!A7</f>
        <v>Lake Park CHSD 108</v>
      </c>
      <c r="C1" s="2482"/>
      <c r="D1" s="2482"/>
      <c r="E1" s="2482"/>
      <c r="F1" s="2482"/>
      <c r="G1" s="2482"/>
      <c r="H1" s="2482"/>
      <c r="I1" s="2482"/>
      <c r="J1" s="2482"/>
      <c r="K1" s="2482"/>
      <c r="L1" s="2482"/>
      <c r="M1" s="2482"/>
    </row>
    <row r="2" spans="2:14" ht="15" x14ac:dyDescent="0.2">
      <c r="B2" s="2479">
        <f>'Single Audit Cover'!E7</f>
        <v>19022108016</v>
      </c>
      <c r="C2" s="2479"/>
      <c r="D2" s="2479"/>
      <c r="E2" s="2479"/>
      <c r="F2" s="2479"/>
      <c r="G2" s="2479"/>
      <c r="H2" s="2479"/>
      <c r="I2" s="2479"/>
      <c r="J2" s="2479"/>
      <c r="K2" s="2479"/>
      <c r="L2" s="2479"/>
      <c r="M2" s="2479"/>
      <c r="N2" s="1301"/>
    </row>
    <row r="3" spans="2:14" ht="15" x14ac:dyDescent="0.2">
      <c r="B3" s="2483" t="s">
        <v>1281</v>
      </c>
      <c r="C3" s="2483"/>
      <c r="D3" s="2483"/>
      <c r="E3" s="2483"/>
      <c r="F3" s="2483"/>
      <c r="G3" s="2483"/>
      <c r="H3" s="2483"/>
      <c r="I3" s="2483"/>
      <c r="J3" s="2483"/>
      <c r="K3" s="2483"/>
      <c r="L3" s="2483"/>
      <c r="M3" s="2483"/>
      <c r="N3" s="1301"/>
    </row>
    <row r="4" spans="2:14" ht="15" x14ac:dyDescent="0.2">
      <c r="B4" s="2484" t="str">
        <f>'Single Audit Cover'!A4</f>
        <v>Year Ending June 30, 2018</v>
      </c>
      <c r="C4" s="2484"/>
      <c r="D4" s="2484"/>
      <c r="E4" s="2484"/>
      <c r="F4" s="2484"/>
      <c r="G4" s="2484"/>
      <c r="H4" s="2484"/>
      <c r="I4" s="2484"/>
      <c r="J4" s="2484"/>
      <c r="K4" s="2484"/>
      <c r="L4" s="2484"/>
      <c r="M4" s="2484"/>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79"/>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0" t="s">
        <v>2074</v>
      </c>
      <c r="C11" s="1952"/>
      <c r="D11" s="1951"/>
      <c r="E11" s="1949"/>
      <c r="F11" s="1949"/>
      <c r="G11" s="1949"/>
      <c r="H11" s="1949"/>
      <c r="I11" s="1949"/>
      <c r="J11" s="1949"/>
      <c r="K11" s="1949"/>
      <c r="L11" s="1949"/>
      <c r="M11" s="1949"/>
    </row>
    <row r="12" spans="2:14" ht="20.100000000000001" customHeight="1" x14ac:dyDescent="0.2">
      <c r="B12" s="1950" t="s">
        <v>2075</v>
      </c>
      <c r="C12" s="1948"/>
      <c r="D12" s="1947"/>
      <c r="E12" s="1946"/>
      <c r="F12" s="1946"/>
      <c r="G12" s="1946"/>
      <c r="H12" s="1946"/>
      <c r="I12" s="1946"/>
      <c r="J12" s="1946"/>
      <c r="K12" s="1946"/>
      <c r="L12" s="1949"/>
      <c r="M12" s="1946"/>
    </row>
    <row r="13" spans="2:14" ht="20.100000000000001" customHeight="1" x14ac:dyDescent="0.2">
      <c r="B13" s="1958" t="s">
        <v>2158</v>
      </c>
      <c r="C13" s="1957">
        <v>84.01</v>
      </c>
      <c r="D13" s="1956" t="s">
        <v>2086</v>
      </c>
      <c r="E13" s="1955"/>
      <c r="F13" s="1955">
        <v>229215</v>
      </c>
      <c r="G13" s="1955"/>
      <c r="H13" s="1955"/>
      <c r="I13" s="1955">
        <v>229215</v>
      </c>
      <c r="J13" s="1955"/>
      <c r="K13" s="1955"/>
      <c r="L13" s="1949">
        <f>+G13+I13+K13</f>
        <v>229215</v>
      </c>
      <c r="M13" s="1946">
        <v>281598</v>
      </c>
    </row>
    <row r="14" spans="2:14" ht="20.100000000000001" customHeight="1" x14ac:dyDescent="0.2">
      <c r="B14" s="1958" t="s">
        <v>2160</v>
      </c>
      <c r="C14" s="1957" t="s">
        <v>2076</v>
      </c>
      <c r="D14" s="1956" t="s">
        <v>2078</v>
      </c>
      <c r="E14" s="1955">
        <v>133683</v>
      </c>
      <c r="F14" s="1955">
        <v>45247</v>
      </c>
      <c r="G14" s="1955">
        <v>133683</v>
      </c>
      <c r="H14" s="1955"/>
      <c r="I14" s="1955">
        <v>45247</v>
      </c>
      <c r="J14" s="1955"/>
      <c r="K14" s="1955"/>
      <c r="L14" s="1949">
        <f>+G14+I14+K14</f>
        <v>178930</v>
      </c>
      <c r="M14" s="1946">
        <v>334205</v>
      </c>
    </row>
    <row r="15" spans="2:14" ht="20.100000000000001" customHeight="1" x14ac:dyDescent="0.2">
      <c r="B15" s="1958" t="s">
        <v>2160</v>
      </c>
      <c r="C15" s="1957" t="s">
        <v>2076</v>
      </c>
      <c r="D15" s="1956" t="s">
        <v>2163</v>
      </c>
      <c r="E15" s="1955"/>
      <c r="F15" s="1955">
        <v>7600</v>
      </c>
      <c r="G15" s="1955"/>
      <c r="H15" s="1955"/>
      <c r="I15" s="1955">
        <v>7600</v>
      </c>
      <c r="J15" s="1955"/>
      <c r="K15" s="1955"/>
      <c r="L15" s="1949">
        <f>K15+G15+I15</f>
        <v>7600</v>
      </c>
      <c r="M15" s="1946" t="s">
        <v>2077</v>
      </c>
    </row>
    <row r="16" spans="2:14" ht="20.100000000000001" customHeight="1" x14ac:dyDescent="0.2">
      <c r="B16" s="1958" t="s">
        <v>2160</v>
      </c>
      <c r="C16" s="1957" t="s">
        <v>2076</v>
      </c>
      <c r="D16" s="1956" t="s">
        <v>2087</v>
      </c>
      <c r="E16" s="1955"/>
      <c r="F16" s="1955">
        <v>106770</v>
      </c>
      <c r="G16" s="1955"/>
      <c r="H16" s="1955"/>
      <c r="I16" s="1955">
        <v>133683</v>
      </c>
      <c r="J16" s="1955"/>
      <c r="K16" s="1955"/>
      <c r="L16" s="1949">
        <f>+G16+I16+K16</f>
        <v>133683</v>
      </c>
      <c r="M16" s="1946" t="s">
        <v>2077</v>
      </c>
    </row>
    <row r="17" spans="2:14" ht="20.100000000000001" customHeight="1" x14ac:dyDescent="0.2">
      <c r="B17" s="1958" t="s">
        <v>2161</v>
      </c>
      <c r="C17" s="1957">
        <v>84.367000000000004</v>
      </c>
      <c r="D17" s="1956" t="s">
        <v>2088</v>
      </c>
      <c r="E17" s="1955"/>
      <c r="F17" s="1955">
        <v>58217</v>
      </c>
      <c r="G17" s="1955"/>
      <c r="H17" s="1955"/>
      <c r="I17" s="1955">
        <v>58217</v>
      </c>
      <c r="J17" s="1955"/>
      <c r="K17" s="1955"/>
      <c r="L17" s="1961">
        <f>+G17+I17+K17</f>
        <v>58217</v>
      </c>
      <c r="M17" s="1955" t="s">
        <v>2077</v>
      </c>
    </row>
    <row r="18" spans="2:14" ht="20.100000000000001" customHeight="1" x14ac:dyDescent="0.2">
      <c r="B18" s="1958" t="s">
        <v>2162</v>
      </c>
      <c r="C18" s="1957">
        <v>84.424000000000007</v>
      </c>
      <c r="D18" s="1956" t="s">
        <v>2113</v>
      </c>
      <c r="E18" s="1955"/>
      <c r="F18" s="1955">
        <v>14500</v>
      </c>
      <c r="G18" s="1955"/>
      <c r="H18" s="1955"/>
      <c r="I18" s="1955">
        <v>14500</v>
      </c>
      <c r="J18" s="1955"/>
      <c r="K18" s="1955"/>
      <c r="L18" s="1961">
        <f>+G18+I18+K18</f>
        <v>14500</v>
      </c>
      <c r="M18" s="1955">
        <v>57398</v>
      </c>
    </row>
    <row r="19" spans="2:14" ht="20.100000000000001" customHeight="1" x14ac:dyDescent="0.2">
      <c r="B19" s="1958"/>
      <c r="C19" s="1957"/>
      <c r="D19" s="1956"/>
      <c r="E19" s="1955"/>
      <c r="F19" s="1955"/>
      <c r="G19" s="1955"/>
      <c r="H19" s="1955"/>
      <c r="I19" s="1955"/>
      <c r="J19" s="1955"/>
      <c r="K19" s="1955"/>
      <c r="L19" s="1961"/>
      <c r="M19" s="1955"/>
    </row>
    <row r="20" spans="2:14" ht="20.100000000000001" customHeight="1" x14ac:dyDescent="0.2">
      <c r="B20" s="1958" t="s">
        <v>2079</v>
      </c>
      <c r="C20" s="1957"/>
      <c r="D20" s="1956"/>
      <c r="E20" s="1955"/>
      <c r="F20" s="1955"/>
      <c r="G20" s="1955"/>
      <c r="H20" s="1955"/>
      <c r="I20" s="1955"/>
      <c r="J20" s="1955"/>
      <c r="K20" s="1955"/>
      <c r="L20" s="1961"/>
      <c r="M20" s="1955"/>
    </row>
    <row r="21" spans="2:14" ht="20.100000000000001" customHeight="1" x14ac:dyDescent="0.2">
      <c r="B21" s="1958" t="s">
        <v>2080</v>
      </c>
      <c r="C21" s="1957"/>
      <c r="D21" s="1956"/>
      <c r="E21" s="1955"/>
      <c r="F21" s="1955"/>
      <c r="G21" s="1955"/>
      <c r="H21" s="1955"/>
      <c r="I21" s="1955"/>
      <c r="J21" s="1955"/>
      <c r="K21" s="1955"/>
      <c r="L21" s="1961"/>
      <c r="M21" s="1955"/>
    </row>
    <row r="22" spans="2:14" ht="20.100000000000001" customHeight="1" x14ac:dyDescent="0.2">
      <c r="B22" s="1958" t="s">
        <v>2081</v>
      </c>
      <c r="C22" s="1957" t="s">
        <v>2076</v>
      </c>
      <c r="D22" s="1956" t="s">
        <v>2089</v>
      </c>
      <c r="E22" s="1955"/>
      <c r="F22" s="1953">
        <v>477225</v>
      </c>
      <c r="G22" s="1953"/>
      <c r="H22" s="1953"/>
      <c r="I22" s="1953">
        <v>477225</v>
      </c>
      <c r="J22" s="1955"/>
      <c r="K22" s="1955"/>
      <c r="L22" s="1961">
        <f>+G22+I22+K22</f>
        <v>477225</v>
      </c>
      <c r="M22" s="1953">
        <v>477225</v>
      </c>
    </row>
    <row r="23" spans="2:14" ht="20.100000000000001" customHeight="1" x14ac:dyDescent="0.2">
      <c r="B23" s="1958"/>
      <c r="C23" s="1957"/>
      <c r="D23" s="1956"/>
      <c r="E23" s="1955"/>
      <c r="F23" s="1953"/>
      <c r="G23" s="1953"/>
      <c r="H23" s="1953"/>
      <c r="I23" s="1953"/>
      <c r="J23" s="1955"/>
      <c r="K23" s="1955"/>
      <c r="L23" s="1961"/>
      <c r="M23" s="1953"/>
    </row>
    <row r="24" spans="2:14" ht="20.100000000000001" customHeight="1" x14ac:dyDescent="0.2">
      <c r="B24" s="1958"/>
      <c r="C24" s="1957"/>
      <c r="D24" s="1956"/>
      <c r="E24" s="1955"/>
      <c r="F24" s="1953"/>
      <c r="G24" s="1953"/>
      <c r="H24" s="1953"/>
      <c r="I24" s="1953"/>
      <c r="J24" s="1955"/>
      <c r="K24" s="1955"/>
      <c r="L24" s="1961"/>
      <c r="M24" s="1953"/>
    </row>
    <row r="25" spans="2:14" ht="20.100000000000001" customHeight="1" x14ac:dyDescent="0.2">
      <c r="B25" s="1958"/>
      <c r="C25" s="1957"/>
      <c r="D25" s="1956"/>
      <c r="E25" s="1955"/>
      <c r="F25" s="1953"/>
      <c r="G25" s="1953"/>
      <c r="H25" s="1953"/>
      <c r="I25" s="1953"/>
      <c r="J25" s="1953"/>
      <c r="K25" s="1953"/>
      <c r="L25" s="1961"/>
      <c r="M25" s="1953"/>
    </row>
    <row r="26" spans="2:14" ht="20.100000000000001" customHeight="1" x14ac:dyDescent="0.2">
      <c r="B26" s="1950"/>
      <c r="C26" s="1948"/>
      <c r="D26" s="1947"/>
      <c r="E26" s="1946"/>
      <c r="F26" s="1946"/>
      <c r="G26" s="1946"/>
      <c r="H26" s="1946"/>
      <c r="I26" s="1946"/>
      <c r="J26" s="1946"/>
      <c r="K26" s="1946"/>
      <c r="L26" s="1949"/>
      <c r="M26" s="1946"/>
    </row>
    <row r="27" spans="2:14" ht="20.100000000000001" customHeight="1" x14ac:dyDescent="0.2">
      <c r="B27" s="1958"/>
      <c r="C27" s="1948"/>
      <c r="D27" s="1947"/>
      <c r="E27" s="1955"/>
      <c r="F27" s="1946"/>
      <c r="G27" s="1955"/>
      <c r="H27" s="1955"/>
      <c r="I27" s="1955"/>
      <c r="J27" s="1955"/>
      <c r="K27" s="1955"/>
      <c r="L27" s="1955"/>
      <c r="M27" s="1946"/>
      <c r="N27" s="1336"/>
    </row>
    <row r="28" spans="2:14" ht="12.75" customHeight="1" x14ac:dyDescent="0.2">
      <c r="B28" s="1337"/>
      <c r="C28" s="1338"/>
      <c r="D28" s="1339"/>
      <c r="E28" s="1340"/>
      <c r="F28" s="1340"/>
      <c r="G28" s="1340"/>
      <c r="H28" s="1340"/>
      <c r="I28" s="1340"/>
      <c r="J28" s="1340"/>
      <c r="K28" s="1340"/>
      <c r="L28" s="1340"/>
      <c r="M28" s="1340"/>
      <c r="N28" s="1336"/>
    </row>
    <row r="29" spans="2:14" x14ac:dyDescent="0.2">
      <c r="B29" s="1256"/>
      <c r="C29" s="1341"/>
      <c r="D29" s="1342"/>
      <c r="E29" s="1256"/>
      <c r="F29" s="1256"/>
      <c r="G29" s="1249"/>
      <c r="H29" s="1249"/>
      <c r="I29" s="1249"/>
      <c r="J29" s="1249"/>
      <c r="K29" s="1249"/>
      <c r="L29" s="1249"/>
      <c r="M29" s="1256"/>
      <c r="N29" s="1336"/>
    </row>
    <row r="30" spans="2:14" ht="13.5" customHeight="1" x14ac:dyDescent="0.2">
      <c r="B30" s="1281" t="s">
        <v>1837</v>
      </c>
      <c r="C30" s="1341"/>
      <c r="D30" s="1342"/>
      <c r="E30" s="1256"/>
      <c r="F30" s="1256"/>
      <c r="G30" s="1249"/>
      <c r="H30" s="1249"/>
      <c r="I30" s="1249"/>
      <c r="J30" s="1249"/>
      <c r="K30" s="1249"/>
      <c r="L30" s="1249"/>
      <c r="M30" s="1256"/>
      <c r="N30" s="1336"/>
    </row>
    <row r="31" spans="2:14" ht="8.25" customHeight="1" x14ac:dyDescent="0.2">
      <c r="B31" s="1281"/>
      <c r="C31" s="1341"/>
      <c r="D31" s="1342"/>
      <c r="E31" s="1256"/>
      <c r="F31" s="1256"/>
      <c r="G31" s="1249"/>
      <c r="H31" s="1249"/>
      <c r="I31" s="1249"/>
      <c r="J31" s="1249"/>
      <c r="K31" s="1249"/>
      <c r="L31" s="1249"/>
      <c r="M31" s="1256"/>
      <c r="N31" s="1336"/>
    </row>
    <row r="32" spans="2:14" x14ac:dyDescent="0.2">
      <c r="B32" s="1343" t="s">
        <v>1948</v>
      </c>
      <c r="C32" s="1344"/>
      <c r="D32" s="1345"/>
      <c r="E32" s="1346"/>
      <c r="F32" s="1346"/>
      <c r="G32" s="1346"/>
      <c r="H32" s="1346"/>
      <c r="I32" s="317"/>
      <c r="J32" s="317"/>
    </row>
    <row r="33" spans="2:13" x14ac:dyDescent="0.2">
      <c r="B33" s="1276"/>
      <c r="C33" s="1347"/>
      <c r="D33" s="1348"/>
      <c r="E33" s="1277"/>
      <c r="F33" s="1277"/>
      <c r="G33" s="317"/>
      <c r="H33" s="317"/>
      <c r="I33" s="317"/>
      <c r="J33" s="317"/>
    </row>
    <row r="34" spans="2:13" ht="13.5" customHeight="1" x14ac:dyDescent="0.2">
      <c r="B34" s="1275" t="s">
        <v>1308</v>
      </c>
      <c r="G34" s="317"/>
      <c r="H34" s="317"/>
      <c r="I34" s="317"/>
      <c r="J34" s="317"/>
    </row>
    <row r="35" spans="2:13" ht="13.5" customHeight="1" x14ac:dyDescent="0.2">
      <c r="B35" s="1351"/>
      <c r="C35" s="1352"/>
      <c r="D35" s="1353"/>
      <c r="E35" s="1296"/>
      <c r="F35" s="1296"/>
      <c r="G35" s="1296"/>
      <c r="H35" s="1296"/>
      <c r="I35" s="1296"/>
      <c r="J35" s="1296"/>
      <c r="K35" s="1354"/>
      <c r="L35" s="1354"/>
      <c r="M35" s="1296"/>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1666</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299" t="s">
        <v>1667</v>
      </c>
      <c r="C41" s="1360"/>
      <c r="D41" s="1361"/>
      <c r="E41" s="1299"/>
      <c r="F41" s="1299"/>
      <c r="G41" s="1299"/>
      <c r="H41" s="1299"/>
      <c r="I41" s="1299"/>
      <c r="J41" s="1299"/>
      <c r="K41" s="1362"/>
      <c r="L41" s="1362"/>
      <c r="M41" s="1299"/>
    </row>
    <row r="42" spans="2:13" ht="3.95" customHeight="1" x14ac:dyDescent="0.2">
      <c r="B42" s="1299"/>
      <c r="C42" s="1360"/>
      <c r="D42" s="1361"/>
      <c r="E42" s="1299"/>
      <c r="F42" s="1299"/>
      <c r="G42" s="1299"/>
      <c r="H42" s="1299"/>
      <c r="I42" s="1299"/>
      <c r="J42" s="1299"/>
      <c r="K42" s="1362"/>
      <c r="L42" s="1362"/>
      <c r="M42" s="1299"/>
    </row>
    <row r="43" spans="2:13" ht="11.25" customHeight="1" x14ac:dyDescent="0.2">
      <c r="B43" s="1363" t="s">
        <v>1840</v>
      </c>
      <c r="C43" s="1360"/>
      <c r="D43" s="1361"/>
      <c r="E43" s="1299"/>
      <c r="F43" s="1299"/>
      <c r="G43" s="1299"/>
      <c r="H43" s="1299"/>
      <c r="I43" s="1299"/>
      <c r="J43" s="1299"/>
      <c r="K43" s="1362"/>
      <c r="L43" s="1362"/>
      <c r="M43" s="1299"/>
    </row>
    <row r="44" spans="2:13" ht="3.95" customHeight="1" x14ac:dyDescent="0.2">
      <c r="B44" s="1363"/>
      <c r="C44" s="1360"/>
      <c r="D44" s="1361"/>
      <c r="E44" s="1299"/>
      <c r="F44" s="1299"/>
      <c r="G44" s="1299"/>
      <c r="H44" s="1299"/>
      <c r="I44" s="1299"/>
      <c r="J44" s="1299"/>
      <c r="K44" s="1362"/>
      <c r="L44" s="1362"/>
      <c r="M44" s="1299"/>
    </row>
    <row r="45" spans="2:13" ht="11.25" customHeight="1" x14ac:dyDescent="0.2">
      <c r="B45" s="1364" t="s">
        <v>1841</v>
      </c>
      <c r="C45" s="1360"/>
      <c r="D45" s="1361"/>
      <c r="E45" s="1299"/>
      <c r="F45" s="1299"/>
      <c r="G45" s="1299"/>
      <c r="H45" s="1299"/>
      <c r="I45" s="1299"/>
      <c r="J45" s="1299"/>
      <c r="K45" s="1362"/>
      <c r="L45" s="1362"/>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94" colorId="8" zoomScale="110" zoomScaleNormal="110" workbookViewId="0">
      <selection activeCell="T20" sqref="T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1230</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3" t="s">
        <v>1731</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3" t="s">
        <v>331</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2114</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1390</v>
      </c>
      <c r="B70" s="2106"/>
      <c r="C70" s="2106"/>
      <c r="D70" s="2106"/>
      <c r="E70" s="2107"/>
      <c r="F70" s="2107"/>
      <c r="G70" s="2107"/>
      <c r="H70" s="2107"/>
      <c r="I70" s="210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3"/>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1387</v>
      </c>
      <c r="B83" s="2108"/>
      <c r="C83" s="2108"/>
      <c r="D83" s="210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v>0</v>
      </c>
      <c r="F85" s="276">
        <v>12346</v>
      </c>
      <c r="G85" s="276">
        <v>71538</v>
      </c>
      <c r="H85" s="276">
        <v>26133</v>
      </c>
      <c r="I85" s="276">
        <v>0</v>
      </c>
      <c r="J85" s="277">
        <f>+F85+G85+H85</f>
        <v>110017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f>+E85</f>
        <v>0</v>
      </c>
      <c r="F88" s="276">
        <f>+F85</f>
        <v>12346</v>
      </c>
      <c r="G88" s="276">
        <f>+G85</f>
        <v>71538</v>
      </c>
      <c r="H88" s="276">
        <f>+H85</f>
        <v>26133</v>
      </c>
      <c r="I88" s="276">
        <v>0</v>
      </c>
      <c r="J88" s="277">
        <f>+J85</f>
        <v>110017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+J88+J85</f>
        <v>220034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c r="D114" s="209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1397</v>
      </c>
      <c r="D117" s="2101"/>
      <c r="E117" s="2102"/>
      <c r="F117" s="2102"/>
      <c r="G117" s="2102"/>
      <c r="H117" s="2102"/>
      <c r="I117" s="304"/>
    </row>
    <row r="118" spans="1:9" s="181" customFormat="1" ht="24" customHeight="1" x14ac:dyDescent="0.2">
      <c r="A118" s="316"/>
      <c r="B118" s="316"/>
      <c r="C118" s="316"/>
      <c r="D118" s="323"/>
      <c r="E118" s="322"/>
      <c r="F118" s="324"/>
      <c r="G118" s="1855"/>
      <c r="H118" s="322"/>
      <c r="I118" s="304"/>
    </row>
    <row r="119" spans="1:9" s="181" customFormat="1" ht="11.25" customHeight="1" x14ac:dyDescent="0.2">
      <c r="A119" s="325"/>
      <c r="B119" s="325"/>
      <c r="C119" s="326"/>
      <c r="D119" s="327" t="s">
        <v>379</v>
      </c>
      <c r="E119" s="310"/>
      <c r="F119" s="1854" t="s">
        <v>2019</v>
      </c>
      <c r="G119" s="328"/>
      <c r="H119" s="328"/>
      <c r="I119" s="304"/>
    </row>
    <row r="120" spans="1:9" x14ac:dyDescent="0.2">
      <c r="A120" s="329"/>
      <c r="B120" s="180"/>
      <c r="C120" s="330"/>
      <c r="D120" s="256"/>
      <c r="E120" s="256"/>
      <c r="F120" s="256"/>
      <c r="G120" s="256"/>
      <c r="H120" s="256"/>
      <c r="I120" s="304"/>
    </row>
    <row r="121" spans="1:9" x14ac:dyDescent="0.2">
      <c r="A121" s="329"/>
      <c r="B121" s="1502"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N152"/>
  <sheetViews>
    <sheetView showGridLines="0" zoomScaleNormal="100" workbookViewId="0">
      <selection activeCell="O35" sqref="O35"/>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8" t="str">
        <f>'Single Audit Cover'!A7</f>
        <v>Lake Park CHSD 108</v>
      </c>
      <c r="C1" s="2482"/>
      <c r="D1" s="2482"/>
      <c r="E1" s="2482"/>
      <c r="F1" s="2482"/>
      <c r="G1" s="2482"/>
      <c r="H1" s="2482"/>
      <c r="I1" s="2482"/>
      <c r="J1" s="2482"/>
      <c r="K1" s="2482"/>
      <c r="L1" s="2482"/>
      <c r="M1" s="2482"/>
    </row>
    <row r="2" spans="2:14" ht="15" x14ac:dyDescent="0.2">
      <c r="B2" s="2479">
        <f>'Single Audit Cover'!E7</f>
        <v>19022108016</v>
      </c>
      <c r="C2" s="2479"/>
      <c r="D2" s="2479"/>
      <c r="E2" s="2479"/>
      <c r="F2" s="2479"/>
      <c r="G2" s="2479"/>
      <c r="H2" s="2479"/>
      <c r="I2" s="2479"/>
      <c r="J2" s="2479"/>
      <c r="K2" s="2479"/>
      <c r="L2" s="2479"/>
      <c r="M2" s="2479"/>
      <c r="N2" s="1301"/>
    </row>
    <row r="3" spans="2:14" ht="15" x14ac:dyDescent="0.2">
      <c r="B3" s="2483" t="s">
        <v>1281</v>
      </c>
      <c r="C3" s="2483"/>
      <c r="D3" s="2483"/>
      <c r="E3" s="2483"/>
      <c r="F3" s="2483"/>
      <c r="G3" s="2483"/>
      <c r="H3" s="2483"/>
      <c r="I3" s="2483"/>
      <c r="J3" s="2483"/>
      <c r="K3" s="2483"/>
      <c r="L3" s="2483"/>
      <c r="M3" s="2483"/>
      <c r="N3" s="1301"/>
    </row>
    <row r="4" spans="2:14" ht="15" x14ac:dyDescent="0.2">
      <c r="B4" s="2484" t="str">
        <f>'Single Audit Cover'!A4</f>
        <v>Year Ending June 30, 2018</v>
      </c>
      <c r="C4" s="2484"/>
      <c r="D4" s="2484"/>
      <c r="E4" s="2484"/>
      <c r="F4" s="2484"/>
      <c r="G4" s="2484"/>
      <c r="H4" s="2484"/>
      <c r="I4" s="2484"/>
      <c r="J4" s="2484"/>
      <c r="K4" s="2484"/>
      <c r="L4" s="2484"/>
      <c r="M4" s="2484"/>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79"/>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8" t="s">
        <v>2082</v>
      </c>
      <c r="C11" s="1957"/>
      <c r="D11" s="1956"/>
      <c r="E11" s="1955"/>
      <c r="F11" s="1955"/>
      <c r="G11" s="1955"/>
      <c r="H11" s="1955"/>
      <c r="I11" s="1955"/>
      <c r="J11" s="1955"/>
      <c r="K11" s="1955"/>
      <c r="L11" s="1961"/>
      <c r="M11" s="1946"/>
    </row>
    <row r="12" spans="2:14" ht="20.100000000000001" customHeight="1" x14ac:dyDescent="0.2">
      <c r="B12" s="1958" t="s">
        <v>2083</v>
      </c>
      <c r="C12" s="1957"/>
      <c r="D12" s="1956"/>
      <c r="E12" s="1955"/>
      <c r="F12" s="1953"/>
      <c r="G12" s="1953"/>
      <c r="H12" s="1953"/>
      <c r="I12" s="1953"/>
      <c r="J12" s="1955"/>
      <c r="K12" s="1955"/>
      <c r="L12" s="1961"/>
      <c r="M12" s="1946"/>
    </row>
    <row r="13" spans="2:14" ht="20.100000000000001" customHeight="1" x14ac:dyDescent="0.2">
      <c r="B13" s="1958" t="s">
        <v>2084</v>
      </c>
      <c r="C13" s="1957">
        <v>84.048000000000002</v>
      </c>
      <c r="D13" s="1956" t="s">
        <v>2090</v>
      </c>
      <c r="E13" s="1955"/>
      <c r="F13" s="1953">
        <v>27232</v>
      </c>
      <c r="G13" s="1953"/>
      <c r="H13" s="1953"/>
      <c r="I13" s="1953">
        <v>27232</v>
      </c>
      <c r="J13" s="1953"/>
      <c r="K13" s="1953"/>
      <c r="L13" s="1961">
        <f>+SUM(G13:K13)</f>
        <v>27232</v>
      </c>
      <c r="M13" s="1946">
        <v>27232</v>
      </c>
    </row>
    <row r="14" spans="2:14" ht="20.100000000000001" customHeight="1" x14ac:dyDescent="0.2">
      <c r="B14" s="1958"/>
      <c r="C14" s="1957"/>
      <c r="D14" s="1956"/>
      <c r="E14" s="1955"/>
      <c r="F14" s="1955"/>
      <c r="G14" s="1955"/>
      <c r="H14" s="1955"/>
      <c r="I14" s="1955"/>
      <c r="J14" s="1955"/>
      <c r="K14" s="1955"/>
      <c r="L14" s="1961"/>
      <c r="M14" s="1953"/>
    </row>
    <row r="15" spans="2:14" ht="20.100000000000001" customHeight="1" x14ac:dyDescent="0.2">
      <c r="B15" s="1958" t="s">
        <v>2085</v>
      </c>
      <c r="C15" s="1960"/>
      <c r="D15" s="1959"/>
      <c r="E15" s="1955">
        <f>+E13+SUM(' SEFA'!E13:E23)</f>
        <v>133683</v>
      </c>
      <c r="F15" s="1955">
        <f>+F13+SUM(' SEFA'!F13:F23)</f>
        <v>966006</v>
      </c>
      <c r="G15" s="1955">
        <f>+G13+SUM(' SEFA'!G13:G23)</f>
        <v>133683</v>
      </c>
      <c r="H15" s="1955">
        <f>+H13+SUM(' SEFA'!H13:H23)</f>
        <v>0</v>
      </c>
      <c r="I15" s="1955">
        <f>+I13+SUM(' SEFA'!I13:I23)</f>
        <v>992919</v>
      </c>
      <c r="J15" s="1955">
        <f>+J13+SUM(' SEFA'!J13:J23)</f>
        <v>0</v>
      </c>
      <c r="K15" s="1955">
        <f>+K13+SUM(' SEFA'!K13:K23)</f>
        <v>0</v>
      </c>
      <c r="L15" s="1955">
        <f>+L13+SUM(' SEFA'!L13:L23)</f>
        <v>1126602</v>
      </c>
      <c r="M15" s="1946"/>
    </row>
    <row r="16" spans="2:14" ht="20.100000000000001" customHeight="1" x14ac:dyDescent="0.2">
      <c r="B16" s="1958"/>
      <c r="C16" s="1952"/>
      <c r="D16" s="1951"/>
      <c r="E16" s="1955"/>
      <c r="F16" s="1955"/>
      <c r="G16" s="1955"/>
      <c r="H16" s="1955"/>
      <c r="I16" s="1955"/>
      <c r="J16" s="1955"/>
      <c r="K16" s="1955"/>
      <c r="L16" s="1961"/>
      <c r="M16" s="1946"/>
    </row>
    <row r="17" spans="2:14" ht="20.100000000000001" customHeight="1" x14ac:dyDescent="0.2">
      <c r="B17" s="1958" t="s">
        <v>2091</v>
      </c>
      <c r="C17" s="1957"/>
      <c r="D17" s="1956"/>
      <c r="E17" s="1955"/>
      <c r="F17" s="1955"/>
      <c r="G17" s="1955"/>
      <c r="H17" s="1955"/>
      <c r="I17" s="1955"/>
      <c r="J17" s="1955"/>
      <c r="K17" s="1955"/>
      <c r="L17" s="1961"/>
      <c r="M17" s="1955"/>
    </row>
    <row r="18" spans="2:14" ht="20.100000000000001" customHeight="1" x14ac:dyDescent="0.2">
      <c r="B18" s="1958" t="s">
        <v>2095</v>
      </c>
      <c r="C18" s="1957"/>
      <c r="D18" s="1956"/>
      <c r="E18" s="1955"/>
      <c r="F18" s="1955"/>
      <c r="G18" s="1955"/>
      <c r="H18" s="1955"/>
      <c r="I18" s="1955"/>
      <c r="J18" s="1955"/>
      <c r="K18" s="1955"/>
      <c r="L18" s="1961"/>
      <c r="M18" s="1955"/>
    </row>
    <row r="19" spans="2:14" ht="20.100000000000001" customHeight="1" x14ac:dyDescent="0.2">
      <c r="B19" s="1958" t="s">
        <v>2096</v>
      </c>
      <c r="C19" s="1957"/>
      <c r="D19" s="1956"/>
      <c r="E19" s="1955"/>
      <c r="F19" s="1955"/>
      <c r="G19" s="1955"/>
      <c r="H19" s="1955"/>
      <c r="I19" s="1955"/>
      <c r="J19" s="1955"/>
      <c r="K19" s="1955"/>
      <c r="L19" s="1961"/>
      <c r="M19" s="1955"/>
    </row>
    <row r="20" spans="2:14" ht="20.100000000000001" customHeight="1" x14ac:dyDescent="0.2">
      <c r="B20" s="1958" t="s">
        <v>2092</v>
      </c>
      <c r="C20" s="1957">
        <v>93.778000000000006</v>
      </c>
      <c r="D20" s="1956" t="s">
        <v>2097</v>
      </c>
      <c r="E20" s="1955">
        <v>18086</v>
      </c>
      <c r="F20" s="1955">
        <v>18963</v>
      </c>
      <c r="G20" s="1955">
        <v>37049</v>
      </c>
      <c r="H20" s="1955"/>
      <c r="I20" s="1955"/>
      <c r="J20" s="1955"/>
      <c r="K20" s="1955"/>
      <c r="L20" s="1961">
        <f>+SUM(G20:K20)</f>
        <v>37049</v>
      </c>
      <c r="M20" s="1953" t="s">
        <v>2077</v>
      </c>
    </row>
    <row r="21" spans="2:14" ht="20.100000000000001" customHeight="1" x14ac:dyDescent="0.2">
      <c r="B21" s="1958" t="s">
        <v>2092</v>
      </c>
      <c r="C21" s="1960">
        <v>93.778000000000006</v>
      </c>
      <c r="D21" s="1959" t="s">
        <v>2098</v>
      </c>
      <c r="E21" s="1955"/>
      <c r="F21" s="1955">
        <v>25515</v>
      </c>
      <c r="G21" s="1955"/>
      <c r="H21" s="1955"/>
      <c r="I21" s="1955">
        <v>25515</v>
      </c>
      <c r="J21" s="1955"/>
      <c r="K21" s="1955"/>
      <c r="L21" s="1961">
        <f>+SUM(G21:K21)</f>
        <v>25515</v>
      </c>
      <c r="M21" s="1955" t="s">
        <v>2077</v>
      </c>
    </row>
    <row r="22" spans="2:14" ht="20.100000000000001" customHeight="1" x14ac:dyDescent="0.2">
      <c r="B22" s="1958"/>
      <c r="C22" s="1952"/>
      <c r="D22" s="1951"/>
      <c r="E22" s="1955"/>
      <c r="F22" s="1955"/>
      <c r="G22" s="1955"/>
      <c r="H22" s="1955"/>
      <c r="I22" s="1955"/>
      <c r="J22" s="1955"/>
      <c r="K22" s="1955"/>
      <c r="L22" s="1961"/>
      <c r="M22" s="1955"/>
    </row>
    <row r="23" spans="2:14" ht="20.100000000000001" customHeight="1" x14ac:dyDescent="0.2">
      <c r="B23" s="1958" t="s">
        <v>2093</v>
      </c>
      <c r="C23" s="1957"/>
      <c r="D23" s="1956"/>
      <c r="E23" s="1961">
        <f>+SUM(E20:E21)</f>
        <v>18086</v>
      </c>
      <c r="F23" s="1961">
        <f t="shared" ref="F23:L23" si="0">SUM(F20:F21)</f>
        <v>44478</v>
      </c>
      <c r="G23" s="1961">
        <f t="shared" si="0"/>
        <v>37049</v>
      </c>
      <c r="H23" s="1955">
        <f t="shared" si="0"/>
        <v>0</v>
      </c>
      <c r="I23" s="1955">
        <f t="shared" si="0"/>
        <v>25515</v>
      </c>
      <c r="J23" s="1955">
        <f t="shared" si="0"/>
        <v>0</v>
      </c>
      <c r="K23" s="1955">
        <f t="shared" si="0"/>
        <v>0</v>
      </c>
      <c r="L23" s="1961">
        <f t="shared" si="0"/>
        <v>62564</v>
      </c>
      <c r="M23" s="1955"/>
    </row>
    <row r="24" spans="2:14" ht="20.100000000000001" customHeight="1" x14ac:dyDescent="0.2">
      <c r="B24" s="1958"/>
      <c r="C24" s="1957"/>
      <c r="D24" s="1956"/>
      <c r="E24" s="1955"/>
      <c r="F24" s="1955"/>
      <c r="G24" s="1955"/>
      <c r="H24" s="1955"/>
      <c r="I24" s="1955"/>
      <c r="J24" s="1955"/>
      <c r="K24" s="1955"/>
      <c r="L24" s="1961"/>
      <c r="M24" s="1955"/>
    </row>
    <row r="25" spans="2:14" ht="20.100000000000001" customHeight="1" x14ac:dyDescent="0.2">
      <c r="B25" s="1958" t="s">
        <v>2094</v>
      </c>
      <c r="C25" s="1957"/>
      <c r="D25" s="1956"/>
      <c r="E25" s="1955">
        <f t="shared" ref="E25:L25" si="1">+E23+E15</f>
        <v>151769</v>
      </c>
      <c r="F25" s="1955">
        <f t="shared" si="1"/>
        <v>1010484</v>
      </c>
      <c r="G25" s="1955">
        <f t="shared" si="1"/>
        <v>170732</v>
      </c>
      <c r="H25" s="1955">
        <f t="shared" si="1"/>
        <v>0</v>
      </c>
      <c r="I25" s="1955">
        <f t="shared" si="1"/>
        <v>1018434</v>
      </c>
      <c r="J25" s="1955">
        <f t="shared" si="1"/>
        <v>0</v>
      </c>
      <c r="K25" s="1955">
        <f t="shared" si="1"/>
        <v>0</v>
      </c>
      <c r="L25" s="1955">
        <f t="shared" si="1"/>
        <v>1189166</v>
      </c>
      <c r="M25" s="1955"/>
    </row>
    <row r="26" spans="2:14" ht="20.100000000000001" customHeight="1" x14ac:dyDescent="0.2">
      <c r="B26" s="1958"/>
      <c r="C26" s="1957"/>
      <c r="D26" s="1956"/>
      <c r="E26" s="1955"/>
      <c r="F26" s="1955"/>
      <c r="G26" s="1955"/>
      <c r="H26" s="1955"/>
      <c r="I26" s="1955"/>
      <c r="J26" s="1955"/>
      <c r="K26" s="1955"/>
      <c r="L26" s="1961"/>
      <c r="M26" s="1955"/>
    </row>
    <row r="27" spans="2:14" ht="20.100000000000001" customHeight="1" x14ac:dyDescent="0.2">
      <c r="B27" s="1958" t="s">
        <v>2159</v>
      </c>
      <c r="C27" s="1957"/>
      <c r="D27" s="1956"/>
      <c r="E27" s="1955"/>
      <c r="F27" s="1955"/>
      <c r="G27" s="1955"/>
      <c r="H27" s="1955"/>
      <c r="I27" s="1955"/>
      <c r="J27" s="1955"/>
      <c r="K27" s="1955"/>
      <c r="L27" s="1961"/>
      <c r="M27" s="1955"/>
      <c r="N27" s="1336"/>
    </row>
    <row r="28" spans="2:14" ht="12.75" customHeight="1" x14ac:dyDescent="0.2">
      <c r="B28" s="1337"/>
      <c r="C28" s="1338"/>
      <c r="D28" s="1339"/>
      <c r="E28" s="1340"/>
      <c r="F28" s="1340"/>
      <c r="G28" s="1340"/>
      <c r="H28" s="1340"/>
      <c r="I28" s="1340"/>
      <c r="J28" s="1340"/>
      <c r="K28" s="1340"/>
      <c r="L28" s="1340"/>
      <c r="M28" s="1340"/>
      <c r="N28" s="1336"/>
    </row>
    <row r="29" spans="2:14" x14ac:dyDescent="0.2">
      <c r="B29" s="1256"/>
      <c r="C29" s="1341"/>
      <c r="D29" s="1342"/>
      <c r="E29" s="1256"/>
      <c r="F29" s="1256"/>
      <c r="G29" s="1249"/>
      <c r="H29" s="1249"/>
      <c r="I29" s="1249"/>
      <c r="J29" s="1249"/>
      <c r="K29" s="1249"/>
      <c r="L29" s="1249"/>
      <c r="M29" s="1256"/>
      <c r="N29" s="1336"/>
    </row>
    <row r="30" spans="2:14" ht="13.5" customHeight="1" x14ac:dyDescent="0.2">
      <c r="B30" s="1281" t="s">
        <v>1837</v>
      </c>
      <c r="C30" s="1341"/>
      <c r="D30" s="1342"/>
      <c r="E30" s="1256"/>
      <c r="F30" s="1256"/>
      <c r="G30" s="1249"/>
      <c r="H30" s="1249"/>
      <c r="I30" s="1249"/>
      <c r="J30" s="1249"/>
      <c r="K30" s="1249"/>
      <c r="L30" s="1249"/>
      <c r="M30" s="1256"/>
      <c r="N30" s="1336"/>
    </row>
    <row r="31" spans="2:14" ht="8.25" customHeight="1" x14ac:dyDescent="0.2">
      <c r="B31" s="1281"/>
      <c r="C31" s="1341"/>
      <c r="D31" s="1342"/>
      <c r="E31" s="1256"/>
      <c r="F31" s="1256"/>
      <c r="G31" s="1249"/>
      <c r="H31" s="1249"/>
      <c r="I31" s="1249"/>
      <c r="J31" s="1249"/>
      <c r="K31" s="1249"/>
      <c r="L31" s="1249"/>
      <c r="M31" s="1256"/>
      <c r="N31" s="1336"/>
    </row>
    <row r="32" spans="2:14" x14ac:dyDescent="0.2">
      <c r="B32" s="1343" t="s">
        <v>1948</v>
      </c>
      <c r="C32" s="1344"/>
      <c r="D32" s="1345"/>
      <c r="E32" s="1346"/>
      <c r="F32" s="1346"/>
      <c r="G32" s="1346"/>
      <c r="H32" s="1346"/>
      <c r="I32" s="317"/>
      <c r="J32" s="317"/>
    </row>
    <row r="33" spans="2:13" x14ac:dyDescent="0.2">
      <c r="B33" s="1276"/>
      <c r="C33" s="1347"/>
      <c r="D33" s="1348"/>
      <c r="E33" s="1277"/>
      <c r="F33" s="1277"/>
      <c r="G33" s="317"/>
      <c r="H33" s="317"/>
      <c r="I33" s="317"/>
      <c r="J33" s="317"/>
    </row>
    <row r="34" spans="2:13" ht="13.5" customHeight="1" x14ac:dyDescent="0.2">
      <c r="B34" s="1275" t="s">
        <v>1308</v>
      </c>
      <c r="G34" s="317"/>
      <c r="H34" s="317"/>
      <c r="I34" s="317"/>
      <c r="J34" s="317"/>
    </row>
    <row r="35" spans="2:13" ht="13.5" customHeight="1" x14ac:dyDescent="0.2">
      <c r="B35" s="1351"/>
      <c r="C35" s="1352"/>
      <c r="D35" s="1353"/>
      <c r="E35" s="1296"/>
      <c r="F35" s="1296"/>
      <c r="G35" s="1296"/>
      <c r="H35" s="1296"/>
      <c r="I35" s="1296"/>
      <c r="J35" s="1296"/>
      <c r="K35" s="1354"/>
      <c r="L35" s="1354"/>
      <c r="M35" s="1296"/>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1666</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299" t="s">
        <v>1667</v>
      </c>
      <c r="C41" s="1360"/>
      <c r="D41" s="1361"/>
      <c r="E41" s="1299"/>
      <c r="F41" s="1299"/>
      <c r="G41" s="1299"/>
      <c r="H41" s="1299"/>
      <c r="I41" s="1299"/>
      <c r="J41" s="1299"/>
      <c r="K41" s="1362"/>
      <c r="L41" s="1362"/>
      <c r="M41" s="1299"/>
    </row>
    <row r="42" spans="2:13" ht="3.95" customHeight="1" x14ac:dyDescent="0.2">
      <c r="B42" s="1299"/>
      <c r="C42" s="1360"/>
      <c r="D42" s="1361"/>
      <c r="E42" s="1299"/>
      <c r="F42" s="1299"/>
      <c r="G42" s="1299"/>
      <c r="H42" s="1299"/>
      <c r="I42" s="1299"/>
      <c r="J42" s="1299"/>
      <c r="K42" s="1362"/>
      <c r="L42" s="1362"/>
      <c r="M42" s="1299"/>
    </row>
    <row r="43" spans="2:13" ht="11.25" customHeight="1" x14ac:dyDescent="0.2">
      <c r="B43" s="1363" t="s">
        <v>1840</v>
      </c>
      <c r="C43" s="1360"/>
      <c r="D43" s="1361"/>
      <c r="E43" s="1299"/>
      <c r="F43" s="1299"/>
      <c r="G43" s="1299"/>
      <c r="H43" s="1299"/>
      <c r="I43" s="1299"/>
      <c r="J43" s="1299"/>
      <c r="K43" s="1362"/>
      <c r="L43" s="1362"/>
      <c r="M43" s="1299"/>
    </row>
    <row r="44" spans="2:13" ht="3.95" customHeight="1" x14ac:dyDescent="0.2">
      <c r="B44" s="1363"/>
      <c r="C44" s="1360"/>
      <c r="D44" s="1361"/>
      <c r="E44" s="1299"/>
      <c r="F44" s="1299"/>
      <c r="G44" s="1299"/>
      <c r="H44" s="1299"/>
      <c r="I44" s="1299"/>
      <c r="J44" s="1299"/>
      <c r="K44" s="1362"/>
      <c r="L44" s="1362"/>
      <c r="M44" s="1299"/>
    </row>
    <row r="45" spans="2:13" ht="11.25" customHeight="1" x14ac:dyDescent="0.2">
      <c r="B45" s="1364" t="s">
        <v>1841</v>
      </c>
      <c r="C45" s="1360"/>
      <c r="D45" s="1361"/>
      <c r="E45" s="1299"/>
      <c r="F45" s="1299"/>
      <c r="G45" s="1299"/>
      <c r="H45" s="1299"/>
      <c r="I45" s="1299"/>
      <c r="J45" s="1299"/>
      <c r="K45" s="1362"/>
      <c r="L45" s="1362"/>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63"/>
  <sheetViews>
    <sheetView showGridLines="0" zoomScale="110" zoomScaleNormal="110" workbookViewId="0">
      <selection activeCell="D46" sqref="D46"/>
    </sheetView>
  </sheetViews>
  <sheetFormatPr defaultColWidth="9.140625" defaultRowHeight="12.75" x14ac:dyDescent="0.2"/>
  <cols>
    <col min="1" max="1" width="1.42578125" style="1299" customWidth="1"/>
    <col min="2" max="2" width="24.42578125" style="1349"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6" t="str">
        <f>'Single Audit Cover'!A7</f>
        <v>Lake Park CHSD 108</v>
      </c>
      <c r="C1" s="2497"/>
      <c r="D1" s="2497"/>
      <c r="E1" s="2497"/>
      <c r="F1" s="2497"/>
      <c r="G1" s="2497"/>
      <c r="H1" s="2497"/>
      <c r="I1" s="2497"/>
      <c r="J1" s="1414"/>
    </row>
    <row r="2" spans="2:10" s="317" customFormat="1" ht="12.75" customHeight="1" x14ac:dyDescent="0.2">
      <c r="B2" s="2498">
        <f>'Single Audit Cover'!E7</f>
        <v>19022108016</v>
      </c>
      <c r="C2" s="2499"/>
      <c r="D2" s="2499"/>
      <c r="E2" s="2499"/>
      <c r="F2" s="2499"/>
      <c r="G2" s="2499"/>
      <c r="H2" s="2499"/>
      <c r="I2" s="2499"/>
      <c r="J2" s="1414"/>
    </row>
    <row r="3" spans="2:10" s="317" customFormat="1" ht="12.75" customHeight="1" x14ac:dyDescent="0.2">
      <c r="B3" s="2500" t="s">
        <v>1347</v>
      </c>
      <c r="C3" s="2501"/>
      <c r="D3" s="2501"/>
      <c r="E3" s="2501"/>
      <c r="F3" s="2501"/>
      <c r="G3" s="2501"/>
      <c r="H3" s="2501"/>
      <c r="I3" s="2501"/>
      <c r="J3" s="1415"/>
    </row>
    <row r="4" spans="2:10" s="317" customFormat="1" ht="12.75" customHeight="1" x14ac:dyDescent="0.2">
      <c r="B4" s="2500" t="str">
        <f>'Single Audit Cover'!A4</f>
        <v>Year Ending June 30, 2018</v>
      </c>
      <c r="C4" s="2501"/>
      <c r="D4" s="2501"/>
      <c r="E4" s="2501"/>
      <c r="F4" s="2501"/>
      <c r="G4" s="2501"/>
      <c r="H4" s="2501"/>
      <c r="I4" s="2501"/>
    </row>
    <row r="5" spans="2:10" s="317" customFormat="1" ht="6.2" customHeight="1" x14ac:dyDescent="0.2">
      <c r="B5" s="1416" t="s">
        <v>1231</v>
      </c>
      <c r="C5" s="1293"/>
      <c r="D5" s="1293"/>
      <c r="E5" s="1375"/>
      <c r="F5" s="322"/>
      <c r="G5" s="322"/>
      <c r="H5" s="322"/>
      <c r="I5" s="322"/>
    </row>
    <row r="6" spans="2:10" s="317" customFormat="1" ht="6.2" customHeight="1" x14ac:dyDescent="0.2">
      <c r="B6" s="1417"/>
      <c r="C6" s="1371"/>
      <c r="D6" s="1371"/>
      <c r="E6" s="1372"/>
      <c r="F6" s="1371"/>
      <c r="G6" s="1371"/>
      <c r="H6" s="1371"/>
      <c r="I6" s="1371"/>
    </row>
    <row r="7" spans="2:10" s="317" customFormat="1" ht="13.5" customHeight="1" x14ac:dyDescent="0.2">
      <c r="B7" s="2500" t="s">
        <v>1346</v>
      </c>
      <c r="C7" s="2501"/>
      <c r="D7" s="2501"/>
      <c r="E7" s="2501"/>
      <c r="F7" s="2501"/>
      <c r="G7" s="2501"/>
      <c r="H7" s="2501"/>
      <c r="I7" s="2501"/>
    </row>
    <row r="8" spans="2:10" s="317" customFormat="1" ht="6.2" customHeight="1" x14ac:dyDescent="0.2">
      <c r="B8" s="1418" t="s">
        <v>1231</v>
      </c>
      <c r="C8" s="1419"/>
      <c r="D8" s="1419"/>
      <c r="E8" s="1420"/>
      <c r="F8" s="1419"/>
      <c r="G8" s="1419"/>
      <c r="H8" s="1419"/>
      <c r="I8" s="1419"/>
    </row>
    <row r="9" spans="2:10" s="317" customFormat="1" ht="9" customHeight="1" x14ac:dyDescent="0.2">
      <c r="B9" s="1421"/>
      <c r="C9" s="322"/>
      <c r="D9" s="322"/>
      <c r="E9" s="1375"/>
      <c r="F9" s="322"/>
      <c r="G9" s="322"/>
      <c r="H9" s="322"/>
      <c r="I9" s="322"/>
    </row>
    <row r="10" spans="2:10" s="317" customFormat="1" ht="12.75" customHeight="1" x14ac:dyDescent="0.2">
      <c r="B10" s="1422" t="s">
        <v>1345</v>
      </c>
      <c r="C10" s="1423"/>
      <c r="D10" s="1423"/>
      <c r="E10" s="1257"/>
    </row>
    <row r="11" spans="2:10" s="317" customFormat="1" ht="13.5" customHeight="1" x14ac:dyDescent="0.2">
      <c r="B11" s="1341" t="s">
        <v>1344</v>
      </c>
      <c r="C11" s="2502" t="s">
        <v>2155</v>
      </c>
      <c r="D11" s="2502"/>
      <c r="E11" s="1424"/>
      <c r="F11" s="1424"/>
      <c r="G11" s="1424"/>
    </row>
    <row r="12" spans="2:10" s="317" customFormat="1" ht="11.45" customHeight="1" x14ac:dyDescent="0.2">
      <c r="B12" s="1349"/>
      <c r="C12" s="1425" t="s">
        <v>1517</v>
      </c>
      <c r="D12" s="1426"/>
      <c r="E12" s="1257"/>
    </row>
    <row r="13" spans="2:10" s="317" customFormat="1" ht="12.75" customHeight="1" x14ac:dyDescent="0.2">
      <c r="B13" s="1427"/>
      <c r="C13" s="1379"/>
      <c r="D13" s="1379"/>
      <c r="E13" s="1257"/>
    </row>
    <row r="14" spans="2:10" s="317" customFormat="1" ht="12.75" customHeight="1" x14ac:dyDescent="0.2">
      <c r="B14" s="1360" t="s">
        <v>1343</v>
      </c>
      <c r="C14" s="1281"/>
      <c r="E14" s="1257"/>
    </row>
    <row r="15" spans="2:10" s="317" customFormat="1" ht="13.5" customHeight="1" x14ac:dyDescent="0.2">
      <c r="B15" s="1428" t="s">
        <v>1340</v>
      </c>
      <c r="C15" s="1429"/>
      <c r="D15" s="1390"/>
      <c r="E15" s="1430"/>
      <c r="F15" s="1299" t="s">
        <v>940</v>
      </c>
      <c r="G15" s="1430" t="s">
        <v>2104</v>
      </c>
      <c r="H15" s="1299" t="s">
        <v>1338</v>
      </c>
      <c r="I15" s="1299"/>
    </row>
    <row r="16" spans="2:10" s="317" customFormat="1" ht="8.4499999999999993" customHeight="1" x14ac:dyDescent="0.2">
      <c r="B16" s="1360"/>
      <c r="C16" s="1281"/>
      <c r="E16" s="1375"/>
      <c r="F16" s="1299"/>
      <c r="G16" s="322"/>
      <c r="H16" s="1299"/>
      <c r="I16" s="1299"/>
    </row>
    <row r="17" spans="2:9" s="317" customFormat="1" ht="13.5" customHeight="1" x14ac:dyDescent="0.2">
      <c r="B17" s="1428" t="s">
        <v>1339</v>
      </c>
      <c r="C17" s="1429"/>
      <c r="D17" s="1390"/>
      <c r="E17" s="1431"/>
      <c r="F17" s="1256"/>
      <c r="G17" s="1431"/>
      <c r="H17" s="1299"/>
      <c r="I17" s="1299"/>
    </row>
    <row r="18" spans="2:9" s="317" customFormat="1" ht="12.75" customHeight="1" x14ac:dyDescent="0.2">
      <c r="B18" s="1428" t="s">
        <v>1518</v>
      </c>
      <c r="C18" s="1429"/>
      <c r="D18" s="1390"/>
      <c r="E18" s="1430"/>
      <c r="F18" s="1299" t="s">
        <v>940</v>
      </c>
      <c r="G18" s="1430" t="s">
        <v>2104</v>
      </c>
      <c r="H18" s="1299" t="s">
        <v>1338</v>
      </c>
      <c r="I18" s="1299"/>
    </row>
    <row r="19" spans="2:9" s="317" customFormat="1" ht="8.4499999999999993" customHeight="1" x14ac:dyDescent="0.2">
      <c r="B19" s="1360"/>
      <c r="C19" s="1281"/>
      <c r="E19" s="1375"/>
      <c r="F19" s="1299"/>
      <c r="G19" s="322"/>
      <c r="H19" s="1299"/>
      <c r="I19" s="1299"/>
    </row>
    <row r="20" spans="2:9" s="317" customFormat="1" ht="13.5" customHeight="1" x14ac:dyDescent="0.2">
      <c r="B20" s="1428" t="s">
        <v>1673</v>
      </c>
      <c r="C20" s="1429"/>
      <c r="D20" s="1390"/>
      <c r="E20" s="1430"/>
      <c r="F20" s="1299" t="s">
        <v>940</v>
      </c>
      <c r="G20" s="1430" t="s">
        <v>2104</v>
      </c>
      <c r="H20" s="1299" t="s">
        <v>101</v>
      </c>
      <c r="I20" s="1299"/>
    </row>
    <row r="21" spans="2:9" s="317" customFormat="1" ht="12.75" customHeight="1" x14ac:dyDescent="0.2">
      <c r="B21" s="1360"/>
      <c r="C21" s="1281"/>
      <c r="E21" s="1375"/>
      <c r="F21" s="1299"/>
      <c r="G21" s="322"/>
      <c r="H21" s="1299"/>
      <c r="I21" s="1299"/>
    </row>
    <row r="22" spans="2:9" s="317" customFormat="1" ht="12.75" customHeight="1" x14ac:dyDescent="0.2">
      <c r="B22" s="1422" t="s">
        <v>1342</v>
      </c>
      <c r="C22" s="1432"/>
      <c r="D22" s="1423"/>
      <c r="E22" s="1375"/>
      <c r="F22" s="1299"/>
      <c r="G22" s="322"/>
      <c r="H22" s="1299"/>
      <c r="I22" s="1299"/>
    </row>
    <row r="23" spans="2:9" s="317" customFormat="1" ht="12.75" customHeight="1" x14ac:dyDescent="0.2">
      <c r="B23" s="1360" t="s">
        <v>1341</v>
      </c>
      <c r="C23" s="1281"/>
      <c r="E23" s="1375"/>
      <c r="F23" s="1299"/>
      <c r="G23" s="322"/>
      <c r="H23" s="1299"/>
      <c r="I23" s="1299"/>
    </row>
    <row r="24" spans="2:9" s="317" customFormat="1" ht="13.5" customHeight="1" x14ac:dyDescent="0.2">
      <c r="B24" s="1428" t="s">
        <v>1340</v>
      </c>
      <c r="C24" s="1429"/>
      <c r="D24" s="1390"/>
      <c r="E24" s="1430"/>
      <c r="F24" s="1299" t="s">
        <v>940</v>
      </c>
      <c r="G24" s="1430" t="s">
        <v>2104</v>
      </c>
      <c r="H24" s="1299" t="s">
        <v>1338</v>
      </c>
      <c r="I24" s="1299"/>
    </row>
    <row r="25" spans="2:9" s="317" customFormat="1" ht="8.4499999999999993" customHeight="1" x14ac:dyDescent="0.2">
      <c r="B25" s="1360"/>
      <c r="C25" s="1281"/>
      <c r="E25" s="1375"/>
      <c r="F25" s="1299"/>
      <c r="G25" s="322"/>
      <c r="H25" s="1299"/>
      <c r="I25" s="1299"/>
    </row>
    <row r="26" spans="2:9" s="317" customFormat="1" ht="13.5" customHeight="1" x14ac:dyDescent="0.2">
      <c r="B26" s="1428" t="s">
        <v>1339</v>
      </c>
      <c r="C26" s="1429"/>
      <c r="D26" s="1390"/>
      <c r="E26" s="1431"/>
      <c r="F26" s="1256"/>
      <c r="G26" s="1431"/>
      <c r="H26" s="1299"/>
      <c r="I26" s="1299"/>
    </row>
    <row r="27" spans="2:9" s="317" customFormat="1" ht="12.75" customHeight="1" x14ac:dyDescent="0.2">
      <c r="B27" s="1428" t="s">
        <v>1518</v>
      </c>
      <c r="C27" s="1429"/>
      <c r="D27" s="1390"/>
      <c r="E27" s="1430"/>
      <c r="F27" s="1299" t="s">
        <v>940</v>
      </c>
      <c r="G27" s="1430" t="s">
        <v>2104</v>
      </c>
      <c r="H27" s="1299" t="s">
        <v>1338</v>
      </c>
      <c r="I27" s="1299"/>
    </row>
    <row r="28" spans="2:9" s="317" customFormat="1" ht="12.75" customHeight="1" x14ac:dyDescent="0.2">
      <c r="B28" s="1360"/>
      <c r="C28" s="1281"/>
      <c r="E28" s="1257"/>
    </row>
    <row r="29" spans="2:9" s="317" customFormat="1" ht="12.75" customHeight="1" x14ac:dyDescent="0.2">
      <c r="B29" s="1360" t="s">
        <v>1337</v>
      </c>
      <c r="C29" s="1281"/>
      <c r="D29" s="2503" t="s">
        <v>2155</v>
      </c>
      <c r="E29" s="2503"/>
      <c r="F29" s="2503"/>
      <c r="G29" s="2503"/>
      <c r="H29" s="2503"/>
      <c r="I29" s="2503"/>
    </row>
    <row r="30" spans="2:9" s="317" customFormat="1" x14ac:dyDescent="0.2">
      <c r="B30" s="1360"/>
      <c r="C30" s="322"/>
      <c r="D30" s="1425" t="s">
        <v>1848</v>
      </c>
      <c r="E30" s="1426"/>
      <c r="F30" s="1426"/>
      <c r="G30" s="1426"/>
      <c r="H30" s="1426"/>
      <c r="I30" s="1426"/>
    </row>
    <row r="31" spans="2:9" s="317" customFormat="1" ht="9.9499999999999993" customHeight="1" x14ac:dyDescent="0.2">
      <c r="B31" s="1360"/>
      <c r="E31" s="1257"/>
    </row>
    <row r="32" spans="2:9" s="317" customFormat="1" x14ac:dyDescent="0.2">
      <c r="B32" s="1360" t="s">
        <v>1336</v>
      </c>
      <c r="C32" s="1281"/>
      <c r="E32" s="1257"/>
    </row>
    <row r="33" spans="2:9" ht="13.5" customHeight="1" x14ac:dyDescent="0.2">
      <c r="B33" s="1360" t="s">
        <v>1633</v>
      </c>
      <c r="C33" s="1281"/>
      <c r="E33" s="1430"/>
      <c r="F33" s="1299" t="s">
        <v>940</v>
      </c>
      <c r="G33" s="1430" t="s">
        <v>2104</v>
      </c>
      <c r="H33" s="1299" t="s">
        <v>101</v>
      </c>
    </row>
    <row r="35" spans="2:9" x14ac:dyDescent="0.2">
      <c r="B35" s="1433" t="s">
        <v>1849</v>
      </c>
      <c r="C35" s="1434"/>
      <c r="D35" s="1266"/>
    </row>
    <row r="36" spans="2:9" ht="6" customHeight="1" x14ac:dyDescent="0.2">
      <c r="B36" s="1433"/>
      <c r="C36" s="1434"/>
      <c r="D36" s="1266"/>
    </row>
    <row r="37" spans="2:9" ht="17.25" customHeight="1" x14ac:dyDescent="0.2">
      <c r="B37" s="1435" t="s">
        <v>1850</v>
      </c>
      <c r="C37" s="2504" t="s">
        <v>1851</v>
      </c>
      <c r="D37" s="2505"/>
      <c r="E37" s="2505"/>
      <c r="F37" s="2506"/>
      <c r="G37" s="2504" t="s">
        <v>1674</v>
      </c>
      <c r="H37" s="2505"/>
      <c r="I37" s="2506"/>
    </row>
    <row r="38" spans="2:9" ht="16.5" customHeight="1" x14ac:dyDescent="0.2">
      <c r="B38" s="1436" t="s">
        <v>2156</v>
      </c>
      <c r="C38" s="2492" t="s">
        <v>2157</v>
      </c>
      <c r="D38" s="2493"/>
      <c r="E38" s="2493"/>
      <c r="F38" s="2494"/>
      <c r="G38" s="2507">
        <v>663755</v>
      </c>
      <c r="H38" s="2508"/>
      <c r="I38" s="2509"/>
    </row>
    <row r="39" spans="2:9" ht="16.5" customHeight="1" x14ac:dyDescent="0.2">
      <c r="B39" s="1436"/>
      <c r="C39" s="2492"/>
      <c r="D39" s="2493"/>
      <c r="E39" s="2493"/>
      <c r="F39" s="2494"/>
      <c r="G39" s="2495"/>
      <c r="H39" s="2495"/>
      <c r="I39" s="2495"/>
    </row>
    <row r="40" spans="2:9" ht="16.5" customHeight="1" x14ac:dyDescent="0.2">
      <c r="B40" s="1436"/>
      <c r="C40" s="2492"/>
      <c r="D40" s="2493"/>
      <c r="E40" s="2493"/>
      <c r="F40" s="2494"/>
      <c r="G40" s="2495"/>
      <c r="H40" s="2495"/>
      <c r="I40" s="2495"/>
    </row>
    <row r="41" spans="2:9" ht="16.5" customHeight="1" x14ac:dyDescent="0.2">
      <c r="B41" s="1436"/>
      <c r="C41" s="2492"/>
      <c r="D41" s="2493"/>
      <c r="E41" s="2493"/>
      <c r="F41" s="2494"/>
      <c r="G41" s="2495"/>
      <c r="H41" s="2495"/>
      <c r="I41" s="2495"/>
    </row>
    <row r="42" spans="2:9" ht="16.5" customHeight="1" x14ac:dyDescent="0.2">
      <c r="B42" s="1436"/>
      <c r="C42" s="2492"/>
      <c r="D42" s="2493"/>
      <c r="E42" s="2493"/>
      <c r="F42" s="2494"/>
      <c r="G42" s="2495"/>
      <c r="H42" s="2495"/>
      <c r="I42" s="2495"/>
    </row>
    <row r="43" spans="2:9" ht="16.5" customHeight="1" x14ac:dyDescent="0.2">
      <c r="B43" s="1436"/>
      <c r="C43" s="2485" t="s">
        <v>1675</v>
      </c>
      <c r="D43" s="2486"/>
      <c r="E43" s="2486"/>
      <c r="F43" s="2487"/>
      <c r="G43" s="2488">
        <f>SUM(G38:I42)</f>
        <v>663755</v>
      </c>
      <c r="H43" s="2488"/>
      <c r="I43" s="2488"/>
    </row>
    <row r="44" spans="2:9" ht="12.75" customHeight="1" x14ac:dyDescent="0.2"/>
    <row r="45" spans="2:9" ht="12.75" customHeight="1" x14ac:dyDescent="0.2">
      <c r="B45" s="1427" t="s">
        <v>1949</v>
      </c>
      <c r="D45" s="2489">
        <f>+' SEFA (2)'!I25</f>
        <v>1018434</v>
      </c>
      <c r="E45" s="2490"/>
    </row>
    <row r="46" spans="2:9" ht="5.25" customHeight="1" x14ac:dyDescent="0.2">
      <c r="B46" s="1437"/>
      <c r="D46" s="1438"/>
      <c r="E46" s="1439"/>
    </row>
    <row r="47" spans="2:9" ht="12.75" customHeight="1" x14ac:dyDescent="0.2">
      <c r="B47" s="1299" t="s">
        <v>1676</v>
      </c>
      <c r="C47" s="1299"/>
      <c r="D47" s="1440">
        <f>+G43/D45</f>
        <v>0.65174080991011696</v>
      </c>
      <c r="E47" s="1441"/>
      <c r="F47" s="1442"/>
      <c r="I47" s="1443"/>
    </row>
    <row r="48" spans="2:9" ht="9.9499999999999993" customHeight="1" x14ac:dyDescent="0.2"/>
    <row r="49" spans="1:9" x14ac:dyDescent="0.2">
      <c r="B49" s="1360" t="s">
        <v>1335</v>
      </c>
      <c r="C49" s="1281"/>
      <c r="D49" s="1281"/>
      <c r="E49" s="2491">
        <v>750000</v>
      </c>
      <c r="F49" s="2491"/>
      <c r="G49" s="2491"/>
      <c r="H49" s="322"/>
    </row>
    <row r="51" spans="1:9" ht="13.5" customHeight="1" x14ac:dyDescent="0.2">
      <c r="B51" s="1360" t="s">
        <v>1334</v>
      </c>
      <c r="C51" s="1281"/>
      <c r="E51" s="1430" t="s">
        <v>2104</v>
      </c>
      <c r="F51" s="1299" t="s">
        <v>940</v>
      </c>
      <c r="G51" s="1430"/>
      <c r="H51" s="1299" t="s">
        <v>101</v>
      </c>
    </row>
    <row r="52" spans="1:9" x14ac:dyDescent="0.2">
      <c r="B52" s="1352"/>
      <c r="C52" s="1296"/>
      <c r="D52" s="1444"/>
      <c r="E52" s="1445"/>
      <c r="F52" s="1446"/>
      <c r="G52" s="1446"/>
      <c r="H52" s="1446"/>
      <c r="I52" s="1446"/>
    </row>
    <row r="53" spans="1:9" ht="6" customHeight="1" x14ac:dyDescent="0.2">
      <c r="B53" s="1421"/>
      <c r="C53" s="322"/>
      <c r="D53" s="1447"/>
      <c r="E53" s="1448"/>
      <c r="F53" s="1449"/>
      <c r="G53" s="1449"/>
      <c r="H53" s="1449"/>
      <c r="I53" s="1449"/>
    </row>
    <row r="54" spans="1:9" s="1453" customFormat="1" ht="14.25" x14ac:dyDescent="0.2">
      <c r="A54" s="1450"/>
      <c r="B54" s="1451" t="s">
        <v>1852</v>
      </c>
      <c r="C54" s="1452"/>
      <c r="D54" s="1452"/>
    </row>
    <row r="55" spans="1:9" s="1453" customFormat="1" ht="12.75" customHeight="1" x14ac:dyDescent="0.2">
      <c r="A55" s="1450"/>
      <c r="B55" s="1454" t="s">
        <v>1677</v>
      </c>
      <c r="C55" s="1450"/>
      <c r="D55" s="1450"/>
    </row>
    <row r="56" spans="1:9" s="1453" customFormat="1" ht="12.75" customHeight="1" x14ac:dyDescent="0.2">
      <c r="A56" s="1450"/>
      <c r="B56" s="1454" t="s">
        <v>1678</v>
      </c>
      <c r="C56" s="1450"/>
      <c r="D56" s="1450"/>
    </row>
    <row r="57" spans="1:9" s="1453" customFormat="1" ht="3.95" customHeight="1" x14ac:dyDescent="0.2">
      <c r="A57" s="1450"/>
      <c r="B57" s="1454"/>
      <c r="C57" s="1450"/>
      <c r="D57" s="1450"/>
    </row>
    <row r="58" spans="1:9" s="1453" customFormat="1" ht="13.5" customHeight="1" x14ac:dyDescent="0.2">
      <c r="A58" s="1450"/>
      <c r="B58" s="1455" t="s">
        <v>1853</v>
      </c>
      <c r="C58" s="1456"/>
      <c r="D58" s="1456"/>
    </row>
    <row r="59" spans="1:9" s="1453" customFormat="1" ht="3.95" customHeight="1" x14ac:dyDescent="0.2">
      <c r="A59" s="1450"/>
      <c r="B59" s="1455"/>
      <c r="C59" s="1456"/>
      <c r="D59" s="1456"/>
    </row>
    <row r="60" spans="1:9" s="1453" customFormat="1" ht="13.5" customHeight="1" x14ac:dyDescent="0.2">
      <c r="A60" s="1450"/>
      <c r="B60" s="1455" t="s">
        <v>1854</v>
      </c>
      <c r="C60" s="1456"/>
      <c r="D60" s="1456"/>
    </row>
    <row r="61" spans="1:9" s="1453" customFormat="1" ht="3.95" customHeight="1" x14ac:dyDescent="0.2">
      <c r="A61" s="1450"/>
      <c r="B61" s="1455"/>
      <c r="C61" s="1456"/>
      <c r="D61" s="1456"/>
    </row>
    <row r="62" spans="1:9" s="1453" customFormat="1" ht="12.75" customHeight="1" x14ac:dyDescent="0.2">
      <c r="A62" s="1450"/>
      <c r="B62" s="1455" t="s">
        <v>1855</v>
      </c>
      <c r="C62" s="1456"/>
      <c r="D62" s="1456"/>
    </row>
    <row r="63" spans="1:9" s="1453" customFormat="1" ht="13.5" customHeight="1" x14ac:dyDescent="0.2">
      <c r="A63" s="1450"/>
      <c r="B63" s="1454" t="s">
        <v>1679</v>
      </c>
      <c r="C63" s="1450"/>
      <c r="D63" s="145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41"/>
  <sheetViews>
    <sheetView showGridLines="0" topLeftCell="A25" zoomScale="110" zoomScaleNormal="110" workbookViewId="0">
      <selection activeCell="X57" sqref="X5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6" t="str">
        <f>'Single Audit Cover'!A7</f>
        <v>Lake Park CHSD 108</v>
      </c>
      <c r="C1" s="2496"/>
      <c r="D1" s="2496"/>
      <c r="E1" s="2496"/>
      <c r="F1" s="2496"/>
      <c r="G1" s="2496"/>
      <c r="H1" s="2496"/>
      <c r="I1" s="2496"/>
      <c r="J1" s="2496"/>
      <c r="K1" s="2496"/>
      <c r="L1" s="1366"/>
      <c r="M1" s="1366"/>
    </row>
    <row r="2" spans="1:13" ht="12" customHeight="1" x14ac:dyDescent="0.2">
      <c r="B2" s="2498">
        <f>'Single Audit Cover'!E7</f>
        <v>19022108016</v>
      </c>
      <c r="C2" s="2498"/>
      <c r="D2" s="2498"/>
      <c r="E2" s="2498"/>
      <c r="F2" s="2498"/>
      <c r="G2" s="2498"/>
      <c r="H2" s="2498"/>
      <c r="I2" s="2498"/>
      <c r="J2" s="2498"/>
      <c r="K2" s="2498"/>
      <c r="L2" s="1367"/>
      <c r="M2" s="1368"/>
    </row>
    <row r="3" spans="1:13" ht="10.35" customHeight="1" x14ac:dyDescent="0.2">
      <c r="B3" s="2512" t="s">
        <v>1347</v>
      </c>
      <c r="C3" s="2512"/>
      <c r="D3" s="2512"/>
      <c r="E3" s="2512"/>
      <c r="F3" s="2512"/>
      <c r="G3" s="2512"/>
      <c r="H3" s="2512"/>
      <c r="I3" s="2512"/>
      <c r="J3" s="2512"/>
      <c r="K3" s="2512"/>
      <c r="L3" s="1369"/>
      <c r="M3" s="1369"/>
    </row>
    <row r="4" spans="1:13" ht="14.25" customHeight="1" x14ac:dyDescent="0.2">
      <c r="B4" s="2513" t="str">
        <f>'Single Audit Cover'!A4</f>
        <v>Year Ending June 30, 2018</v>
      </c>
      <c r="C4" s="2513"/>
      <c r="D4" s="2513"/>
      <c r="E4" s="2513"/>
      <c r="F4" s="2513"/>
      <c r="G4" s="2513"/>
      <c r="H4" s="2513"/>
      <c r="I4" s="2513"/>
      <c r="J4" s="2513"/>
      <c r="K4" s="2513"/>
      <c r="L4" s="313"/>
      <c r="M4" s="313"/>
    </row>
    <row r="5" spans="1:13" ht="7.5" customHeight="1" x14ac:dyDescent="0.2">
      <c r="B5" s="1259" t="s">
        <v>1231</v>
      </c>
      <c r="C5" s="1259"/>
    </row>
    <row r="6" spans="1:13" ht="7.5" customHeight="1" x14ac:dyDescent="0.2">
      <c r="B6" s="1370"/>
      <c r="C6" s="1370"/>
      <c r="D6" s="1371"/>
      <c r="E6" s="1371"/>
      <c r="F6" s="1371"/>
      <c r="G6" s="1372"/>
      <c r="H6" s="1371"/>
      <c r="I6" s="1372"/>
      <c r="J6" s="1371"/>
      <c r="K6" s="1371"/>
      <c r="L6" s="1373"/>
    </row>
    <row r="7" spans="1:13" ht="12.75" customHeight="1" x14ac:dyDescent="0.2">
      <c r="A7" s="1281"/>
      <c r="B7" s="2513" t="s">
        <v>1363</v>
      </c>
      <c r="C7" s="2513"/>
      <c r="D7" s="2514"/>
      <c r="E7" s="2514"/>
      <c r="F7" s="2514"/>
      <c r="G7" s="2514"/>
      <c r="H7" s="2514"/>
      <c r="I7" s="2514"/>
      <c r="J7" s="2514"/>
      <c r="K7" s="2514"/>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1842</v>
      </c>
      <c r="C10" s="1377" t="s">
        <v>1950</v>
      </c>
      <c r="D10" s="1378" t="s">
        <v>2077</v>
      </c>
      <c r="E10" s="322"/>
      <c r="F10" s="1379" t="s">
        <v>1362</v>
      </c>
      <c r="G10" s="1380"/>
      <c r="H10" s="1381" t="s">
        <v>1361</v>
      </c>
      <c r="I10" s="1380"/>
      <c r="J10" s="1382" t="s">
        <v>1360</v>
      </c>
      <c r="K10" s="322"/>
      <c r="L10" s="1373"/>
    </row>
    <row r="11" spans="1:13" ht="13.5" customHeight="1" x14ac:dyDescent="0.2">
      <c r="B11" s="322"/>
      <c r="C11" s="322"/>
      <c r="D11" s="322"/>
      <c r="E11" s="322"/>
      <c r="F11" s="322"/>
      <c r="G11" s="1375"/>
      <c r="H11" s="322"/>
      <c r="I11" s="1383" t="s">
        <v>1359</v>
      </c>
      <c r="J11" s="322"/>
      <c r="K11" s="1384"/>
      <c r="L11" s="1373"/>
    </row>
    <row r="12" spans="1:13" ht="13.5" customHeight="1" x14ac:dyDescent="0.2">
      <c r="B12" s="1293"/>
      <c r="C12" s="1293"/>
      <c r="D12" s="322"/>
      <c r="E12" s="322"/>
      <c r="F12" s="322"/>
      <c r="G12" s="1375"/>
      <c r="H12" s="322"/>
      <c r="I12" s="1375"/>
      <c r="J12" s="322"/>
      <c r="L12" s="1373"/>
    </row>
    <row r="13" spans="1:13" s="1281" customFormat="1" ht="13.5" customHeight="1" x14ac:dyDescent="0.2">
      <c r="B13" s="1385" t="s">
        <v>1358</v>
      </c>
      <c r="C13" s="1385"/>
      <c r="D13" s="1386"/>
      <c r="E13" s="1386"/>
      <c r="F13" s="1386"/>
      <c r="G13" s="1387"/>
      <c r="H13" s="1386"/>
      <c r="I13" s="1387"/>
      <c r="J13" s="1386"/>
      <c r="K13" s="1386"/>
      <c r="L13" s="1388"/>
    </row>
    <row r="14" spans="1:13" ht="45.75" customHeight="1" x14ac:dyDescent="0.2">
      <c r="B14" s="2511"/>
      <c r="C14" s="2511"/>
      <c r="D14" s="2511"/>
      <c r="E14" s="2511"/>
      <c r="F14" s="2511"/>
      <c r="G14" s="2511"/>
      <c r="H14" s="2511"/>
      <c r="I14" s="2511"/>
      <c r="J14" s="2511"/>
      <c r="K14" s="2511"/>
      <c r="L14" s="1389"/>
    </row>
    <row r="15" spans="1:13" ht="4.5" customHeight="1" x14ac:dyDescent="0.2">
      <c r="B15" s="1390"/>
      <c r="C15" s="1390"/>
      <c r="D15" s="1391"/>
      <c r="E15" s="1391"/>
      <c r="F15" s="1391"/>
      <c r="H15" s="1391"/>
      <c r="J15" s="1391"/>
      <c r="K15" s="1391"/>
      <c r="L15" s="1389"/>
    </row>
    <row r="16" spans="1:13" s="1281" customFormat="1" ht="13.5" customHeight="1" x14ac:dyDescent="0.2">
      <c r="B16" s="1385" t="s">
        <v>1357</v>
      </c>
      <c r="C16" s="1385"/>
      <c r="D16" s="1386"/>
      <c r="E16" s="1386"/>
      <c r="F16" s="1386"/>
      <c r="G16" s="1387"/>
      <c r="H16" s="1386"/>
      <c r="I16" s="1387"/>
      <c r="J16" s="1386"/>
      <c r="K16" s="1386"/>
      <c r="L16" s="1388"/>
    </row>
    <row r="17" spans="2:12" ht="45.75" customHeight="1" x14ac:dyDescent="0.2">
      <c r="B17" s="2511"/>
      <c r="C17" s="2511"/>
      <c r="D17" s="2511"/>
      <c r="E17" s="2511"/>
      <c r="F17" s="2511"/>
      <c r="G17" s="2511"/>
      <c r="H17" s="2511"/>
      <c r="I17" s="2511"/>
      <c r="J17" s="2511"/>
      <c r="K17" s="2511"/>
      <c r="L17" s="1373"/>
    </row>
    <row r="18" spans="2:12" ht="4.5" customHeight="1" x14ac:dyDescent="0.2">
      <c r="B18" s="1390"/>
      <c r="C18" s="1390"/>
      <c r="L18" s="1373"/>
    </row>
    <row r="19" spans="2:12" s="1281" customFormat="1" ht="13.5" customHeight="1" x14ac:dyDescent="0.2">
      <c r="B19" s="1385" t="s">
        <v>1843</v>
      </c>
      <c r="C19" s="1385"/>
      <c r="D19" s="1386"/>
      <c r="E19" s="1386"/>
      <c r="F19" s="1386"/>
      <c r="G19" s="1387"/>
      <c r="H19" s="1386"/>
      <c r="I19" s="1387"/>
      <c r="J19" s="1386"/>
      <c r="K19" s="1386"/>
      <c r="L19" s="1388"/>
    </row>
    <row r="20" spans="2:12" ht="45.75" customHeight="1" x14ac:dyDescent="0.2">
      <c r="B20" s="2515"/>
      <c r="C20" s="2515"/>
      <c r="D20" s="2511"/>
      <c r="E20" s="2511"/>
      <c r="F20" s="2511"/>
      <c r="G20" s="2511"/>
      <c r="H20" s="2511"/>
      <c r="I20" s="2511"/>
      <c r="J20" s="2511"/>
      <c r="K20" s="2511"/>
      <c r="L20" s="1373"/>
    </row>
    <row r="21" spans="2:12" ht="4.5" customHeight="1" x14ac:dyDescent="0.2">
      <c r="B21" s="1392"/>
      <c r="C21" s="1392"/>
      <c r="L21" s="1373"/>
    </row>
    <row r="22" spans="2:12" ht="13.5" customHeight="1" x14ac:dyDescent="0.2">
      <c r="B22" s="1385" t="s">
        <v>1356</v>
      </c>
      <c r="C22" s="1385"/>
      <c r="D22" s="1371"/>
      <c r="E22" s="1371"/>
      <c r="F22" s="1371"/>
      <c r="G22" s="1372"/>
      <c r="H22" s="1371"/>
      <c r="I22" s="1372"/>
      <c r="J22" s="1371"/>
      <c r="K22" s="1371"/>
      <c r="L22" s="1373"/>
    </row>
    <row r="23" spans="2:12" ht="45" customHeight="1" x14ac:dyDescent="0.2">
      <c r="B23" s="2511"/>
      <c r="C23" s="2511"/>
      <c r="D23" s="2511"/>
      <c r="E23" s="2511"/>
      <c r="F23" s="2511"/>
      <c r="G23" s="2511"/>
      <c r="H23" s="2511"/>
      <c r="I23" s="2511"/>
      <c r="J23" s="2511"/>
      <c r="K23" s="2511"/>
      <c r="L23" s="1373"/>
    </row>
    <row r="24" spans="2:12" ht="4.5" customHeight="1" x14ac:dyDescent="0.2">
      <c r="B24" s="1390"/>
      <c r="C24" s="1390"/>
      <c r="L24" s="1373"/>
    </row>
    <row r="25" spans="2:12" ht="13.5" customHeight="1" x14ac:dyDescent="0.2">
      <c r="B25" s="1385" t="s">
        <v>1355</v>
      </c>
      <c r="C25" s="1385"/>
      <c r="D25" s="1371"/>
      <c r="E25" s="1371"/>
      <c r="F25" s="1371"/>
      <c r="G25" s="1372"/>
      <c r="H25" s="1371"/>
      <c r="I25" s="1372"/>
      <c r="J25" s="1371"/>
      <c r="K25" s="1371"/>
      <c r="L25" s="1373"/>
    </row>
    <row r="26" spans="2:12" ht="45.75" customHeight="1" x14ac:dyDescent="0.2">
      <c r="B26" s="2511"/>
      <c r="C26" s="2511"/>
      <c r="D26" s="2511"/>
      <c r="E26" s="2511"/>
      <c r="F26" s="2511"/>
      <c r="G26" s="2511"/>
      <c r="H26" s="2511"/>
      <c r="I26" s="2511"/>
      <c r="J26" s="2511"/>
      <c r="K26" s="2511"/>
      <c r="L26" s="1373"/>
    </row>
    <row r="27" spans="2:12" ht="4.5" customHeight="1" x14ac:dyDescent="0.2">
      <c r="B27" s="1390"/>
      <c r="C27" s="1390"/>
      <c r="L27" s="1373"/>
    </row>
    <row r="28" spans="2:12" ht="13.5" customHeight="1" x14ac:dyDescent="0.2">
      <c r="B28" s="1393" t="s">
        <v>1354</v>
      </c>
      <c r="C28" s="1393"/>
      <c r="D28" s="1371"/>
      <c r="E28" s="1371"/>
      <c r="F28" s="1371"/>
      <c r="G28" s="1372"/>
      <c r="H28" s="1371"/>
      <c r="I28" s="1372"/>
      <c r="J28" s="1371"/>
      <c r="K28" s="1371"/>
      <c r="L28" s="1373"/>
    </row>
    <row r="29" spans="2:12" ht="45.75" customHeight="1" x14ac:dyDescent="0.2">
      <c r="B29" s="2510"/>
      <c r="C29" s="2510"/>
      <c r="D29" s="2511"/>
      <c r="E29" s="2511"/>
      <c r="F29" s="2511"/>
      <c r="G29" s="2511"/>
      <c r="H29" s="2511"/>
      <c r="I29" s="2511"/>
      <c r="J29" s="2511"/>
      <c r="K29" s="2511"/>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1844</v>
      </c>
      <c r="C31" s="1395"/>
      <c r="D31" s="1370"/>
      <c r="E31" s="1371"/>
      <c r="F31" s="1371"/>
      <c r="G31" s="1372"/>
      <c r="H31" s="1371"/>
      <c r="I31" s="1372"/>
      <c r="J31" s="1371"/>
      <c r="K31" s="1371"/>
      <c r="L31" s="1373"/>
    </row>
    <row r="32" spans="2:12" s="322" customFormat="1" ht="44.25" customHeight="1" x14ac:dyDescent="0.2">
      <c r="B32" s="2510"/>
      <c r="C32" s="2510"/>
      <c r="D32" s="2511"/>
      <c r="E32" s="2511"/>
      <c r="F32" s="2511"/>
      <c r="G32" s="2511"/>
      <c r="H32" s="2511"/>
      <c r="I32" s="2511"/>
      <c r="J32" s="2511"/>
      <c r="K32" s="2511"/>
      <c r="L32" s="1373"/>
    </row>
    <row r="33" spans="1:13" s="322" customFormat="1" ht="4.5" customHeight="1" x14ac:dyDescent="0.2">
      <c r="B33" s="1394"/>
      <c r="C33" s="1394"/>
      <c r="G33" s="1375"/>
      <c r="I33" s="1375"/>
      <c r="L33" s="1373"/>
    </row>
    <row r="34" spans="1:13" s="322" customFormat="1" x14ac:dyDescent="0.2">
      <c r="A34" s="1296"/>
      <c r="B34" s="1409"/>
      <c r="C34" s="1409"/>
      <c r="D34" s="1409"/>
      <c r="E34" s="1409"/>
      <c r="F34" s="1409"/>
      <c r="G34" s="1410"/>
      <c r="H34" s="1409"/>
      <c r="I34" s="1410"/>
      <c r="J34" s="1409"/>
      <c r="K34" s="1409"/>
      <c r="L34" s="1373"/>
    </row>
    <row r="35" spans="1:13" ht="11.85" customHeight="1" x14ac:dyDescent="0.2">
      <c r="B35" s="1411" t="s">
        <v>1845</v>
      </c>
      <c r="C35" s="1411"/>
      <c r="D35" s="322"/>
      <c r="E35" s="322"/>
      <c r="F35" s="322"/>
      <c r="L35" s="1373"/>
    </row>
    <row r="36" spans="1:13" ht="9.6" customHeight="1" x14ac:dyDescent="0.2">
      <c r="B36" s="1299" t="s">
        <v>1951</v>
      </c>
      <c r="C36" s="1299"/>
      <c r="L36" s="1373"/>
    </row>
    <row r="37" spans="1:13" ht="9.6" customHeight="1" x14ac:dyDescent="0.2">
      <c r="B37" s="1299" t="s">
        <v>1952</v>
      </c>
      <c r="C37" s="1299"/>
    </row>
    <row r="38" spans="1:13" ht="11.85" customHeight="1" x14ac:dyDescent="0.2">
      <c r="B38" s="1412" t="s">
        <v>1846</v>
      </c>
      <c r="C38" s="1412"/>
    </row>
    <row r="39" spans="1:13" ht="9.6" customHeight="1" x14ac:dyDescent="0.2">
      <c r="B39" s="1299" t="s">
        <v>1348</v>
      </c>
      <c r="C39" s="1299"/>
      <c r="M39" s="1413"/>
    </row>
    <row r="40" spans="1:13" ht="12.6" customHeight="1" x14ac:dyDescent="0.2">
      <c r="B40" s="1412" t="s">
        <v>1847</v>
      </c>
      <c r="C40" s="1412"/>
      <c r="M40" s="1413"/>
    </row>
    <row r="41" spans="1:13" ht="9.6" customHeight="1" x14ac:dyDescent="0.2">
      <c r="B41" s="1299"/>
      <c r="C41" s="1299"/>
      <c r="M41" s="141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52"/>
  <sheetViews>
    <sheetView showGridLines="0" topLeftCell="A28" zoomScale="110" zoomScaleNormal="110" workbookViewId="0">
      <selection activeCell="X59" sqref="X5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9" t="str">
        <f>'Single Audit Cover'!A7</f>
        <v>Lake Park CHSD 108</v>
      </c>
      <c r="C1" s="2519"/>
      <c r="D1" s="2519"/>
      <c r="E1" s="2519"/>
      <c r="F1" s="2519"/>
      <c r="G1" s="2519"/>
      <c r="H1" s="2519"/>
      <c r="I1" s="2519"/>
      <c r="J1" s="2519"/>
      <c r="K1" s="2519"/>
      <c r="L1" s="1457"/>
    </row>
    <row r="2" spans="1:12" ht="12.75" customHeight="1" x14ac:dyDescent="0.2">
      <c r="B2" s="2520">
        <f>'Single Audit Cover'!E7</f>
        <v>19022108016</v>
      </c>
      <c r="C2" s="2520"/>
      <c r="D2" s="2520"/>
      <c r="E2" s="2520"/>
      <c r="F2" s="2520"/>
      <c r="G2" s="2520"/>
      <c r="H2" s="2520"/>
      <c r="I2" s="2520"/>
      <c r="J2" s="2520"/>
      <c r="K2" s="2520"/>
      <c r="L2" s="1458"/>
    </row>
    <row r="3" spans="1:12" ht="12.75" customHeight="1" x14ac:dyDescent="0.2">
      <c r="B3" s="2512" t="s">
        <v>1347</v>
      </c>
      <c r="C3" s="2512"/>
      <c r="D3" s="2512"/>
      <c r="E3" s="2512"/>
      <c r="F3" s="2512"/>
      <c r="G3" s="2512"/>
      <c r="H3" s="2512"/>
      <c r="I3" s="2512"/>
      <c r="J3" s="2512"/>
      <c r="K3" s="2512"/>
      <c r="L3" s="1369"/>
    </row>
    <row r="4" spans="1:12" ht="12.75" customHeight="1" x14ac:dyDescent="0.2">
      <c r="B4" s="2512" t="str">
        <f>'Single Audit Cover'!A4</f>
        <v>Year Ending June 30, 2018</v>
      </c>
      <c r="C4" s="2512"/>
      <c r="D4" s="2512"/>
      <c r="E4" s="2512"/>
      <c r="F4" s="2512"/>
      <c r="G4" s="2512"/>
      <c r="H4" s="2512"/>
      <c r="I4" s="2512"/>
      <c r="J4" s="2512"/>
      <c r="K4" s="2512"/>
      <c r="L4" s="1369"/>
    </row>
    <row r="5" spans="1:12" ht="5.25" customHeight="1" x14ac:dyDescent="0.2">
      <c r="B5" s="1259" t="s">
        <v>1231</v>
      </c>
      <c r="C5" s="1259"/>
      <c r="L5" s="322"/>
    </row>
    <row r="6" spans="1:12" ht="30.75" customHeight="1" x14ac:dyDescent="0.2">
      <c r="A6" s="322"/>
      <c r="B6" s="2521" t="s">
        <v>1375</v>
      </c>
      <c r="C6" s="2521"/>
      <c r="D6" s="2521"/>
      <c r="E6" s="2521"/>
      <c r="F6" s="2521"/>
      <c r="G6" s="2521"/>
      <c r="H6" s="2521"/>
      <c r="I6" s="2521"/>
      <c r="J6" s="2521"/>
      <c r="K6" s="2521"/>
      <c r="L6" s="322"/>
    </row>
    <row r="7" spans="1:12" ht="4.5" customHeight="1" x14ac:dyDescent="0.2">
      <c r="B7" s="1371"/>
      <c r="C7" s="1371"/>
      <c r="D7" s="1371"/>
      <c r="E7" s="1371"/>
      <c r="F7" s="1371"/>
      <c r="G7" s="1372"/>
      <c r="H7" s="1371"/>
      <c r="I7" s="1372"/>
      <c r="J7" s="1371"/>
      <c r="K7" s="1371"/>
      <c r="L7" s="322"/>
    </row>
    <row r="8" spans="1:12" ht="13.5" customHeight="1" x14ac:dyDescent="0.2">
      <c r="B8" s="1379" t="s">
        <v>1856</v>
      </c>
      <c r="C8" s="1459" t="s">
        <v>1950</v>
      </c>
      <c r="D8" s="1460" t="s">
        <v>2077</v>
      </c>
      <c r="E8" s="322"/>
      <c r="F8" s="1376" t="s">
        <v>1362</v>
      </c>
      <c r="G8" s="1461"/>
      <c r="H8" s="1462" t="s">
        <v>1374</v>
      </c>
      <c r="I8" s="1461"/>
      <c r="J8" s="1463" t="s">
        <v>1373</v>
      </c>
      <c r="L8" s="322"/>
    </row>
    <row r="9" spans="1:12" ht="13.5" customHeight="1" x14ac:dyDescent="0.2">
      <c r="D9" s="322"/>
      <c r="E9" s="322"/>
      <c r="F9" s="322"/>
      <c r="G9" s="1375"/>
      <c r="H9" s="322"/>
      <c r="I9" s="1464" t="s">
        <v>1359</v>
      </c>
      <c r="J9" s="322"/>
      <c r="K9" s="1465"/>
      <c r="L9" s="322"/>
    </row>
    <row r="10" spans="1:12" ht="4.5" customHeight="1" x14ac:dyDescent="0.2">
      <c r="B10" s="1466"/>
      <c r="C10" s="1466"/>
      <c r="D10" s="1419"/>
      <c r="E10" s="1419"/>
      <c r="F10" s="1419"/>
      <c r="G10" s="1420"/>
      <c r="H10" s="1419"/>
      <c r="I10" s="1420"/>
      <c r="J10" s="1419"/>
      <c r="K10" s="1419"/>
      <c r="L10" s="322"/>
    </row>
    <row r="11" spans="1:12" ht="5.25" customHeight="1" x14ac:dyDescent="0.2">
      <c r="B11" s="322"/>
      <c r="C11" s="322"/>
      <c r="D11" s="304"/>
      <c r="E11" s="322"/>
      <c r="F11" s="322"/>
      <c r="G11" s="1375"/>
      <c r="H11" s="322"/>
      <c r="I11" s="1375"/>
      <c r="J11" s="322"/>
      <c r="K11" s="1424"/>
      <c r="L11" s="322"/>
    </row>
    <row r="12" spans="1:12" ht="13.5" customHeight="1" x14ac:dyDescent="0.2">
      <c r="B12" s="1376" t="s">
        <v>1372</v>
      </c>
      <c r="C12" s="1376"/>
      <c r="D12" s="304"/>
      <c r="E12" s="322"/>
      <c r="F12" s="2503"/>
      <c r="G12" s="2503"/>
      <c r="H12" s="2503"/>
      <c r="I12" s="2503"/>
      <c r="J12" s="2503"/>
      <c r="K12" s="2503"/>
      <c r="L12" s="322"/>
    </row>
    <row r="13" spans="1:12" ht="9.6" customHeight="1" x14ac:dyDescent="0.2">
      <c r="B13" s="1256"/>
      <c r="C13" s="1256"/>
      <c r="D13" s="304"/>
      <c r="E13" s="322"/>
      <c r="F13" s="322"/>
      <c r="G13" s="1375"/>
      <c r="H13" s="322"/>
      <c r="I13" s="1375"/>
      <c r="J13" s="322"/>
      <c r="K13" s="1424"/>
      <c r="L13" s="322"/>
    </row>
    <row r="14" spans="1:12" ht="13.5" customHeight="1" x14ac:dyDescent="0.2">
      <c r="B14" s="1379" t="s">
        <v>1371</v>
      </c>
      <c r="C14" s="1379"/>
      <c r="D14" s="2516"/>
      <c r="E14" s="2516"/>
      <c r="F14" s="2516"/>
      <c r="H14" s="1467" t="s">
        <v>1370</v>
      </c>
      <c r="I14" s="2517"/>
      <c r="J14" s="2517"/>
      <c r="K14" s="2517"/>
      <c r="L14" s="322"/>
    </row>
    <row r="15" spans="1:12" ht="9.4" customHeight="1" x14ac:dyDescent="0.2">
      <c r="B15" s="1379"/>
      <c r="C15" s="1379"/>
      <c r="D15" s="1365"/>
      <c r="E15" s="1259"/>
      <c r="F15" s="1259"/>
      <c r="G15" s="1285"/>
      <c r="H15" s="1259"/>
      <c r="I15" s="1468"/>
      <c r="J15" s="1293"/>
      <c r="K15" s="1290"/>
      <c r="L15" s="322"/>
    </row>
    <row r="16" spans="1:12" ht="13.5" customHeight="1" x14ac:dyDescent="0.2">
      <c r="B16" s="1379" t="s">
        <v>1369</v>
      </c>
      <c r="C16" s="1379"/>
      <c r="D16" s="2517"/>
      <c r="E16" s="2517"/>
      <c r="F16" s="2517"/>
      <c r="G16" s="2517"/>
      <c r="H16" s="2517"/>
      <c r="I16" s="2517"/>
      <c r="J16" s="2517"/>
      <c r="K16" s="2517"/>
      <c r="L16" s="322"/>
    </row>
    <row r="17" spans="2:12" ht="13.5" customHeight="1" x14ac:dyDescent="0.2">
      <c r="B17" s="1379" t="s">
        <v>1368</v>
      </c>
      <c r="C17" s="1379"/>
      <c r="D17" s="2518"/>
      <c r="E17" s="2518"/>
      <c r="F17" s="2518"/>
      <c r="G17" s="2518"/>
      <c r="H17" s="2518"/>
      <c r="I17" s="2518"/>
      <c r="J17" s="2518"/>
      <c r="K17" s="2518"/>
      <c r="L17" s="322"/>
    </row>
    <row r="18" spans="2:12" ht="9.4" customHeight="1" x14ac:dyDescent="0.2">
      <c r="B18" s="1419"/>
      <c r="C18" s="1419"/>
      <c r="D18" s="1419"/>
      <c r="E18" s="1419"/>
      <c r="F18" s="1419"/>
      <c r="G18" s="1420"/>
      <c r="H18" s="1419"/>
      <c r="I18" s="1420"/>
      <c r="J18" s="1419"/>
      <c r="K18" s="1419"/>
      <c r="L18" s="322"/>
    </row>
    <row r="19" spans="2:12" ht="13.5" customHeight="1" x14ac:dyDescent="0.2">
      <c r="B19" s="1469" t="s">
        <v>1367</v>
      </c>
      <c r="C19" s="1469"/>
      <c r="D19" s="328"/>
      <c r="E19" s="328"/>
      <c r="F19" s="328"/>
      <c r="G19" s="1470"/>
      <c r="H19" s="328"/>
      <c r="I19" s="1470"/>
      <c r="J19" s="322"/>
      <c r="K19" s="322"/>
      <c r="L19" s="322"/>
    </row>
    <row r="20" spans="2:12" ht="35.25" customHeight="1" x14ac:dyDescent="0.2">
      <c r="B20" s="2511"/>
      <c r="C20" s="2511"/>
      <c r="D20" s="2511"/>
      <c r="E20" s="2511"/>
      <c r="F20" s="2511"/>
      <c r="G20" s="2511"/>
      <c r="H20" s="2511"/>
      <c r="I20" s="2511"/>
      <c r="J20" s="2511"/>
      <c r="K20" s="2511"/>
      <c r="L20" s="1424"/>
    </row>
    <row r="21" spans="2:12" ht="4.5" customHeight="1" x14ac:dyDescent="0.2">
      <c r="B21" s="1471"/>
      <c r="C21" s="1471"/>
      <c r="D21" s="1472"/>
      <c r="E21" s="1472"/>
      <c r="F21" s="1472"/>
      <c r="G21" s="1420"/>
      <c r="H21" s="1472"/>
      <c r="I21" s="1420"/>
      <c r="J21" s="1472"/>
      <c r="K21" s="1472"/>
      <c r="L21" s="1424"/>
    </row>
    <row r="22" spans="2:12" ht="13.35" customHeight="1" x14ac:dyDescent="0.2">
      <c r="B22" s="1469" t="s">
        <v>1857</v>
      </c>
      <c r="C22" s="1469"/>
      <c r="D22" s="322"/>
      <c r="E22" s="322"/>
      <c r="F22" s="322"/>
      <c r="G22" s="1375"/>
      <c r="H22" s="322"/>
      <c r="I22" s="1375"/>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71"/>
      <c r="C24" s="1471"/>
      <c r="D24" s="1419"/>
      <c r="E24" s="1419"/>
      <c r="F24" s="1419"/>
      <c r="G24" s="1420"/>
      <c r="H24" s="1419"/>
      <c r="I24" s="1420"/>
      <c r="J24" s="1419"/>
      <c r="K24" s="1419"/>
      <c r="L24" s="322"/>
    </row>
    <row r="25" spans="2:12" ht="13.5" customHeight="1" x14ac:dyDescent="0.2">
      <c r="B25" s="1469" t="s">
        <v>1858</v>
      </c>
      <c r="C25" s="1469"/>
      <c r="D25" s="322"/>
      <c r="E25" s="322"/>
      <c r="F25" s="322"/>
      <c r="G25" s="1375"/>
      <c r="H25" s="322"/>
      <c r="I25" s="1375"/>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473"/>
      <c r="C27" s="1473"/>
      <c r="D27" s="1473"/>
      <c r="E27" s="1419"/>
      <c r="F27" s="1419"/>
      <c r="G27" s="1420"/>
      <c r="H27" s="1419"/>
      <c r="I27" s="1420"/>
      <c r="J27" s="1419"/>
      <c r="K27" s="1419"/>
      <c r="L27" s="322"/>
    </row>
    <row r="28" spans="2:12" ht="13.5" customHeight="1" x14ac:dyDescent="0.2">
      <c r="B28" s="1469" t="s">
        <v>1859</v>
      </c>
      <c r="C28" s="1469"/>
      <c r="D28" s="322"/>
      <c r="E28" s="322"/>
      <c r="F28" s="322"/>
      <c r="G28" s="1375"/>
      <c r="H28" s="322"/>
      <c r="I28" s="1375"/>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71"/>
      <c r="C30" s="1471"/>
      <c r="D30" s="1419"/>
      <c r="E30" s="1419"/>
      <c r="F30" s="1419"/>
      <c r="G30" s="1420"/>
      <c r="H30" s="1419"/>
      <c r="I30" s="1420"/>
      <c r="J30" s="1419"/>
      <c r="K30" s="1419"/>
      <c r="L30" s="322"/>
    </row>
    <row r="31" spans="2:12" ht="13.5" customHeight="1" x14ac:dyDescent="0.2">
      <c r="B31" s="1469" t="s">
        <v>1366</v>
      </c>
      <c r="C31" s="1469"/>
      <c r="D31" s="322"/>
      <c r="E31" s="322"/>
      <c r="F31" s="322"/>
      <c r="G31" s="1375"/>
      <c r="H31" s="322"/>
      <c r="I31" s="1375"/>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71"/>
      <c r="C33" s="1471"/>
      <c r="D33" s="1419"/>
      <c r="E33" s="1419"/>
      <c r="F33" s="1419"/>
      <c r="G33" s="1420"/>
      <c r="H33" s="1419"/>
      <c r="I33" s="1420"/>
      <c r="J33" s="1419"/>
      <c r="K33" s="1419"/>
      <c r="L33" s="322"/>
    </row>
    <row r="34" spans="2:12" ht="13.5" customHeight="1" x14ac:dyDescent="0.2">
      <c r="B34" s="1376" t="s">
        <v>1365</v>
      </c>
      <c r="C34" s="1376"/>
      <c r="D34" s="322"/>
      <c r="E34" s="322"/>
      <c r="F34" s="322"/>
      <c r="G34" s="1375"/>
      <c r="H34" s="322"/>
      <c r="I34" s="1375"/>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71"/>
      <c r="C36" s="1471"/>
      <c r="D36" s="1419"/>
      <c r="E36" s="1419"/>
      <c r="F36" s="1419"/>
      <c r="G36" s="1420"/>
      <c r="H36" s="1419"/>
      <c r="I36" s="1420"/>
      <c r="J36" s="1419"/>
      <c r="K36" s="1419"/>
      <c r="L36" s="322"/>
    </row>
    <row r="37" spans="2:12" ht="13.5" customHeight="1" x14ac:dyDescent="0.2">
      <c r="B37" s="1376" t="s">
        <v>1364</v>
      </c>
      <c r="C37" s="1376"/>
      <c r="D37" s="322"/>
      <c r="E37" s="322"/>
      <c r="F37" s="322"/>
      <c r="G37" s="1375"/>
      <c r="H37" s="322"/>
      <c r="I37" s="1375"/>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1860</v>
      </c>
      <c r="C40" s="1395"/>
      <c r="D40" s="1370"/>
      <c r="E40" s="1371"/>
      <c r="F40" s="1371"/>
      <c r="G40" s="1372"/>
      <c r="H40" s="1371"/>
      <c r="I40" s="1372"/>
      <c r="J40" s="1371"/>
      <c r="K40" s="1371"/>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94"/>
      <c r="C42" s="1394"/>
      <c r="G42" s="1375"/>
      <c r="I42" s="1375"/>
    </row>
    <row r="43" spans="2:12" s="322" customFormat="1" ht="13.5" customHeight="1" x14ac:dyDescent="0.2">
      <c r="B43" s="1474" t="s">
        <v>1353</v>
      </c>
      <c r="C43" s="1475"/>
      <c r="D43" s="1396"/>
      <c r="E43" s="1396"/>
      <c r="F43" s="1396"/>
      <c r="G43" s="1397"/>
      <c r="H43" s="1396"/>
      <c r="I43" s="1397"/>
      <c r="J43" s="1396"/>
      <c r="K43" s="1398"/>
      <c r="L43" s="1476"/>
    </row>
    <row r="44" spans="2:12" s="322" customFormat="1" ht="13.5" customHeight="1" x14ac:dyDescent="0.2">
      <c r="B44" s="1399" t="s">
        <v>1352</v>
      </c>
      <c r="C44" s="1400"/>
      <c r="D44" s="1477"/>
      <c r="E44" s="1401"/>
      <c r="F44" s="1405" t="s">
        <v>1351</v>
      </c>
      <c r="G44" s="1403"/>
      <c r="H44" s="1402"/>
      <c r="I44" s="1403"/>
      <c r="J44" s="1478"/>
      <c r="K44" s="1479"/>
      <c r="L44" s="1476"/>
    </row>
    <row r="45" spans="2:12" s="322" customFormat="1" ht="13.5" customHeight="1" x14ac:dyDescent="0.2">
      <c r="B45" s="1399" t="s">
        <v>1350</v>
      </c>
      <c r="C45" s="1400"/>
      <c r="D45" s="1478"/>
      <c r="E45" s="1402"/>
      <c r="F45" s="1405" t="s">
        <v>1349</v>
      </c>
      <c r="G45" s="1403"/>
      <c r="H45" s="1402"/>
      <c r="I45" s="1403"/>
      <c r="J45" s="1478"/>
      <c r="K45" s="1479"/>
      <c r="L45" s="1476"/>
    </row>
    <row r="46" spans="2:12" s="322" customFormat="1" ht="13.5" customHeight="1" x14ac:dyDescent="0.2">
      <c r="B46" s="1406"/>
      <c r="C46" s="1404"/>
      <c r="D46" s="1404"/>
      <c r="E46" s="1404"/>
      <c r="F46" s="1404"/>
      <c r="G46" s="1407"/>
      <c r="H46" s="1404"/>
      <c r="I46" s="1407"/>
      <c r="J46" s="1404"/>
      <c r="K46" s="1408"/>
      <c r="L46" s="1476"/>
    </row>
    <row r="47" spans="2:12" ht="7.5" customHeight="1" x14ac:dyDescent="0.25">
      <c r="B47" s="1480"/>
      <c r="C47" s="1480"/>
      <c r="D47" s="1481"/>
      <c r="E47" s="1481"/>
      <c r="F47" s="1481"/>
      <c r="G47" s="1482"/>
      <c r="H47" s="1481"/>
      <c r="I47" s="1482"/>
      <c r="J47" s="1481"/>
      <c r="K47" s="1481"/>
    </row>
    <row r="48" spans="2:12" ht="13.5" customHeight="1" x14ac:dyDescent="0.2">
      <c r="B48" s="1411" t="s">
        <v>1861</v>
      </c>
      <c r="C48" s="1411"/>
      <c r="D48" s="322"/>
      <c r="E48" s="322"/>
      <c r="F48" s="322"/>
    </row>
    <row r="49" spans="2:3" s="317" customFormat="1" ht="10.5" customHeight="1" x14ac:dyDescent="0.2">
      <c r="B49" s="1412" t="s">
        <v>1862</v>
      </c>
      <c r="C49" s="1412"/>
    </row>
    <row r="50" spans="2:3" s="317" customFormat="1" ht="11.1" customHeight="1" x14ac:dyDescent="0.2">
      <c r="B50" s="1412" t="s">
        <v>1863</v>
      </c>
      <c r="C50" s="1412"/>
    </row>
    <row r="51" spans="2:3" s="317" customFormat="1" ht="11.1" customHeight="1" x14ac:dyDescent="0.2">
      <c r="B51" s="1412" t="s">
        <v>1864</v>
      </c>
      <c r="C51" s="1412"/>
    </row>
    <row r="52" spans="2:3" s="317" customFormat="1" ht="11.1" customHeight="1" x14ac:dyDescent="0.2">
      <c r="B52" s="1412" t="s">
        <v>1865</v>
      </c>
      <c r="C52" s="1412"/>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E73"/>
  <sheetViews>
    <sheetView showGridLines="0" zoomScale="110" zoomScaleNormal="110" workbookViewId="0">
      <selection activeCell="J30" sqref="J3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96" t="str">
        <f>'Single Audit Cover'!A7</f>
        <v>Lake Park CHSD 108</v>
      </c>
      <c r="C1" s="2496"/>
      <c r="D1" s="2496"/>
      <c r="E1" s="1483"/>
    </row>
    <row r="2" spans="2:5" s="1281" customFormat="1" ht="12.75" customHeight="1" x14ac:dyDescent="0.2">
      <c r="B2" s="2498">
        <f>'Single Audit Cover'!E7</f>
        <v>19022108016</v>
      </c>
      <c r="C2" s="2498"/>
      <c r="D2" s="2498"/>
      <c r="E2" s="1484"/>
    </row>
    <row r="3" spans="2:5" ht="12.75" customHeight="1" x14ac:dyDescent="0.2">
      <c r="B3" s="2512" t="s">
        <v>1866</v>
      </c>
      <c r="C3" s="2512"/>
      <c r="D3" s="2512"/>
      <c r="E3" s="1273"/>
    </row>
    <row r="4" spans="2:5" s="1281" customFormat="1" ht="12.75" customHeight="1" x14ac:dyDescent="0.2">
      <c r="B4" s="2522" t="str">
        <f>'Single Audit Cover'!A4</f>
        <v>Year Ending June 30, 2018</v>
      </c>
      <c r="C4" s="2522"/>
      <c r="D4" s="2522"/>
      <c r="E4" s="1485"/>
    </row>
    <row r="5" spans="2:5" s="1281" customFormat="1" ht="40.15" customHeight="1" x14ac:dyDescent="0.2">
      <c r="B5" s="1486" t="s">
        <v>1867</v>
      </c>
      <c r="C5" s="328"/>
      <c r="D5" s="328"/>
      <c r="E5" s="328"/>
    </row>
    <row r="6" spans="2:5" s="1281" customFormat="1" ht="13.5" customHeight="1" x14ac:dyDescent="0.2">
      <c r="B6" s="1487" t="s">
        <v>1382</v>
      </c>
      <c r="C6" s="1487" t="s">
        <v>1381</v>
      </c>
      <c r="D6" s="1487" t="s">
        <v>1868</v>
      </c>
    </row>
    <row r="7" spans="2:5" ht="13.5" customHeight="1" x14ac:dyDescent="0.2">
      <c r="B7" s="1488"/>
      <c r="C7" s="324"/>
      <c r="D7" s="324"/>
      <c r="E7" s="324"/>
    </row>
    <row r="8" spans="2:5" ht="13.5" customHeight="1" x14ac:dyDescent="0.2">
      <c r="B8" s="1488" t="s">
        <v>2154</v>
      </c>
      <c r="C8" s="324"/>
      <c r="D8" s="324"/>
      <c r="E8" s="324"/>
    </row>
    <row r="9" spans="2:5" ht="13.5" customHeight="1" x14ac:dyDescent="0.2">
      <c r="B9" s="1489"/>
      <c r="C9" s="323"/>
      <c r="D9" s="323"/>
      <c r="E9" s="323"/>
    </row>
    <row r="10" spans="2:5" ht="13.5" customHeight="1" x14ac:dyDescent="0.2">
      <c r="B10" s="1488"/>
      <c r="C10" s="323"/>
      <c r="D10" s="323"/>
      <c r="E10" s="323"/>
    </row>
    <row r="11" spans="2:5" ht="13.5" customHeight="1" x14ac:dyDescent="0.2">
      <c r="B11" s="1488"/>
      <c r="C11" s="323"/>
      <c r="D11" s="323"/>
      <c r="E11" s="323"/>
    </row>
    <row r="12" spans="2:5" ht="13.5" customHeight="1" x14ac:dyDescent="0.2">
      <c r="B12" s="1488"/>
      <c r="C12" s="323"/>
      <c r="D12" s="323"/>
      <c r="E12" s="323"/>
    </row>
    <row r="13" spans="2:5" ht="13.5" customHeight="1" x14ac:dyDescent="0.2">
      <c r="B13" s="1488"/>
      <c r="C13" s="323"/>
      <c r="D13" s="323"/>
      <c r="E13" s="323"/>
    </row>
    <row r="14" spans="2:5" ht="13.5" customHeight="1" x14ac:dyDescent="0.2">
      <c r="B14" s="1488"/>
      <c r="C14" s="323"/>
      <c r="D14" s="323"/>
      <c r="E14" s="323"/>
    </row>
    <row r="15" spans="2:5" ht="13.5" customHeight="1" x14ac:dyDescent="0.2">
      <c r="B15" s="1488"/>
      <c r="C15" s="323"/>
      <c r="D15" s="323"/>
      <c r="E15" s="323"/>
    </row>
    <row r="16" spans="2:5" ht="13.5" customHeight="1" x14ac:dyDescent="0.2">
      <c r="B16" s="1488"/>
      <c r="C16" s="323"/>
      <c r="D16" s="323"/>
      <c r="E16" s="323"/>
    </row>
    <row r="17" spans="2:5" ht="13.5" customHeight="1" x14ac:dyDescent="0.2">
      <c r="B17" s="1488"/>
      <c r="C17" s="323"/>
      <c r="D17" s="323"/>
      <c r="E17" s="323"/>
    </row>
    <row r="18" spans="2:5" ht="13.5" customHeight="1" x14ac:dyDescent="0.2">
      <c r="B18" s="1488"/>
      <c r="C18" s="323"/>
      <c r="D18" s="323"/>
      <c r="E18" s="323"/>
    </row>
    <row r="19" spans="2:5" ht="13.5" customHeight="1" x14ac:dyDescent="0.2">
      <c r="B19" s="1488"/>
      <c r="C19" s="323"/>
      <c r="D19" s="323"/>
      <c r="E19" s="323"/>
    </row>
    <row r="20" spans="2:5" ht="13.5" customHeight="1" x14ac:dyDescent="0.2">
      <c r="B20" s="1488"/>
      <c r="C20" s="323"/>
      <c r="D20" s="323"/>
      <c r="E20" s="323"/>
    </row>
    <row r="21" spans="2:5" ht="13.5" customHeight="1" x14ac:dyDescent="0.2">
      <c r="B21" s="1488"/>
      <c r="C21" s="323"/>
      <c r="D21" s="323"/>
      <c r="E21" s="323"/>
    </row>
    <row r="22" spans="2:5" ht="13.5" customHeight="1" x14ac:dyDescent="0.2">
      <c r="B22" s="1488"/>
      <c r="C22" s="323"/>
      <c r="D22" s="323"/>
      <c r="E22" s="323"/>
    </row>
    <row r="23" spans="2:5" ht="13.5" customHeight="1" x14ac:dyDescent="0.2">
      <c r="B23" s="1488"/>
      <c r="C23" s="323"/>
      <c r="D23" s="323"/>
      <c r="E23" s="323"/>
    </row>
    <row r="24" spans="2:5" ht="13.5" customHeight="1" x14ac:dyDescent="0.2">
      <c r="B24" s="1488"/>
      <c r="C24" s="323"/>
      <c r="D24" s="323"/>
      <c r="E24" s="323"/>
    </row>
    <row r="25" spans="2:5" ht="13.5" customHeight="1" x14ac:dyDescent="0.2">
      <c r="B25" s="1488"/>
      <c r="C25" s="323"/>
      <c r="D25" s="323"/>
      <c r="E25" s="323"/>
    </row>
    <row r="26" spans="2:5" ht="13.5" customHeight="1" x14ac:dyDescent="0.2">
      <c r="B26" s="1488"/>
      <c r="C26" s="323"/>
      <c r="D26" s="323"/>
      <c r="E26" s="323"/>
    </row>
    <row r="27" spans="2:5" ht="13.5" customHeight="1" x14ac:dyDescent="0.2">
      <c r="B27" s="1488"/>
      <c r="C27" s="323"/>
      <c r="D27" s="323"/>
      <c r="E27" s="323"/>
    </row>
    <row r="28" spans="2:5" ht="13.5" customHeight="1" x14ac:dyDescent="0.2">
      <c r="B28" s="1488"/>
      <c r="C28" s="323"/>
      <c r="D28" s="323"/>
      <c r="E28" s="323"/>
    </row>
    <row r="29" spans="2:5" ht="13.5" customHeight="1" x14ac:dyDescent="0.2">
      <c r="B29" s="1488"/>
      <c r="C29" s="323"/>
      <c r="D29" s="323"/>
      <c r="E29" s="323"/>
    </row>
    <row r="30" spans="2:5" ht="13.5" customHeight="1" x14ac:dyDescent="0.2">
      <c r="B30" s="1488"/>
      <c r="C30" s="323"/>
      <c r="D30" s="323"/>
      <c r="E30" s="323"/>
    </row>
    <row r="31" spans="2:5" ht="13.5" customHeight="1" x14ac:dyDescent="0.2">
      <c r="B31" s="1488"/>
      <c r="C31" s="323"/>
      <c r="D31" s="323"/>
      <c r="E31" s="323"/>
    </row>
    <row r="32" spans="2:5" ht="13.5" customHeight="1" x14ac:dyDescent="0.2">
      <c r="B32" s="1490"/>
      <c r="C32" s="323"/>
      <c r="D32" s="323"/>
      <c r="E32" s="323"/>
    </row>
    <row r="33" spans="2:5" ht="13.5" customHeight="1" x14ac:dyDescent="0.2">
      <c r="B33" s="1491"/>
      <c r="C33" s="323"/>
      <c r="D33" s="323"/>
      <c r="E33" s="323"/>
    </row>
    <row r="34" spans="2:5" ht="13.5" customHeight="1" x14ac:dyDescent="0.2">
      <c r="B34" s="1492"/>
      <c r="C34" s="323"/>
      <c r="D34" s="323"/>
      <c r="E34" s="323"/>
    </row>
    <row r="35" spans="2:5" ht="13.5" customHeight="1" x14ac:dyDescent="0.2">
      <c r="B35" s="1491"/>
      <c r="C35" s="323"/>
      <c r="D35" s="323"/>
      <c r="E35" s="323"/>
    </row>
    <row r="36" spans="2:5" ht="13.5" customHeight="1" x14ac:dyDescent="0.2">
      <c r="B36" s="1492"/>
      <c r="C36" s="323"/>
      <c r="D36" s="323"/>
      <c r="E36" s="323"/>
    </row>
    <row r="37" spans="2:5" ht="13.5" customHeight="1" x14ac:dyDescent="0.2">
      <c r="B37" s="1492"/>
      <c r="C37" s="323"/>
      <c r="D37" s="323"/>
      <c r="E37" s="323"/>
    </row>
    <row r="38" spans="2:5" ht="13.5" customHeight="1" x14ac:dyDescent="0.2">
      <c r="B38" s="1491"/>
      <c r="C38" s="323"/>
      <c r="D38" s="323"/>
      <c r="E38" s="323"/>
    </row>
    <row r="39" spans="2:5" ht="13.5" customHeight="1" x14ac:dyDescent="0.2">
      <c r="B39" s="1492"/>
      <c r="C39" s="323"/>
      <c r="D39" s="323"/>
      <c r="E39" s="323"/>
    </row>
    <row r="40" spans="2:5" ht="13.5" customHeight="1" x14ac:dyDescent="0.2">
      <c r="B40" s="1491"/>
      <c r="C40" s="323"/>
      <c r="D40" s="323"/>
      <c r="E40" s="323"/>
    </row>
    <row r="41" spans="2:5" ht="13.5" customHeight="1" x14ac:dyDescent="0.2">
      <c r="B41" s="1493"/>
      <c r="C41" s="323"/>
      <c r="D41" s="323"/>
      <c r="E41" s="323"/>
    </row>
    <row r="42" spans="2:5" ht="13.5" customHeight="1" x14ac:dyDescent="0.2">
      <c r="B42" s="1494"/>
      <c r="C42" s="323"/>
      <c r="D42" s="323"/>
      <c r="E42" s="323"/>
    </row>
    <row r="43" spans="2:5" ht="12.75" customHeight="1" x14ac:dyDescent="0.2">
      <c r="B43" s="1495"/>
      <c r="C43" s="1496"/>
      <c r="D43" s="1496"/>
      <c r="E43" s="323"/>
    </row>
    <row r="44" spans="2:5" ht="12.2" customHeight="1" x14ac:dyDescent="0.2">
      <c r="B44" s="1256" t="s">
        <v>1380</v>
      </c>
      <c r="C44" s="322"/>
    </row>
    <row r="45" spans="2:5" ht="12.2" customHeight="1" x14ac:dyDescent="0.2">
      <c r="B45" s="1497" t="s">
        <v>1869</v>
      </c>
    </row>
    <row r="46" spans="2:5" ht="12.2" customHeight="1" x14ac:dyDescent="0.2">
      <c r="B46" s="1497" t="s">
        <v>1870</v>
      </c>
    </row>
    <row r="47" spans="2:5" ht="12.2" customHeight="1" x14ac:dyDescent="0.2">
      <c r="B47" s="1498" t="s">
        <v>1379</v>
      </c>
    </row>
    <row r="48" spans="2:5" ht="12.2" customHeight="1" x14ac:dyDescent="0.2">
      <c r="B48" s="1498" t="s">
        <v>1378</v>
      </c>
    </row>
    <row r="49" spans="2:5" ht="12.2" customHeight="1" x14ac:dyDescent="0.2">
      <c r="B49" s="1498" t="s">
        <v>1377</v>
      </c>
    </row>
    <row r="50" spans="2:5" ht="12.2" customHeight="1" x14ac:dyDescent="0.2">
      <c r="B50" s="1498"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1"/>
    </row>
    <row r="68" spans="2:2" x14ac:dyDescent="0.2">
      <c r="B68" s="1299"/>
    </row>
    <row r="69" spans="2:2" x14ac:dyDescent="0.2">
      <c r="B69" s="1299"/>
    </row>
    <row r="70" spans="2:2" x14ac:dyDescent="0.2">
      <c r="B70" s="1412"/>
    </row>
    <row r="71" spans="2:2" x14ac:dyDescent="0.2">
      <c r="B71" s="1412"/>
    </row>
    <row r="72" spans="2:2" x14ac:dyDescent="0.2">
      <c r="B72" s="1412"/>
    </row>
    <row r="73" spans="2:2" x14ac:dyDescent="0.2">
      <c r="B73" s="1299"/>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colorId="8" zoomScale="110" zoomScaleNormal="110" workbookViewId="0">
      <selection activeCell="T20" sqref="T2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404</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2087279069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1.6098999999999999E-2</v>
      </c>
      <c r="E10" s="356" t="s">
        <v>1062</v>
      </c>
      <c r="F10" s="355">
        <v>2.5530000000000001E-3</v>
      </c>
      <c r="G10" s="356" t="s">
        <v>1062</v>
      </c>
      <c r="H10" s="355">
        <v>8.6300000000000005E-4</v>
      </c>
      <c r="I10" s="356" t="s">
        <v>1063</v>
      </c>
      <c r="J10" s="1746">
        <f>ROUND(D10+F10+H10,5)</f>
        <v>1.9519999999999999E-2</v>
      </c>
      <c r="K10" s="222"/>
      <c r="L10" s="355"/>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7">
        <f>SUM('Acct Summary 7-8'!C8,'Acct Summary 7-8'!D8,'Acct Summary 7-8'!F8,'Acct Summary 7-8'!I8)</f>
        <v>47435212</v>
      </c>
      <c r="E16" s="356"/>
      <c r="F16" s="1747">
        <f>SUM('Acct Summary 7-8'!C17,'Acct Summary 7-8'!D17,'Acct Summary 7-8'!F17)</f>
        <v>43862012</v>
      </c>
      <c r="G16" s="356"/>
      <c r="H16" s="1747">
        <f>SUM(D16-F16)</f>
        <v>3573200</v>
      </c>
      <c r="I16" s="222"/>
      <c r="J16" s="1747">
        <f>SUM('Acct Summary 7-8'!C81,'Acct Summary 7-8'!D81,'Acct Summary 7-8'!F81,'Acct Summary 7-8'!I81)</f>
        <v>18826380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7">
        <f>'Short-Term Long-Term Debt 24'!F4</f>
        <v>0</v>
      </c>
      <c r="E22" s="356" t="s">
        <v>1062</v>
      </c>
      <c r="F22" s="1747">
        <f>'Short-Term Long-Term Debt 24'!F15</f>
        <v>0</v>
      </c>
      <c r="G22" s="356" t="s">
        <v>1062</v>
      </c>
      <c r="H22" s="1747">
        <f>'Short-Term Long-Term Debt 24'!F21</f>
        <v>0</v>
      </c>
      <c r="I22" s="356" t="s">
        <v>1062</v>
      </c>
      <c r="J22" s="1747">
        <f>'Short-Term Long-Term Debt 24'!F23</f>
        <v>0</v>
      </c>
      <c r="K22" s="356" t="s">
        <v>1062</v>
      </c>
      <c r="L22" s="174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1063</v>
      </c>
      <c r="F24" s="174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2114</v>
      </c>
      <c r="C31" s="367" t="s">
        <v>607</v>
      </c>
      <c r="D31" s="237" t="s">
        <v>1132</v>
      </c>
      <c r="E31" s="222"/>
      <c r="F31" s="222"/>
      <c r="G31" s="363"/>
      <c r="H31" s="1749">
        <f>IF(B31="X",(J7*0.069),IF(B32="X",(J7*0.138),"Enter x in a.or b."))</f>
        <v>144022255.76100001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8">
        <f>'Assets-Liab 5-6'!N36</f>
        <v>26627199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0"/>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zoomScale="110" zoomScaleNormal="110" workbookViewId="0">
      <selection activeCell="T20" sqref="T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577</v>
      </c>
      <c r="B2" s="2138"/>
      <c r="C2" s="2138"/>
      <c r="D2" s="2138"/>
      <c r="E2" s="2138"/>
      <c r="F2" s="2138"/>
      <c r="G2" s="2138"/>
      <c r="H2" s="2138"/>
      <c r="I2" s="2138"/>
      <c r="J2" s="2138"/>
      <c r="K2" s="2138"/>
      <c r="L2" s="2138"/>
      <c r="M2" s="2138"/>
      <c r="N2" s="2138"/>
      <c r="O2" s="2138"/>
      <c r="P2" s="2138"/>
      <c r="Q2" s="2138"/>
      <c r="R2" s="2138"/>
    </row>
    <row r="3" spans="1:18" ht="12.75" x14ac:dyDescent="0.2">
      <c r="A3" s="2139" t="s">
        <v>1480</v>
      </c>
      <c r="B3" s="2139"/>
      <c r="C3" s="2139"/>
      <c r="D3" s="2139"/>
      <c r="E3" s="2139"/>
      <c r="F3" s="2139"/>
      <c r="G3" s="2139"/>
      <c r="H3" s="2139"/>
      <c r="I3" s="2139"/>
      <c r="J3" s="2139"/>
      <c r="K3" s="2139"/>
      <c r="L3" s="2139"/>
      <c r="M3" s="2139"/>
      <c r="N3" s="2139"/>
      <c r="O3" s="2139"/>
      <c r="P3" s="2139"/>
      <c r="Q3" s="2139"/>
      <c r="R3" s="2139"/>
    </row>
    <row r="4" spans="1:18" x14ac:dyDescent="0.2">
      <c r="A4" s="2140" t="s">
        <v>1635</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Lake Park CHSD 108</v>
      </c>
      <c r="E7" s="391"/>
      <c r="G7" s="252"/>
      <c r="H7" s="387"/>
      <c r="I7" s="387"/>
      <c r="J7" s="387"/>
      <c r="K7" s="387"/>
      <c r="L7" s="329"/>
      <c r="M7" s="329"/>
      <c r="N7" s="329"/>
      <c r="O7" s="329"/>
      <c r="P7" s="329"/>
    </row>
    <row r="8" spans="1:18" ht="12.75" x14ac:dyDescent="0.2">
      <c r="A8" s="329"/>
      <c r="B8" s="329"/>
      <c r="C8" s="389" t="s">
        <v>1187</v>
      </c>
      <c r="D8" s="392">
        <f>COVER!A13</f>
        <v>19022108016</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18826380</v>
      </c>
      <c r="I12" s="404"/>
      <c r="J12" s="404"/>
      <c r="K12" s="405">
        <f>TRUNC((H12/H13*100000),5)/100000</f>
        <v>0.39799526559999998</v>
      </c>
      <c r="L12" s="406"/>
      <c r="M12" s="360" t="s">
        <v>1206</v>
      </c>
      <c r="N12" s="360"/>
      <c r="O12" s="407">
        <v>0.35</v>
      </c>
      <c r="P12" s="218"/>
      <c r="Q12" s="218"/>
    </row>
    <row r="13" spans="1:18" s="408" customFormat="1" ht="12.75" x14ac:dyDescent="0.2">
      <c r="A13" s="218"/>
      <c r="B13" s="401"/>
      <c r="C13" s="2136" t="s">
        <v>1391</v>
      </c>
      <c r="D13" s="2137"/>
      <c r="E13" s="218"/>
      <c r="F13" s="409" t="s">
        <v>826</v>
      </c>
      <c r="G13" s="402"/>
      <c r="H13" s="403">
        <f>SUM('Acct Summary 7-8'!C8+'Acct Summary 7-8'!D8+'Acct Summary 7-8'!F8+'Acct Summary 7-8'!I8)+H14</f>
        <v>47303025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-132187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43862012</v>
      </c>
      <c r="I17" s="404"/>
      <c r="J17" s="416"/>
      <c r="K17" s="405">
        <f>TRUNC((H17/H18*100000),5)/100000</f>
        <v>0.92725596300000002</v>
      </c>
      <c r="L17" s="406"/>
      <c r="M17" s="417" t="s">
        <v>1233</v>
      </c>
      <c r="O17" s="418" t="str">
        <f>IF(AND(O16="2", J20 &gt; 2),"1",IF(AND(O16 = "1", J20 &gt; 2),"2",IF(AND(O16="1", J20 &gt;1),"1","0")))</f>
        <v>0</v>
      </c>
      <c r="P17" s="218"/>
    </row>
    <row r="18" spans="1:18" s="408" customFormat="1" ht="11.25" x14ac:dyDescent="0.2">
      <c r="A18" s="218"/>
      <c r="B18" s="401"/>
      <c r="C18" s="2136" t="s">
        <v>1384</v>
      </c>
      <c r="D18" s="2137"/>
      <c r="E18" s="218"/>
      <c r="F18" s="419" t="s">
        <v>827</v>
      </c>
      <c r="G18" s="402"/>
      <c r="H18" s="403">
        <f>SUM('Acct Summary 7-8'!C8+'Acct Summary 7-8'!D8+'Acct Summary 7-8'!F8+'Acct Summary 7-8'!I8)+H19</f>
        <v>47303025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-132187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3" t="s">
        <v>1479</v>
      </c>
      <c r="D24" s="2133"/>
      <c r="E24" s="218"/>
      <c r="F24" s="218" t="s">
        <v>465</v>
      </c>
      <c r="G24" s="402"/>
      <c r="H24" s="403">
        <f>SUM('Assets-Liab 5-6'!C4+'Assets-Liab 5-6'!D4+'Assets-Liab 5-6'!F4+'Assets-Liab 5-6'!I4+'Assets-Liab 5-6'!C5+'Assets-Liab 5-6'!D5+'Assets-Liab 5-6'!F5+'Assets-Liab 5-6'!I5)</f>
        <v>43975718</v>
      </c>
      <c r="I24" s="422"/>
      <c r="J24" s="422"/>
      <c r="K24" s="423">
        <f>TRUNC(((H24/H25*100000)/100000),2)</f>
        <v>360.93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121838.92221999999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34632134.312849998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26627199</v>
      </c>
      <c r="I32" s="420"/>
      <c r="J32" s="420"/>
      <c r="K32" s="423">
        <f>TRUNC(100-((((H32/H33*100))*100)/100),2)</f>
        <v>81.510000000000005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144022255.76100001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topLeftCell="B1" colorId="8" zoomScale="110" zoomScaleNormal="110" workbookViewId="0">
      <pane ySplit="2" topLeftCell="A3" activePane="bottomLeft" state="frozen"/>
      <selection activeCell="T20" sqref="T20"/>
      <selection pane="bottomLeft" activeCell="T20" sqref="T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3" t="s">
        <v>1030</v>
      </c>
      <c r="B3" s="2144"/>
      <c r="C3" s="1573"/>
      <c r="D3" s="1574"/>
      <c r="E3" s="1574"/>
      <c r="F3" s="1574"/>
      <c r="G3" s="1574"/>
      <c r="H3" s="1574"/>
      <c r="I3" s="1574"/>
      <c r="J3" s="1574"/>
      <c r="K3" s="1574"/>
      <c r="L3" s="1574"/>
      <c r="M3" s="1575"/>
      <c r="N3" s="1576"/>
    </row>
    <row r="4" spans="1:14" ht="13.5" customHeight="1" x14ac:dyDescent="0.2">
      <c r="A4" s="463" t="s">
        <v>1750</v>
      </c>
      <c r="B4" s="464"/>
      <c r="C4" s="465">
        <v>2109875</v>
      </c>
      <c r="D4" s="466">
        <v>352317</v>
      </c>
      <c r="E4" s="466">
        <v>227471</v>
      </c>
      <c r="F4" s="466">
        <v>140377</v>
      </c>
      <c r="G4" s="466">
        <v>64486</v>
      </c>
      <c r="H4" s="466">
        <v>120321</v>
      </c>
      <c r="I4" s="466">
        <v>4676432</v>
      </c>
      <c r="J4" s="467">
        <v>0</v>
      </c>
      <c r="K4" s="466">
        <v>0</v>
      </c>
      <c r="L4" s="466">
        <v>492201</v>
      </c>
      <c r="M4" s="468"/>
      <c r="N4" s="469"/>
    </row>
    <row r="5" spans="1:14" x14ac:dyDescent="0.2">
      <c r="A5" s="463" t="s">
        <v>1049</v>
      </c>
      <c r="B5" s="470">
        <v>120</v>
      </c>
      <c r="C5" s="465">
        <v>29352738</v>
      </c>
      <c r="D5" s="466">
        <v>4901460</v>
      </c>
      <c r="E5" s="466">
        <v>3164595</v>
      </c>
      <c r="F5" s="466">
        <v>1952933</v>
      </c>
      <c r="G5" s="466">
        <v>897134</v>
      </c>
      <c r="H5" s="466">
        <v>1673921</v>
      </c>
      <c r="I5" s="466">
        <v>489586</v>
      </c>
      <c r="J5" s="467">
        <v>0</v>
      </c>
      <c r="K5" s="471">
        <v>0</v>
      </c>
      <c r="L5" s="472">
        <v>230855</v>
      </c>
      <c r="M5" s="468"/>
      <c r="N5" s="469"/>
    </row>
    <row r="6" spans="1:14" ht="13.5" customHeight="1" x14ac:dyDescent="0.2">
      <c r="A6" s="473" t="s">
        <v>437</v>
      </c>
      <c r="B6" s="470">
        <v>130</v>
      </c>
      <c r="C6" s="465">
        <v>16275461</v>
      </c>
      <c r="D6" s="466">
        <v>2517647</v>
      </c>
      <c r="E6" s="466">
        <v>2846037</v>
      </c>
      <c r="F6" s="466">
        <v>851051</v>
      </c>
      <c r="G6" s="471">
        <v>673542</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359771</v>
      </c>
      <c r="D8" s="467">
        <v>0</v>
      </c>
      <c r="E8" s="467">
        <v>0</v>
      </c>
      <c r="F8" s="467">
        <v>83883</v>
      </c>
      <c r="G8" s="478">
        <v>10914</v>
      </c>
      <c r="H8" s="467">
        <v>91657</v>
      </c>
      <c r="I8" s="474">
        <v>0</v>
      </c>
      <c r="J8" s="474">
        <v>0</v>
      </c>
      <c r="K8" s="479">
        <v>0</v>
      </c>
      <c r="L8" s="480"/>
      <c r="M8" s="468"/>
      <c r="N8" s="469"/>
    </row>
    <row r="9" spans="1:14" ht="13.5" customHeight="1" x14ac:dyDescent="0.2">
      <c r="A9" s="473" t="s">
        <v>288</v>
      </c>
      <c r="B9" s="470">
        <v>160</v>
      </c>
      <c r="C9" s="476">
        <v>192801</v>
      </c>
      <c r="D9" s="467">
        <v>28795</v>
      </c>
      <c r="E9" s="467">
        <v>6412</v>
      </c>
      <c r="F9" s="467">
        <v>13376</v>
      </c>
      <c r="G9" s="467">
        <v>4045</v>
      </c>
      <c r="H9" s="478">
        <v>13984</v>
      </c>
      <c r="I9" s="467">
        <v>33319</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352567</v>
      </c>
      <c r="D11" s="467">
        <v>41626</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0" t="s">
        <v>665</v>
      </c>
      <c r="B13" s="1723"/>
      <c r="C13" s="1751">
        <f>SUM(C4:C12)</f>
        <v>48643213</v>
      </c>
      <c r="D13" s="1751">
        <f t="shared" ref="D13:L13" si="0">SUM(D4:D12)</f>
        <v>7841845</v>
      </c>
      <c r="E13" s="1751">
        <f t="shared" si="0"/>
        <v>6244515</v>
      </c>
      <c r="F13" s="1751">
        <f t="shared" si="0"/>
        <v>3041620</v>
      </c>
      <c r="G13" s="1751">
        <f t="shared" si="0"/>
        <v>1650121</v>
      </c>
      <c r="H13" s="1751">
        <f t="shared" si="0"/>
        <v>1899883</v>
      </c>
      <c r="I13" s="1751">
        <f t="shared" si="0"/>
        <v>5199337</v>
      </c>
      <c r="J13" s="1751">
        <f t="shared" si="0"/>
        <v>0</v>
      </c>
      <c r="K13" s="1751">
        <f t="shared" si="0"/>
        <v>0</v>
      </c>
      <c r="L13" s="1751">
        <f t="shared" si="0"/>
        <v>723056</v>
      </c>
      <c r="M13" s="468"/>
      <c r="N13" s="469"/>
    </row>
    <row r="14" spans="1:14" ht="18" customHeight="1" thickTop="1" x14ac:dyDescent="0.2">
      <c r="A14" s="2145" t="s">
        <v>149</v>
      </c>
      <c r="B14" s="2146"/>
      <c r="C14" s="1577"/>
      <c r="D14" s="1578"/>
      <c r="E14" s="1578"/>
      <c r="F14" s="1578"/>
      <c r="G14" s="1578"/>
      <c r="H14" s="1578"/>
      <c r="I14" s="1578"/>
      <c r="J14" s="1578"/>
      <c r="K14" s="1578"/>
      <c r="L14" s="1578"/>
      <c r="M14" s="1579"/>
      <c r="N14" s="1580"/>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558191</v>
      </c>
      <c r="N16" s="484"/>
    </row>
    <row r="17" spans="1:14" s="485" customFormat="1" ht="12.75" customHeight="1" x14ac:dyDescent="0.2">
      <c r="A17" s="482" t="s">
        <v>1470</v>
      </c>
      <c r="B17" s="483">
        <v>230</v>
      </c>
      <c r="C17" s="477"/>
      <c r="D17" s="477"/>
      <c r="E17" s="477"/>
      <c r="F17" s="477"/>
      <c r="G17" s="477"/>
      <c r="H17" s="477"/>
      <c r="I17" s="477"/>
      <c r="J17" s="477"/>
      <c r="K17" s="477"/>
      <c r="L17" s="477"/>
      <c r="M17" s="467">
        <v>94330763</v>
      </c>
      <c r="N17" s="484"/>
    </row>
    <row r="18" spans="1:14" s="485" customFormat="1" ht="12.75" customHeight="1" x14ac:dyDescent="0.2">
      <c r="A18" s="482" t="s">
        <v>1471</v>
      </c>
      <c r="B18" s="483">
        <v>240</v>
      </c>
      <c r="C18" s="477"/>
      <c r="D18" s="477"/>
      <c r="E18" s="477"/>
      <c r="F18" s="477"/>
      <c r="G18" s="477"/>
      <c r="H18" s="477"/>
      <c r="I18" s="477"/>
      <c r="J18" s="477"/>
      <c r="K18" s="477"/>
      <c r="L18" s="477"/>
      <c r="M18" s="467">
        <v>6554473</v>
      </c>
      <c r="N18" s="484"/>
    </row>
    <row r="19" spans="1:14" s="485" customFormat="1" ht="12.75" customHeight="1" x14ac:dyDescent="0.2">
      <c r="A19" s="482" t="s">
        <v>1472</v>
      </c>
      <c r="B19" s="483">
        <v>250</v>
      </c>
      <c r="C19" s="477"/>
      <c r="D19" s="477"/>
      <c r="E19" s="477"/>
      <c r="F19" s="477"/>
      <c r="G19" s="477"/>
      <c r="H19" s="477"/>
      <c r="I19" s="477"/>
      <c r="J19" s="477"/>
      <c r="K19" s="477"/>
      <c r="L19" s="477"/>
      <c r="M19" s="467">
        <v>14838923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241266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26385933</v>
      </c>
    </row>
    <row r="23" spans="1:14" ht="13.5" customHeight="1" thickBot="1" x14ac:dyDescent="0.25">
      <c r="A23" s="1750" t="s">
        <v>664</v>
      </c>
      <c r="B23" s="1755"/>
      <c r="C23" s="468"/>
      <c r="D23" s="468"/>
      <c r="E23" s="468"/>
      <c r="F23" s="468"/>
      <c r="G23" s="468"/>
      <c r="H23" s="468"/>
      <c r="I23" s="468"/>
      <c r="J23" s="468"/>
      <c r="K23" s="468"/>
      <c r="L23" s="468"/>
      <c r="M23" s="1702">
        <f>SUM(M15:M22)</f>
        <v>116282350</v>
      </c>
      <c r="N23" s="1702">
        <f>SUM(N21:N22)</f>
        <v>26627199</v>
      </c>
    </row>
    <row r="24" spans="1:14" ht="18" customHeight="1" thickTop="1" x14ac:dyDescent="0.2">
      <c r="A24" s="2147" t="s">
        <v>619</v>
      </c>
      <c r="B24" s="2148"/>
      <c r="C24" s="1582"/>
      <c r="D24" s="1579"/>
      <c r="E24" s="1579"/>
      <c r="F24" s="1579"/>
      <c r="G24" s="1579"/>
      <c r="H24" s="1579"/>
      <c r="I24" s="1579"/>
      <c r="J24" s="1579"/>
      <c r="K24" s="1579"/>
      <c r="L24" s="1579"/>
      <c r="M24" s="1578"/>
      <c r="N24" s="1583"/>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459264</v>
      </c>
      <c r="D27" s="467">
        <v>150810</v>
      </c>
      <c r="E27" s="467">
        <v>0</v>
      </c>
      <c r="F27" s="467">
        <v>34985</v>
      </c>
      <c r="G27" s="467">
        <v>0</v>
      </c>
      <c r="H27" s="467">
        <v>291073</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2977405</v>
      </c>
      <c r="D30" s="474">
        <v>26653</v>
      </c>
      <c r="E30" s="467">
        <v>0</v>
      </c>
      <c r="F30" s="467">
        <v>0</v>
      </c>
      <c r="G30" s="467">
        <v>78857</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34998971</v>
      </c>
      <c r="D32" s="492">
        <v>5326069</v>
      </c>
      <c r="E32" s="474">
        <v>6003249</v>
      </c>
      <c r="F32" s="474">
        <v>1892159</v>
      </c>
      <c r="G32" s="474">
        <v>1420635</v>
      </c>
      <c r="H32" s="474">
        <v>13878</v>
      </c>
      <c r="I32" s="474">
        <v>33319</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723056</v>
      </c>
      <c r="M33" s="468"/>
      <c r="N33" s="469"/>
    </row>
    <row r="34" spans="1:14" ht="13.5" customHeight="1" thickBot="1" x14ac:dyDescent="0.25">
      <c r="A34" s="1752" t="s">
        <v>675</v>
      </c>
      <c r="B34" s="1753"/>
      <c r="C34" s="1754">
        <f>SUM(C25:C33)</f>
        <v>38435640</v>
      </c>
      <c r="D34" s="1754">
        <f t="shared" ref="D34:K34" si="1">SUM(D25:D33)</f>
        <v>5503532</v>
      </c>
      <c r="E34" s="1754">
        <f t="shared" si="1"/>
        <v>6003249</v>
      </c>
      <c r="F34" s="1754">
        <f t="shared" si="1"/>
        <v>1927144</v>
      </c>
      <c r="G34" s="1754">
        <f t="shared" si="1"/>
        <v>1499492</v>
      </c>
      <c r="H34" s="1754">
        <f t="shared" si="1"/>
        <v>304951</v>
      </c>
      <c r="I34" s="1754">
        <f t="shared" si="1"/>
        <v>33319</v>
      </c>
      <c r="J34" s="1754">
        <f t="shared" si="1"/>
        <v>0</v>
      </c>
      <c r="K34" s="1754">
        <f t="shared" si="1"/>
        <v>0</v>
      </c>
      <c r="L34" s="1735">
        <f>SUM(L33)</f>
        <v>723056</v>
      </c>
      <c r="M34" s="468"/>
      <c r="N34" s="480"/>
    </row>
    <row r="35" spans="1:14" ht="18" customHeight="1" thickTop="1" x14ac:dyDescent="0.2">
      <c r="A35" s="2149" t="s">
        <v>550</v>
      </c>
      <c r="B35" s="2150"/>
      <c r="C35" s="1584"/>
      <c r="D35" s="1585"/>
      <c r="E35" s="1585"/>
      <c r="F35" s="1585"/>
      <c r="G35" s="1585"/>
      <c r="H35" s="1585"/>
      <c r="I35" s="1585"/>
      <c r="J35" s="1585"/>
      <c r="K35" s="1585"/>
      <c r="L35" s="1585"/>
      <c r="M35" s="1579"/>
      <c r="N35" s="1583"/>
    </row>
    <row r="36" spans="1:14" x14ac:dyDescent="0.2">
      <c r="A36" s="494" t="s">
        <v>1</v>
      </c>
      <c r="B36" s="470">
        <v>511</v>
      </c>
      <c r="C36" s="477"/>
      <c r="D36" s="477"/>
      <c r="E36" s="477"/>
      <c r="F36" s="477"/>
      <c r="G36" s="477"/>
      <c r="H36" s="477"/>
      <c r="I36" s="477"/>
      <c r="J36" s="477"/>
      <c r="K36" s="477"/>
      <c r="L36" s="468"/>
      <c r="M36" s="468"/>
      <c r="N36" s="495">
        <f>'Short-Term Long-Term Debt 24'!I49</f>
        <v>26627199</v>
      </c>
    </row>
    <row r="37" spans="1:14" ht="13.5" thickBot="1" x14ac:dyDescent="0.25">
      <c r="A37" s="1750" t="s">
        <v>674</v>
      </c>
      <c r="B37" s="1755"/>
      <c r="C37" s="477"/>
      <c r="D37" s="477"/>
      <c r="E37" s="477"/>
      <c r="F37" s="477"/>
      <c r="G37" s="477"/>
      <c r="H37" s="477"/>
      <c r="I37" s="477"/>
      <c r="J37" s="477"/>
      <c r="K37" s="477"/>
      <c r="L37" s="480"/>
      <c r="M37" s="468"/>
      <c r="N37" s="1702">
        <f>SUM(N36:N36)</f>
        <v>26627199</v>
      </c>
    </row>
    <row r="38" spans="1:14" s="329" customFormat="1" ht="13.5" customHeight="1" thickTop="1" x14ac:dyDescent="0.2">
      <c r="A38" s="496" t="s">
        <v>440</v>
      </c>
      <c r="B38" s="483">
        <v>714</v>
      </c>
      <c r="C38" s="466"/>
      <c r="D38" s="466"/>
      <c r="E38" s="466"/>
      <c r="F38" s="466"/>
      <c r="G38" s="466">
        <v>64056</v>
      </c>
      <c r="H38" s="466"/>
      <c r="I38" s="466"/>
      <c r="J38" s="467"/>
      <c r="K38" s="466"/>
      <c r="L38" s="481"/>
      <c r="M38" s="497"/>
      <c r="N38" s="497"/>
    </row>
    <row r="39" spans="1:14" s="329" customFormat="1" ht="13.5" customHeight="1" x14ac:dyDescent="0.2">
      <c r="A39" s="496" t="s">
        <v>360</v>
      </c>
      <c r="B39" s="483">
        <v>730</v>
      </c>
      <c r="C39" s="466">
        <v>10207573</v>
      </c>
      <c r="D39" s="466">
        <v>2338313</v>
      </c>
      <c r="E39" s="466">
        <v>241266</v>
      </c>
      <c r="F39" s="466">
        <v>1114476</v>
      </c>
      <c r="G39" s="466">
        <v>86573</v>
      </c>
      <c r="H39" s="466">
        <v>1594932</v>
      </c>
      <c r="I39" s="466">
        <v>5166018</v>
      </c>
      <c r="J39" s="467">
        <f>+'Acct Summary 7-8'!J81-J38</f>
        <v>0</v>
      </c>
      <c r="K39" s="466">
        <f>+'Acct Summary 7-8'!K81-K38</f>
        <v>0</v>
      </c>
      <c r="L39" s="466">
        <f>+'Acct Summary 7-8'!L81-L38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116282350</v>
      </c>
      <c r="N40" s="497"/>
    </row>
    <row r="41" spans="1:14" ht="13.5" customHeight="1" thickBot="1" x14ac:dyDescent="0.25">
      <c r="A41" s="1750" t="s">
        <v>676</v>
      </c>
      <c r="B41" s="1720"/>
      <c r="C41" s="1702">
        <f>(SUM(C34,C37,C38,C39))</f>
        <v>48643213</v>
      </c>
      <c r="D41" s="1702">
        <f t="shared" ref="D41:L41" si="2">SUM(D34,D37,D38:D39)</f>
        <v>7841845</v>
      </c>
      <c r="E41" s="1702">
        <f t="shared" si="2"/>
        <v>6244515</v>
      </c>
      <c r="F41" s="1702">
        <f t="shared" si="2"/>
        <v>3041620</v>
      </c>
      <c r="G41" s="1702">
        <f t="shared" si="2"/>
        <v>1650121</v>
      </c>
      <c r="H41" s="1702">
        <f t="shared" si="2"/>
        <v>1899883</v>
      </c>
      <c r="I41" s="1702">
        <f t="shared" si="2"/>
        <v>5199337</v>
      </c>
      <c r="J41" s="1702">
        <f t="shared" si="2"/>
        <v>0</v>
      </c>
      <c r="K41" s="1702">
        <f t="shared" si="2"/>
        <v>0</v>
      </c>
      <c r="L41" s="1702">
        <f t="shared" si="2"/>
        <v>723056</v>
      </c>
      <c r="M41" s="1702">
        <f>SUM(M40)</f>
        <v>116282350</v>
      </c>
      <c r="N41" s="1702">
        <f>SUM(N37)</f>
        <v>26627199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topLeftCell="B1" colorId="8" zoomScale="110" zoomScaleNormal="110" zoomScaleSheetLayoutView="100" workbookViewId="0">
      <pane ySplit="2" topLeftCell="A3" activePane="bottomLeft" state="frozenSplit"/>
      <selection activeCell="T20" sqref="T20"/>
      <selection pane="bottomLeft" activeCell="J103" sqref="J10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1" t="s">
        <v>1237</v>
      </c>
      <c r="B3" s="2172"/>
      <c r="C3" s="1587"/>
      <c r="D3" s="1588"/>
      <c r="E3" s="1588"/>
      <c r="F3" s="1588"/>
      <c r="G3" s="1588"/>
      <c r="H3" s="1588"/>
      <c r="I3" s="1588"/>
      <c r="J3" s="1588"/>
      <c r="K3" s="1589"/>
      <c r="L3" s="506"/>
    </row>
    <row r="4" spans="1:13" ht="15.75" customHeight="1" x14ac:dyDescent="0.2">
      <c r="A4" s="1944" t="s">
        <v>1579</v>
      </c>
      <c r="B4" s="1945">
        <v>1000</v>
      </c>
      <c r="C4" s="1756">
        <f>'Revenues 9-14'!C109</f>
        <v>36811557</v>
      </c>
      <c r="D4" s="1756">
        <f>'Revenues 9-14'!D109</f>
        <v>5504319</v>
      </c>
      <c r="E4" s="1756">
        <f>'Revenues 9-14'!E109</f>
        <v>6031476</v>
      </c>
      <c r="F4" s="1756">
        <f>'Revenues 9-14'!F109</f>
        <v>1843706</v>
      </c>
      <c r="G4" s="1756">
        <f>'Revenues 9-14'!G109</f>
        <v>1536492</v>
      </c>
      <c r="H4" s="1756">
        <f>'Revenues 9-14'!H109</f>
        <v>476631</v>
      </c>
      <c r="I4" s="1756">
        <f>'Revenues 9-14'!I109</f>
        <v>55404</v>
      </c>
      <c r="J4" s="1756">
        <f>'Revenues 9-14'!J109</f>
        <v>0</v>
      </c>
      <c r="K4" s="1756">
        <f>'Revenues 9-14'!K109</f>
        <v>0</v>
      </c>
      <c r="L4" s="347"/>
    </row>
    <row r="5" spans="1:13" ht="15.75" customHeight="1" x14ac:dyDescent="0.2">
      <c r="A5" s="1590" t="s">
        <v>1580</v>
      </c>
      <c r="B5" s="1591">
        <v>2000</v>
      </c>
      <c r="C5" s="1757">
        <f>'Revenues 9-14'!C114</f>
        <v>0</v>
      </c>
      <c r="D5" s="1757">
        <f>'Revenues 9-14'!D114</f>
        <v>0</v>
      </c>
      <c r="E5" s="508"/>
      <c r="F5" s="1757">
        <f>'Revenues 9-14'!F114</f>
        <v>0</v>
      </c>
      <c r="G5" s="1757">
        <f>'Revenues 9-14'!G114</f>
        <v>0</v>
      </c>
      <c r="H5" s="509" t="s">
        <v>1231</v>
      </c>
      <c r="I5" s="510" t="s">
        <v>1231</v>
      </c>
      <c r="J5" s="511" t="s">
        <v>1231</v>
      </c>
      <c r="K5" s="512" t="s">
        <v>1231</v>
      </c>
      <c r="L5" s="347"/>
    </row>
    <row r="6" spans="1:13" ht="15.75" customHeight="1" x14ac:dyDescent="0.2">
      <c r="A6" s="1590" t="s">
        <v>1581</v>
      </c>
      <c r="B6" s="1592">
        <v>3000</v>
      </c>
      <c r="C6" s="1757">
        <f>'Revenues 9-14'!C173</f>
        <v>1780929</v>
      </c>
      <c r="D6" s="1757">
        <f>'Revenues 9-14'!D173</f>
        <v>0</v>
      </c>
      <c r="E6" s="1757">
        <f>'Revenues 9-14'!E173</f>
        <v>0</v>
      </c>
      <c r="F6" s="1757">
        <f>'Revenues 9-14'!F173</f>
        <v>345637</v>
      </c>
      <c r="G6" s="1757">
        <f>'Revenues 9-14'!G173</f>
        <v>0</v>
      </c>
      <c r="H6" s="1757">
        <f>'Revenues 9-14'!H173</f>
        <v>1000000</v>
      </c>
      <c r="I6" s="1757">
        <f>'Revenues 9-14'!I173</f>
        <v>0</v>
      </c>
      <c r="J6" s="1757">
        <f>'Revenues 9-14'!J173</f>
        <v>0</v>
      </c>
      <c r="K6" s="1757">
        <f>'Revenues 9-14'!K173</f>
        <v>0</v>
      </c>
      <c r="L6" s="347"/>
      <c r="M6" s="513"/>
    </row>
    <row r="7" spans="1:13" ht="15.75" customHeight="1" x14ac:dyDescent="0.2">
      <c r="A7" s="1590" t="s">
        <v>1582</v>
      </c>
      <c r="B7" s="1592">
        <v>4000</v>
      </c>
      <c r="C7" s="1757">
        <f>'Revenues 9-14'!C274</f>
        <v>1093660</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3"/>
    </row>
    <row r="8" spans="1:13" ht="13.5" thickBot="1" x14ac:dyDescent="0.25">
      <c r="A8" s="1750" t="s">
        <v>1234</v>
      </c>
      <c r="B8" s="1723"/>
      <c r="C8" s="1702">
        <f>SUM(C4:C7)</f>
        <v>39686146</v>
      </c>
      <c r="D8" s="1702">
        <f t="shared" ref="D8:K8" si="0">SUM(D4:D7)</f>
        <v>5504319</v>
      </c>
      <c r="E8" s="1702">
        <f t="shared" si="0"/>
        <v>6031476</v>
      </c>
      <c r="F8" s="1702">
        <f t="shared" si="0"/>
        <v>2189343</v>
      </c>
      <c r="G8" s="1702">
        <f t="shared" si="0"/>
        <v>1536492</v>
      </c>
      <c r="H8" s="1702">
        <f t="shared" si="0"/>
        <v>1476631</v>
      </c>
      <c r="I8" s="1702">
        <f t="shared" si="0"/>
        <v>55404</v>
      </c>
      <c r="J8" s="1702">
        <f t="shared" si="0"/>
        <v>0</v>
      </c>
      <c r="K8" s="1702">
        <f t="shared" si="0"/>
        <v>0</v>
      </c>
      <c r="L8" s="347"/>
    </row>
    <row r="9" spans="1:13" ht="15.75" thickTop="1" x14ac:dyDescent="0.2">
      <c r="A9" s="514" t="s">
        <v>1752</v>
      </c>
      <c r="B9" s="515">
        <v>3998</v>
      </c>
      <c r="C9" s="481">
        <v>-14759169</v>
      </c>
      <c r="D9" s="516">
        <v>0</v>
      </c>
      <c r="E9" s="481">
        <v>0</v>
      </c>
      <c r="F9" s="481">
        <v>0</v>
      </c>
      <c r="G9" s="517">
        <v>0</v>
      </c>
      <c r="H9" s="481">
        <v>0</v>
      </c>
      <c r="I9" s="509" t="s">
        <v>1231</v>
      </c>
      <c r="J9" s="478">
        <v>0</v>
      </c>
      <c r="K9" s="481">
        <v>0</v>
      </c>
      <c r="L9" s="347"/>
    </row>
    <row r="10" spans="1:13" s="519" customFormat="1" ht="13.5" thickBot="1" x14ac:dyDescent="0.25">
      <c r="A10" s="1750" t="s">
        <v>1235</v>
      </c>
      <c r="B10" s="1723"/>
      <c r="C10" s="1702">
        <f>SUM(C8:C9)</f>
        <v>24926977</v>
      </c>
      <c r="D10" s="1702">
        <f t="shared" ref="D10:K10" si="1">SUM(D8:D9)</f>
        <v>5504319</v>
      </c>
      <c r="E10" s="1702">
        <f t="shared" si="1"/>
        <v>6031476</v>
      </c>
      <c r="F10" s="1702">
        <f t="shared" si="1"/>
        <v>2189343</v>
      </c>
      <c r="G10" s="1702">
        <f t="shared" si="1"/>
        <v>1536492</v>
      </c>
      <c r="H10" s="1702">
        <f t="shared" si="1"/>
        <v>1476631</v>
      </c>
      <c r="I10" s="1702">
        <f t="shared" si="1"/>
        <v>55404</v>
      </c>
      <c r="J10" s="1702">
        <f t="shared" si="1"/>
        <v>0</v>
      </c>
      <c r="K10" s="1702">
        <f t="shared" si="1"/>
        <v>0</v>
      </c>
      <c r="L10" s="518"/>
    </row>
    <row r="11" spans="1:13" s="519" customFormat="1" ht="16.7" customHeight="1" thickTop="1" x14ac:dyDescent="0.2">
      <c r="A11" s="2145" t="s">
        <v>1238</v>
      </c>
      <c r="B11" s="2146"/>
      <c r="C11" s="1584"/>
      <c r="D11" s="1585"/>
      <c r="E11" s="1585"/>
      <c r="F11" s="1585"/>
      <c r="G11" s="1585"/>
      <c r="H11" s="1585"/>
      <c r="I11" s="1585"/>
      <c r="J11" s="1585"/>
      <c r="K11" s="1586"/>
      <c r="L11" s="518"/>
    </row>
    <row r="12" spans="1:13" ht="15.75" customHeight="1" x14ac:dyDescent="0.2">
      <c r="A12" s="1590" t="s">
        <v>476</v>
      </c>
      <c r="B12" s="1592">
        <v>1000</v>
      </c>
      <c r="C12" s="1756">
        <f>'Expenditures 15-22'!K33</f>
        <v>22457112</v>
      </c>
      <c r="D12" s="520" t="s">
        <v>1231</v>
      </c>
      <c r="E12" s="468" t="s">
        <v>1231</v>
      </c>
      <c r="F12" s="468" t="s">
        <v>1231</v>
      </c>
      <c r="G12" s="1756">
        <f>'Expenditures 15-22'!K229</f>
        <v>427201</v>
      </c>
      <c r="H12" s="521"/>
      <c r="I12" s="468" t="s">
        <v>1231</v>
      </c>
      <c r="J12" s="468" t="s">
        <v>1231</v>
      </c>
      <c r="K12" s="521" t="s">
        <v>1231</v>
      </c>
      <c r="L12" s="347"/>
    </row>
    <row r="13" spans="1:13" ht="15.75" customHeight="1" x14ac:dyDescent="0.2">
      <c r="A13" s="1590" t="s">
        <v>477</v>
      </c>
      <c r="B13" s="1592">
        <v>2000</v>
      </c>
      <c r="C13" s="1757">
        <f>'Expenditures 15-22'!K74</f>
        <v>13197501</v>
      </c>
      <c r="D13" s="1757">
        <f>'Expenditures 15-22'!K129</f>
        <v>4434419</v>
      </c>
      <c r="E13" s="469" t="s">
        <v>1231</v>
      </c>
      <c r="F13" s="1757">
        <f>'Expenditures 15-22'!K184</f>
        <v>1969426</v>
      </c>
      <c r="G13" s="1757">
        <f>'Expenditures 15-22'!K279</f>
        <v>1027983</v>
      </c>
      <c r="H13" s="1757">
        <f>'Expenditures 15-22'!K303</f>
        <v>848457</v>
      </c>
      <c r="I13" s="468" t="s">
        <v>1231</v>
      </c>
      <c r="J13" s="1757">
        <f>'Expenditures 15-22'!K330</f>
        <v>0</v>
      </c>
      <c r="K13" s="1761">
        <f>'Expenditures 15-22'!K352</f>
        <v>0</v>
      </c>
      <c r="L13" s="347"/>
    </row>
    <row r="14" spans="1:13" ht="15.75" customHeight="1" x14ac:dyDescent="0.2">
      <c r="A14" s="1590" t="s">
        <v>469</v>
      </c>
      <c r="B14" s="1592">
        <v>3000</v>
      </c>
      <c r="C14" s="1757">
        <f>'Expenditures 15-22'!K75</f>
        <v>369</v>
      </c>
      <c r="D14" s="1757">
        <f>'Expenditures 15-22'!K130</f>
        <v>0</v>
      </c>
      <c r="E14" s="520" t="s">
        <v>1231</v>
      </c>
      <c r="F14" s="1757">
        <f>'Expenditures 15-22'!K185</f>
        <v>0</v>
      </c>
      <c r="G14" s="1757">
        <f>'Expenditures 15-22'!K280</f>
        <v>0</v>
      </c>
      <c r="H14" s="512"/>
      <c r="I14" s="468" t="s">
        <v>1231</v>
      </c>
      <c r="J14" s="468" t="s">
        <v>1231</v>
      </c>
      <c r="K14" s="512" t="s">
        <v>1231</v>
      </c>
      <c r="L14" s="347"/>
    </row>
    <row r="15" spans="1:13" ht="15.75" customHeight="1" x14ac:dyDescent="0.2">
      <c r="A15" s="1590" t="s">
        <v>109</v>
      </c>
      <c r="B15" s="1592">
        <v>4000</v>
      </c>
      <c r="C15" s="1757">
        <f>'Expenditures 15-22'!K102</f>
        <v>1753481</v>
      </c>
      <c r="D15" s="1757">
        <f>'Expenditures 15-22'!K139</f>
        <v>0</v>
      </c>
      <c r="E15" s="1757">
        <f>'Expenditures 15-22'!K160</f>
        <v>0</v>
      </c>
      <c r="F15" s="1757">
        <f>'Expenditures 15-22'!K196</f>
        <v>0</v>
      </c>
      <c r="G15" s="1757">
        <f>'Expenditures 15-22'!K285</f>
        <v>0</v>
      </c>
      <c r="H15" s="1757">
        <f>'Expenditures 15-22'!K310</f>
        <v>0</v>
      </c>
      <c r="I15" s="468" t="s">
        <v>1231</v>
      </c>
      <c r="J15" s="1850">
        <f>'Expenditures 15-22'!K334</f>
        <v>0</v>
      </c>
      <c r="K15" s="1757">
        <f>'Expenditures 15-22'!K357</f>
        <v>0</v>
      </c>
      <c r="L15" s="347"/>
    </row>
    <row r="16" spans="1:13" ht="15.75" customHeight="1" x14ac:dyDescent="0.2">
      <c r="A16" s="1590" t="s">
        <v>470</v>
      </c>
      <c r="B16" s="1592">
        <v>5000</v>
      </c>
      <c r="C16" s="1757">
        <f>'Expenditures 15-22'!K112</f>
        <v>0</v>
      </c>
      <c r="D16" s="1757">
        <f>'Expenditures 15-22'!K149</f>
        <v>0</v>
      </c>
      <c r="E16" s="1757">
        <f>'Expenditures 15-22'!K172</f>
        <v>6637142</v>
      </c>
      <c r="F16" s="1757">
        <f>'Expenditures 15-22'!K208</f>
        <v>49704</v>
      </c>
      <c r="G16" s="1757">
        <f>'Expenditures 15-22'!K293</f>
        <v>0</v>
      </c>
      <c r="H16" s="523"/>
      <c r="I16" s="468" t="s">
        <v>1231</v>
      </c>
      <c r="J16" s="1762">
        <f>'Expenditures 15-22'!K340</f>
        <v>0</v>
      </c>
      <c r="K16" s="1757">
        <f>'Expenditures 15-22'!K365</f>
        <v>0</v>
      </c>
      <c r="L16" s="347"/>
    </row>
    <row r="17" spans="1:12" ht="13.5" thickBot="1" x14ac:dyDescent="0.25">
      <c r="A17" s="1722" t="s">
        <v>50</v>
      </c>
      <c r="B17" s="1723"/>
      <c r="C17" s="1702">
        <f t="shared" ref="C17:H17" si="2">SUM(C12:C16)</f>
        <v>37408463</v>
      </c>
      <c r="D17" s="1702">
        <f t="shared" si="2"/>
        <v>4434419</v>
      </c>
      <c r="E17" s="1702">
        <f t="shared" si="2"/>
        <v>6637142</v>
      </c>
      <c r="F17" s="1702">
        <f t="shared" si="2"/>
        <v>2019130</v>
      </c>
      <c r="G17" s="1702">
        <f t="shared" si="2"/>
        <v>1455184</v>
      </c>
      <c r="H17" s="1702">
        <f t="shared" si="2"/>
        <v>848457</v>
      </c>
      <c r="I17" s="468"/>
      <c r="J17" s="1702">
        <f>SUM(J12:J16)</f>
        <v>0</v>
      </c>
      <c r="K17" s="1702">
        <f>SUM(K12:K16)</f>
        <v>0</v>
      </c>
      <c r="L17" s="347"/>
    </row>
    <row r="18" spans="1:12" ht="15" customHeight="1" thickTop="1" x14ac:dyDescent="0.2">
      <c r="A18" s="1758" t="s">
        <v>1753</v>
      </c>
      <c r="B18" s="1759">
        <v>4180</v>
      </c>
      <c r="C18" s="1756">
        <f t="shared" ref="C18:H18" si="3">C9</f>
        <v>-14759169</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526</v>
      </c>
      <c r="B19" s="1723"/>
      <c r="C19" s="1702">
        <f t="shared" ref="C19:H19" si="4">SUM(C17:C18)</f>
        <v>22649294</v>
      </c>
      <c r="D19" s="1702">
        <f t="shared" si="4"/>
        <v>4434419</v>
      </c>
      <c r="E19" s="1702">
        <f t="shared" si="4"/>
        <v>6637142</v>
      </c>
      <c r="F19" s="1702">
        <f t="shared" si="4"/>
        <v>2019130</v>
      </c>
      <c r="G19" s="1702">
        <f t="shared" si="4"/>
        <v>1455184</v>
      </c>
      <c r="H19" s="1702">
        <f t="shared" si="4"/>
        <v>848457</v>
      </c>
      <c r="I19" s="468"/>
      <c r="J19" s="1702">
        <f>SUM(J17:J18)</f>
        <v>0</v>
      </c>
      <c r="K19" s="1702">
        <f>SUM(K17:K18)</f>
        <v>0</v>
      </c>
      <c r="L19" s="347"/>
    </row>
    <row r="20" spans="1:12" ht="16.5" thickTop="1" thickBot="1" x14ac:dyDescent="0.25">
      <c r="A20" s="2161" t="s">
        <v>1754</v>
      </c>
      <c r="B20" s="2162"/>
      <c r="C20" s="1760">
        <f>C8-C17</f>
        <v>2277683</v>
      </c>
      <c r="D20" s="1760">
        <f t="shared" ref="D20:K20" si="5">D8-D17</f>
        <v>1069900</v>
      </c>
      <c r="E20" s="1760">
        <f t="shared" si="5"/>
        <v>-605666</v>
      </c>
      <c r="F20" s="1760">
        <f t="shared" si="5"/>
        <v>170213</v>
      </c>
      <c r="G20" s="1760">
        <f t="shared" si="5"/>
        <v>81308</v>
      </c>
      <c r="H20" s="1760">
        <f t="shared" si="5"/>
        <v>628174</v>
      </c>
      <c r="I20" s="1760">
        <f t="shared" si="5"/>
        <v>55404</v>
      </c>
      <c r="J20" s="1760">
        <f t="shared" si="5"/>
        <v>0</v>
      </c>
      <c r="K20" s="1760">
        <f t="shared" si="5"/>
        <v>0</v>
      </c>
      <c r="L20" s="347"/>
    </row>
    <row r="21" spans="1:12" ht="16.7" customHeight="1" thickTop="1" x14ac:dyDescent="0.2">
      <c r="A21" s="2173" t="s">
        <v>616</v>
      </c>
      <c r="B21" s="2174"/>
      <c r="C21" s="1584"/>
      <c r="D21" s="1585"/>
      <c r="E21" s="1585"/>
      <c r="F21" s="1585"/>
      <c r="G21" s="1585"/>
      <c r="H21" s="1585"/>
      <c r="I21" s="1585"/>
      <c r="J21" s="1585"/>
      <c r="K21" s="1586"/>
      <c r="L21" s="524"/>
    </row>
    <row r="22" spans="1:12" ht="15.75" customHeight="1" collapsed="1" x14ac:dyDescent="0.2">
      <c r="A22" s="2169" t="s">
        <v>617</v>
      </c>
      <c r="B22" s="2170"/>
      <c r="C22" s="477"/>
      <c r="D22" s="477"/>
      <c r="E22" s="477"/>
      <c r="F22" s="477"/>
      <c r="G22" s="477"/>
      <c r="H22" s="477"/>
      <c r="I22" s="477"/>
      <c r="J22" s="477"/>
      <c r="K22" s="477"/>
      <c r="L22" s="347"/>
    </row>
    <row r="23" spans="1:12" s="485" customFormat="1" ht="15.75" customHeight="1" x14ac:dyDescent="0.2">
      <c r="A23" s="2165" t="s">
        <v>311</v>
      </c>
      <c r="B23" s="2166"/>
      <c r="C23" s="480"/>
      <c r="D23" s="477"/>
      <c r="E23" s="477"/>
      <c r="F23" s="477"/>
      <c r="G23" s="477"/>
      <c r="H23" s="477"/>
      <c r="I23" s="477"/>
      <c r="J23" s="477"/>
      <c r="K23" s="477"/>
      <c r="L23" s="524"/>
    </row>
    <row r="24" spans="1:12" s="485" customFormat="1" ht="13.5" customHeight="1" x14ac:dyDescent="0.2">
      <c r="A24" s="1503" t="s">
        <v>1755</v>
      </c>
      <c r="B24" s="525">
        <v>7110</v>
      </c>
      <c r="C24" s="467"/>
      <c r="D24" s="477"/>
      <c r="E24" s="477"/>
      <c r="F24" s="477"/>
      <c r="G24" s="477"/>
      <c r="H24" s="477"/>
      <c r="I24" s="477"/>
      <c r="J24" s="477"/>
      <c r="K24" s="477"/>
      <c r="L24" s="524"/>
    </row>
    <row r="25" spans="1:12" s="485" customFormat="1" ht="13.5" customHeight="1" x14ac:dyDescent="0.2">
      <c r="A25" s="1503"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3"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3" t="s">
        <v>194</v>
      </c>
      <c r="B27" s="483">
        <v>7130</v>
      </c>
      <c r="C27" s="467">
        <v>0</v>
      </c>
      <c r="D27" s="467">
        <v>0</v>
      </c>
      <c r="E27" s="526"/>
      <c r="F27" s="467">
        <v>0</v>
      </c>
      <c r="G27" s="480"/>
      <c r="H27" s="480"/>
      <c r="I27" s="480"/>
      <c r="J27" s="480"/>
      <c r="K27" s="480"/>
      <c r="L27" s="524"/>
    </row>
    <row r="28" spans="1:12" s="485" customFormat="1" ht="13.5" customHeight="1" x14ac:dyDescent="0.2">
      <c r="A28" s="1503"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3" t="s">
        <v>312</v>
      </c>
      <c r="B29" s="483">
        <v>7150</v>
      </c>
      <c r="C29" s="475"/>
      <c r="D29" s="467">
        <v>0</v>
      </c>
      <c r="E29" s="475"/>
      <c r="F29" s="475"/>
      <c r="G29" s="475"/>
      <c r="H29" s="475"/>
      <c r="I29" s="475"/>
      <c r="J29" s="475"/>
      <c r="K29" s="475"/>
      <c r="L29" s="524"/>
    </row>
    <row r="30" spans="1:12" s="485" customFormat="1" ht="26.25" x14ac:dyDescent="0.2">
      <c r="A30" s="1503" t="s">
        <v>1894</v>
      </c>
      <c r="B30" s="527">
        <v>7160</v>
      </c>
      <c r="C30" s="477"/>
      <c r="D30" s="467">
        <v>0</v>
      </c>
      <c r="E30" s="477"/>
      <c r="F30" s="477"/>
      <c r="G30" s="477"/>
      <c r="H30" s="477"/>
      <c r="I30" s="477"/>
      <c r="J30" s="477"/>
      <c r="K30" s="477"/>
      <c r="L30" s="524"/>
    </row>
    <row r="31" spans="1:12" s="485" customFormat="1" ht="26.25" x14ac:dyDescent="0.2">
      <c r="A31" s="1503" t="s">
        <v>1898</v>
      </c>
      <c r="B31" s="527">
        <v>7170</v>
      </c>
      <c r="C31" s="477"/>
      <c r="D31" s="477"/>
      <c r="E31" s="474">
        <v>0</v>
      </c>
      <c r="F31" s="477"/>
      <c r="G31" s="477"/>
      <c r="H31" s="477"/>
      <c r="I31" s="477"/>
      <c r="J31" s="477"/>
      <c r="K31" s="477"/>
      <c r="L31" s="524"/>
    </row>
    <row r="32" spans="1:12" s="485" customFormat="1" ht="15.75" customHeight="1" x14ac:dyDescent="0.2">
      <c r="A32" s="2167" t="s">
        <v>1038</v>
      </c>
      <c r="B32" s="2168"/>
      <c r="C32" s="477"/>
      <c r="D32" s="477"/>
      <c r="E32" s="475"/>
      <c r="F32" s="477"/>
      <c r="G32" s="477"/>
      <c r="H32" s="477"/>
      <c r="I32" s="477"/>
      <c r="J32" s="477"/>
      <c r="K32" s="477"/>
      <c r="L32" s="524"/>
    </row>
    <row r="33" spans="1:12" s="485" customFormat="1" x14ac:dyDescent="0.2">
      <c r="A33" s="1503" t="s">
        <v>432</v>
      </c>
      <c r="B33" s="525">
        <v>7210</v>
      </c>
      <c r="C33" s="467">
        <v>0</v>
      </c>
      <c r="D33" s="467">
        <v>0</v>
      </c>
      <c r="E33" s="467">
        <v>0</v>
      </c>
      <c r="F33" s="467">
        <v>0</v>
      </c>
      <c r="G33" s="477"/>
      <c r="H33" s="467">
        <v>0</v>
      </c>
      <c r="I33" s="467">
        <v>0</v>
      </c>
      <c r="J33" s="467">
        <v>0</v>
      </c>
      <c r="K33" s="467">
        <v>0</v>
      </c>
      <c r="L33" s="524"/>
    </row>
    <row r="34" spans="1:12" s="485" customFormat="1" x14ac:dyDescent="0.2">
      <c r="A34" s="1503" t="s">
        <v>1058</v>
      </c>
      <c r="B34" s="525">
        <v>7220</v>
      </c>
      <c r="C34" s="467">
        <v>0</v>
      </c>
      <c r="D34" s="467">
        <v>0</v>
      </c>
      <c r="E34" s="467">
        <v>0</v>
      </c>
      <c r="F34" s="467">
        <v>0</v>
      </c>
      <c r="G34" s="477"/>
      <c r="H34" s="478">
        <v>0</v>
      </c>
      <c r="I34" s="478">
        <v>0</v>
      </c>
      <c r="J34" s="478">
        <v>0</v>
      </c>
      <c r="K34" s="478">
        <v>0</v>
      </c>
      <c r="L34" s="524"/>
    </row>
    <row r="35" spans="1:12" s="485" customFormat="1" x14ac:dyDescent="0.2">
      <c r="A35" s="1503" t="s">
        <v>1047</v>
      </c>
      <c r="B35" s="525">
        <v>7230</v>
      </c>
      <c r="C35" s="467">
        <v>0</v>
      </c>
      <c r="D35" s="467">
        <v>0</v>
      </c>
      <c r="E35" s="467">
        <v>0</v>
      </c>
      <c r="F35" s="467">
        <v>0</v>
      </c>
      <c r="G35" s="480"/>
      <c r="H35" s="467">
        <v>0</v>
      </c>
      <c r="I35" s="467">
        <v>0</v>
      </c>
      <c r="J35" s="467">
        <v>0</v>
      </c>
      <c r="K35" s="467">
        <v>0</v>
      </c>
      <c r="L35" s="524"/>
    </row>
    <row r="36" spans="1:12" s="485" customFormat="1" ht="15" x14ac:dyDescent="0.2">
      <c r="A36" s="1503" t="s">
        <v>1757</v>
      </c>
      <c r="B36" s="525">
        <v>7300</v>
      </c>
      <c r="C36" s="467">
        <v>0</v>
      </c>
      <c r="D36" s="467">
        <v>0</v>
      </c>
      <c r="E36" s="467">
        <v>0</v>
      </c>
      <c r="F36" s="467">
        <v>0</v>
      </c>
      <c r="G36" s="467">
        <v>0</v>
      </c>
      <c r="H36" s="467">
        <v>0</v>
      </c>
      <c r="I36" s="475"/>
      <c r="J36" s="467">
        <v>0</v>
      </c>
      <c r="K36" s="467">
        <v>0</v>
      </c>
      <c r="L36" s="524"/>
    </row>
    <row r="37" spans="1:12" s="485" customFormat="1" x14ac:dyDescent="0.2">
      <c r="A37" s="1503" t="s">
        <v>461</v>
      </c>
      <c r="B37" s="525">
        <v>7400</v>
      </c>
      <c r="C37" s="475"/>
      <c r="D37" s="475"/>
      <c r="E37" s="1757">
        <f>SUM(C54:D57,H54:H57)</f>
        <v>118765</v>
      </c>
      <c r="F37" s="475"/>
      <c r="G37" s="475"/>
      <c r="H37" s="475"/>
      <c r="I37" s="477"/>
      <c r="J37" s="475"/>
      <c r="K37" s="475"/>
      <c r="L37" s="524"/>
    </row>
    <row r="38" spans="1:12" s="485" customFormat="1" x14ac:dyDescent="0.2">
      <c r="A38" s="1503" t="s">
        <v>462</v>
      </c>
      <c r="B38" s="525">
        <v>7500</v>
      </c>
      <c r="C38" s="477"/>
      <c r="D38" s="477"/>
      <c r="E38" s="1757">
        <f>SUM(C58:D61,H58:H61)</f>
        <v>13422</v>
      </c>
      <c r="F38" s="477"/>
      <c r="G38" s="477"/>
      <c r="H38" s="477"/>
      <c r="I38" s="477"/>
      <c r="J38" s="477"/>
      <c r="K38" s="477"/>
      <c r="L38" s="524"/>
    </row>
    <row r="39" spans="1:12" s="485" customFormat="1" x14ac:dyDescent="0.2">
      <c r="A39" s="1503" t="s">
        <v>463</v>
      </c>
      <c r="B39" s="525">
        <v>7600</v>
      </c>
      <c r="C39" s="477"/>
      <c r="D39" s="477"/>
      <c r="E39" s="1757">
        <f>SUM(C62:D65)</f>
        <v>0</v>
      </c>
      <c r="F39" s="477"/>
      <c r="G39" s="477"/>
      <c r="H39" s="477"/>
      <c r="I39" s="477"/>
      <c r="J39" s="477"/>
      <c r="K39" s="477"/>
      <c r="L39" s="524"/>
    </row>
    <row r="40" spans="1:12" s="485" customFormat="1" ht="13.5" customHeight="1" x14ac:dyDescent="0.2">
      <c r="A40" s="1503" t="s">
        <v>663</v>
      </c>
      <c r="B40" s="483">
        <v>7700</v>
      </c>
      <c r="C40" s="477"/>
      <c r="D40" s="477"/>
      <c r="E40" s="1757">
        <f>SUM(C66:D69)</f>
        <v>0</v>
      </c>
      <c r="F40" s="477"/>
      <c r="G40" s="477"/>
      <c r="H40" s="480"/>
      <c r="I40" s="477"/>
      <c r="J40" s="477"/>
      <c r="K40" s="477"/>
      <c r="L40" s="524"/>
    </row>
    <row r="41" spans="1:12" s="485" customFormat="1" ht="13.5" customHeight="1" x14ac:dyDescent="0.2">
      <c r="A41" s="1503" t="s">
        <v>661</v>
      </c>
      <c r="B41" s="483">
        <v>7800</v>
      </c>
      <c r="C41" s="480"/>
      <c r="D41" s="480"/>
      <c r="E41" s="526"/>
      <c r="F41" s="480"/>
      <c r="G41" s="480"/>
      <c r="H41" s="1757">
        <f>SUM(C70:D73)</f>
        <v>0</v>
      </c>
      <c r="I41" s="477"/>
      <c r="J41" s="477"/>
      <c r="K41" s="480"/>
      <c r="L41" s="524"/>
    </row>
    <row r="42" spans="1:12" s="485" customFormat="1" ht="13.5" customHeight="1" x14ac:dyDescent="0.2">
      <c r="A42" s="1503"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3" t="s">
        <v>391</v>
      </c>
      <c r="B43" s="483">
        <v>7990</v>
      </c>
      <c r="C43" s="467">
        <v>0</v>
      </c>
      <c r="D43" s="467">
        <v>0</v>
      </c>
      <c r="E43" s="467">
        <v>541255</v>
      </c>
      <c r="F43" s="467">
        <v>0</v>
      </c>
      <c r="G43" s="467">
        <v>0</v>
      </c>
      <c r="H43" s="467">
        <v>0</v>
      </c>
      <c r="I43" s="467">
        <v>0</v>
      </c>
      <c r="J43" s="467">
        <v>0</v>
      </c>
      <c r="K43" s="467">
        <v>0</v>
      </c>
      <c r="L43" s="524"/>
    </row>
    <row r="44" spans="1:12" s="485" customFormat="1" ht="13.5" customHeight="1" thickBot="1" x14ac:dyDescent="0.25">
      <c r="A44" s="2175" t="s">
        <v>392</v>
      </c>
      <c r="B44" s="2176"/>
      <c r="C44" s="1717">
        <f>SUM(C24:C43)</f>
        <v>0</v>
      </c>
      <c r="D44" s="1717">
        <f t="shared" ref="D44:K44" si="6">SUM(D24:D43)</f>
        <v>0</v>
      </c>
      <c r="E44" s="1717">
        <f t="shared" si="6"/>
        <v>673442</v>
      </c>
      <c r="F44" s="1717">
        <f t="shared" si="6"/>
        <v>0</v>
      </c>
      <c r="G44" s="1717">
        <f t="shared" si="6"/>
        <v>0</v>
      </c>
      <c r="H44" s="1717">
        <f t="shared" si="6"/>
        <v>0</v>
      </c>
      <c r="I44" s="1717">
        <f t="shared" si="6"/>
        <v>0</v>
      </c>
      <c r="J44" s="1717">
        <f t="shared" si="6"/>
        <v>0</v>
      </c>
      <c r="K44" s="1717">
        <f t="shared" si="6"/>
        <v>0</v>
      </c>
      <c r="L44" s="524"/>
    </row>
    <row r="45" spans="1:12" ht="15.75" customHeight="1" thickTop="1" x14ac:dyDescent="0.2">
      <c r="A45" s="2169" t="s">
        <v>110</v>
      </c>
      <c r="B45" s="2170"/>
      <c r="C45" s="528"/>
      <c r="D45" s="528"/>
      <c r="E45" s="528"/>
      <c r="F45" s="528"/>
      <c r="G45" s="528"/>
      <c r="H45" s="528"/>
      <c r="I45" s="528"/>
      <c r="J45" s="528"/>
      <c r="K45" s="528"/>
      <c r="L45" s="347"/>
    </row>
    <row r="46" spans="1:12" s="485" customFormat="1" ht="15.75" customHeight="1" x14ac:dyDescent="0.2">
      <c r="A46" s="2177" t="s">
        <v>111</v>
      </c>
      <c r="B46" s="2178"/>
      <c r="C46" s="477"/>
      <c r="D46" s="477"/>
      <c r="E46" s="477"/>
      <c r="F46" s="477"/>
      <c r="G46" s="477"/>
      <c r="H46" s="477"/>
      <c r="I46" s="480"/>
      <c r="J46" s="477"/>
      <c r="K46" s="477"/>
      <c r="L46" s="529"/>
    </row>
    <row r="47" spans="1:12" s="485" customFormat="1" ht="15" x14ac:dyDescent="0.2">
      <c r="A47" s="1504" t="s">
        <v>1758</v>
      </c>
      <c r="B47" s="483">
        <v>8110</v>
      </c>
      <c r="C47" s="477"/>
      <c r="D47" s="477"/>
      <c r="E47" s="477"/>
      <c r="F47" s="477"/>
      <c r="G47" s="477"/>
      <c r="H47" s="477"/>
      <c r="I47" s="1757">
        <f>SUM(C24,C25:H25,J25:K25)</f>
        <v>0</v>
      </c>
      <c r="J47" s="477"/>
      <c r="K47" s="477"/>
      <c r="L47" s="529"/>
    </row>
    <row r="48" spans="1:12" s="485" customFormat="1" ht="15" x14ac:dyDescent="0.2">
      <c r="A48" s="1504" t="s">
        <v>1759</v>
      </c>
      <c r="B48" s="483">
        <v>8120</v>
      </c>
      <c r="C48" s="480"/>
      <c r="D48" s="480"/>
      <c r="E48" s="477"/>
      <c r="F48" s="480"/>
      <c r="G48" s="477"/>
      <c r="H48" s="477"/>
      <c r="I48" s="1757">
        <f>SUM(C26:H26,J26,K26)</f>
        <v>0</v>
      </c>
      <c r="J48" s="477"/>
      <c r="K48" s="477"/>
      <c r="L48" s="529"/>
    </row>
    <row r="49" spans="1:12" s="485" customFormat="1" x14ac:dyDescent="0.2">
      <c r="A49" s="1504" t="s">
        <v>194</v>
      </c>
      <c r="B49" s="483">
        <v>8130</v>
      </c>
      <c r="C49" s="467">
        <v>0</v>
      </c>
      <c r="D49" s="467">
        <v>0</v>
      </c>
      <c r="E49" s="480"/>
      <c r="F49" s="467">
        <v>0</v>
      </c>
      <c r="G49" s="480"/>
      <c r="H49" s="480"/>
      <c r="I49" s="477"/>
      <c r="J49" s="480"/>
      <c r="K49" s="477"/>
      <c r="L49" s="524"/>
    </row>
    <row r="50" spans="1:12" s="485" customFormat="1" x14ac:dyDescent="0.2">
      <c r="A50" s="1504" t="s">
        <v>1465</v>
      </c>
      <c r="B50" s="483">
        <v>8140</v>
      </c>
      <c r="C50" s="467">
        <v>0</v>
      </c>
      <c r="D50" s="467">
        <v>0</v>
      </c>
      <c r="E50" s="467">
        <v>0</v>
      </c>
      <c r="F50" s="467">
        <v>0</v>
      </c>
      <c r="G50" s="467">
        <v>0</v>
      </c>
      <c r="H50" s="467">
        <v>0</v>
      </c>
      <c r="I50" s="477"/>
      <c r="J50" s="467">
        <v>0</v>
      </c>
      <c r="K50" s="477"/>
      <c r="L50" s="524"/>
    </row>
    <row r="51" spans="1:12" s="485" customFormat="1" x14ac:dyDescent="0.2">
      <c r="A51" s="1504" t="s">
        <v>312</v>
      </c>
      <c r="B51" s="483">
        <v>8150</v>
      </c>
      <c r="C51" s="475"/>
      <c r="D51" s="475"/>
      <c r="E51" s="475"/>
      <c r="F51" s="475"/>
      <c r="G51" s="475"/>
      <c r="H51" s="1757">
        <f>SUM(D29)</f>
        <v>0</v>
      </c>
      <c r="I51" s="477"/>
      <c r="J51" s="475"/>
      <c r="K51" s="480"/>
      <c r="L51" s="524"/>
    </row>
    <row r="52" spans="1:12" s="485" customFormat="1" ht="26.25" x14ac:dyDescent="0.2">
      <c r="A52" s="1504" t="s">
        <v>1897</v>
      </c>
      <c r="B52" s="483">
        <v>8160</v>
      </c>
      <c r="C52" s="477"/>
      <c r="D52" s="477"/>
      <c r="E52" s="477"/>
      <c r="F52" s="477"/>
      <c r="G52" s="477"/>
      <c r="H52" s="477"/>
      <c r="I52" s="477"/>
      <c r="J52" s="477"/>
      <c r="K52" s="1757">
        <f>D30</f>
        <v>0</v>
      </c>
      <c r="L52" s="524"/>
    </row>
    <row r="53" spans="1:12" s="485" customFormat="1" ht="26.25" x14ac:dyDescent="0.2">
      <c r="A53" s="1504" t="s">
        <v>1896</v>
      </c>
      <c r="B53" s="483">
        <v>8170</v>
      </c>
      <c r="C53" s="480"/>
      <c r="D53" s="480"/>
      <c r="E53" s="477"/>
      <c r="F53" s="477"/>
      <c r="G53" s="477"/>
      <c r="H53" s="480"/>
      <c r="I53" s="477"/>
      <c r="J53" s="477"/>
      <c r="K53" s="1757">
        <f>E31</f>
        <v>0</v>
      </c>
      <c r="L53" s="524"/>
    </row>
    <row r="54" spans="1:12" s="485" customFormat="1" ht="13.5" thickBot="1" x14ac:dyDescent="0.25">
      <c r="A54" s="1504" t="s">
        <v>716</v>
      </c>
      <c r="B54" s="483">
        <v>8410</v>
      </c>
      <c r="C54" s="530">
        <v>0</v>
      </c>
      <c r="D54" s="530">
        <v>0</v>
      </c>
      <c r="E54" s="477"/>
      <c r="F54" s="477"/>
      <c r="G54" s="477"/>
      <c r="H54" s="530">
        <v>0</v>
      </c>
      <c r="I54" s="477"/>
      <c r="J54" s="477"/>
      <c r="K54" s="475"/>
      <c r="L54" s="524"/>
    </row>
    <row r="55" spans="1:12" s="485" customFormat="1" ht="14.25" thickTop="1" thickBot="1" x14ac:dyDescent="0.25">
      <c r="A55" s="1505" t="s">
        <v>717</v>
      </c>
      <c r="B55" s="483">
        <v>8420</v>
      </c>
      <c r="C55" s="531">
        <v>0</v>
      </c>
      <c r="D55" s="531">
        <v>0</v>
      </c>
      <c r="E55" s="477"/>
      <c r="F55" s="477"/>
      <c r="G55" s="477"/>
      <c r="H55" s="530">
        <v>0</v>
      </c>
      <c r="I55" s="477"/>
      <c r="J55" s="477"/>
      <c r="K55" s="477"/>
      <c r="L55" s="524"/>
    </row>
    <row r="56" spans="1:12" s="485" customFormat="1" ht="14.25" thickTop="1" thickBot="1" x14ac:dyDescent="0.25">
      <c r="A56" s="1504" t="s">
        <v>602</v>
      </c>
      <c r="B56" s="483">
        <v>8430</v>
      </c>
      <c r="C56" s="531">
        <v>118765</v>
      </c>
      <c r="D56" s="531">
        <v>0</v>
      </c>
      <c r="E56" s="477"/>
      <c r="F56" s="477"/>
      <c r="G56" s="477"/>
      <c r="H56" s="530">
        <v>0</v>
      </c>
      <c r="I56" s="477"/>
      <c r="J56" s="477"/>
      <c r="K56" s="477"/>
      <c r="L56" s="524"/>
    </row>
    <row r="57" spans="1:12" s="485" customFormat="1" ht="14.25" thickTop="1" thickBot="1" x14ac:dyDescent="0.25">
      <c r="A57" s="1505" t="s">
        <v>599</v>
      </c>
      <c r="B57" s="483">
        <v>8440</v>
      </c>
      <c r="C57" s="531">
        <v>0</v>
      </c>
      <c r="D57" s="531">
        <v>0</v>
      </c>
      <c r="E57" s="477"/>
      <c r="F57" s="477"/>
      <c r="G57" s="477"/>
      <c r="H57" s="530">
        <v>0</v>
      </c>
      <c r="I57" s="477"/>
      <c r="J57" s="477"/>
      <c r="K57" s="477"/>
      <c r="L57" s="524"/>
    </row>
    <row r="58" spans="1:12" s="485" customFormat="1" ht="14.25" thickTop="1" thickBot="1" x14ac:dyDescent="0.25">
      <c r="A58" s="1504" t="s">
        <v>600</v>
      </c>
      <c r="B58" s="483">
        <v>8510</v>
      </c>
      <c r="C58" s="531">
        <v>0</v>
      </c>
      <c r="D58" s="531">
        <v>0</v>
      </c>
      <c r="E58" s="477"/>
      <c r="F58" s="477"/>
      <c r="G58" s="477"/>
      <c r="H58" s="530">
        <v>0</v>
      </c>
      <c r="I58" s="477"/>
      <c r="J58" s="477"/>
      <c r="K58" s="477"/>
      <c r="L58" s="524"/>
    </row>
    <row r="59" spans="1:12" s="485" customFormat="1" ht="14.25" thickTop="1" thickBot="1" x14ac:dyDescent="0.25">
      <c r="A59" s="1506" t="s">
        <v>718</v>
      </c>
      <c r="B59" s="483">
        <v>8520</v>
      </c>
      <c r="C59" s="531">
        <v>0</v>
      </c>
      <c r="D59" s="531">
        <v>0</v>
      </c>
      <c r="E59" s="477"/>
      <c r="F59" s="477"/>
      <c r="G59" s="477"/>
      <c r="H59" s="530">
        <v>0</v>
      </c>
      <c r="I59" s="477"/>
      <c r="J59" s="477"/>
      <c r="K59" s="477"/>
      <c r="L59" s="524"/>
    </row>
    <row r="60" spans="1:12" s="485" customFormat="1" ht="14.25" thickTop="1" thickBot="1" x14ac:dyDescent="0.25">
      <c r="A60" s="1504" t="s">
        <v>601</v>
      </c>
      <c r="B60" s="483">
        <v>8530</v>
      </c>
      <c r="C60" s="531">
        <v>13422</v>
      </c>
      <c r="D60" s="531">
        <v>0</v>
      </c>
      <c r="E60" s="477"/>
      <c r="F60" s="477"/>
      <c r="G60" s="477"/>
      <c r="H60" s="530">
        <v>0</v>
      </c>
      <c r="I60" s="477"/>
      <c r="J60" s="477"/>
      <c r="K60" s="477"/>
      <c r="L60" s="524"/>
    </row>
    <row r="61" spans="1:12" s="485" customFormat="1" ht="14.25" thickTop="1" thickBot="1" x14ac:dyDescent="0.25">
      <c r="A61" s="1505" t="s">
        <v>767</v>
      </c>
      <c r="B61" s="483">
        <v>8540</v>
      </c>
      <c r="C61" s="531">
        <v>0</v>
      </c>
      <c r="D61" s="531">
        <v>0</v>
      </c>
      <c r="E61" s="477"/>
      <c r="F61" s="477"/>
      <c r="G61" s="477"/>
      <c r="H61" s="530">
        <v>0</v>
      </c>
      <c r="I61" s="477"/>
      <c r="J61" s="477"/>
      <c r="K61" s="477"/>
      <c r="L61" s="524"/>
    </row>
    <row r="62" spans="1:12" s="485" customFormat="1" ht="13.5" customHeight="1" thickTop="1" thickBot="1" x14ac:dyDescent="0.25">
      <c r="A62" s="1504" t="s">
        <v>768</v>
      </c>
      <c r="B62" s="483">
        <v>8610</v>
      </c>
      <c r="C62" s="531">
        <v>0</v>
      </c>
      <c r="D62" s="531">
        <v>0</v>
      </c>
      <c r="E62" s="477"/>
      <c r="F62" s="477"/>
      <c r="G62" s="477"/>
      <c r="H62" s="477"/>
      <c r="I62" s="477"/>
      <c r="J62" s="477"/>
      <c r="K62" s="477"/>
      <c r="L62" s="524"/>
    </row>
    <row r="63" spans="1:12" s="485" customFormat="1" ht="14.25" thickTop="1" thickBot="1" x14ac:dyDescent="0.25">
      <c r="A63" s="1505" t="s">
        <v>719</v>
      </c>
      <c r="B63" s="483">
        <v>8620</v>
      </c>
      <c r="C63" s="531">
        <v>0</v>
      </c>
      <c r="D63" s="531">
        <v>0</v>
      </c>
      <c r="E63" s="477"/>
      <c r="F63" s="477"/>
      <c r="G63" s="477"/>
      <c r="H63" s="477"/>
      <c r="I63" s="477"/>
      <c r="J63" s="477"/>
      <c r="K63" s="477"/>
      <c r="L63" s="524"/>
    </row>
    <row r="64" spans="1:12" s="485" customFormat="1" ht="13.5" customHeight="1" thickTop="1" thickBot="1" x14ac:dyDescent="0.25">
      <c r="A64" s="1504" t="s">
        <v>769</v>
      </c>
      <c r="B64" s="483">
        <v>8630</v>
      </c>
      <c r="C64" s="531">
        <v>0</v>
      </c>
      <c r="D64" s="531">
        <v>0</v>
      </c>
      <c r="E64" s="477"/>
      <c r="F64" s="477"/>
      <c r="G64" s="477"/>
      <c r="H64" s="477"/>
      <c r="I64" s="477"/>
      <c r="J64" s="477"/>
      <c r="K64" s="477"/>
      <c r="L64" s="524"/>
    </row>
    <row r="65" spans="1:12" s="485" customFormat="1" ht="14.25" thickTop="1" thickBot="1" x14ac:dyDescent="0.25">
      <c r="A65" s="1505" t="s">
        <v>770</v>
      </c>
      <c r="B65" s="483">
        <v>8640</v>
      </c>
      <c r="C65" s="531">
        <v>0</v>
      </c>
      <c r="D65" s="531">
        <v>0</v>
      </c>
      <c r="E65" s="477"/>
      <c r="F65" s="477"/>
      <c r="G65" s="477"/>
      <c r="H65" s="477"/>
      <c r="I65" s="477"/>
      <c r="J65" s="477"/>
      <c r="K65" s="477"/>
      <c r="L65" s="524"/>
    </row>
    <row r="66" spans="1:12" s="485" customFormat="1" ht="14.25" thickTop="1" thickBot="1" x14ac:dyDescent="0.25">
      <c r="A66" s="1504" t="s">
        <v>771</v>
      </c>
      <c r="B66" s="483">
        <v>8710</v>
      </c>
      <c r="C66" s="531">
        <v>0</v>
      </c>
      <c r="D66" s="531">
        <v>0</v>
      </c>
      <c r="E66" s="477"/>
      <c r="F66" s="477"/>
      <c r="G66" s="477"/>
      <c r="H66" s="477"/>
      <c r="I66" s="477"/>
      <c r="J66" s="477"/>
      <c r="K66" s="477"/>
      <c r="L66" s="524"/>
    </row>
    <row r="67" spans="1:12" s="485" customFormat="1" ht="14.25" thickTop="1" thickBot="1" x14ac:dyDescent="0.25">
      <c r="A67" s="1505" t="s">
        <v>720</v>
      </c>
      <c r="B67" s="483">
        <v>8720</v>
      </c>
      <c r="C67" s="531">
        <v>0</v>
      </c>
      <c r="D67" s="531">
        <v>0</v>
      </c>
      <c r="E67" s="477"/>
      <c r="F67" s="477"/>
      <c r="G67" s="477"/>
      <c r="H67" s="477"/>
      <c r="I67" s="477"/>
      <c r="J67" s="477"/>
      <c r="K67" s="477"/>
      <c r="L67" s="524"/>
    </row>
    <row r="68" spans="1:12" s="485" customFormat="1" ht="14.25" thickTop="1" thickBot="1" x14ac:dyDescent="0.25">
      <c r="A68" s="1506" t="s">
        <v>772</v>
      </c>
      <c r="B68" s="483">
        <v>8730</v>
      </c>
      <c r="C68" s="531">
        <v>0</v>
      </c>
      <c r="D68" s="531">
        <v>0</v>
      </c>
      <c r="E68" s="477"/>
      <c r="F68" s="477"/>
      <c r="G68" s="477"/>
      <c r="H68" s="477"/>
      <c r="I68" s="477"/>
      <c r="J68" s="477"/>
      <c r="K68" s="477"/>
      <c r="L68" s="524"/>
    </row>
    <row r="69" spans="1:12" s="485" customFormat="1" ht="14.25" thickTop="1" thickBot="1" x14ac:dyDescent="0.25">
      <c r="A69" s="1505" t="s">
        <v>773</v>
      </c>
      <c r="B69" s="483">
        <v>8740</v>
      </c>
      <c r="C69" s="531">
        <v>0</v>
      </c>
      <c r="D69" s="531">
        <v>0</v>
      </c>
      <c r="E69" s="477"/>
      <c r="F69" s="477"/>
      <c r="G69" s="477"/>
      <c r="H69" s="477"/>
      <c r="I69" s="477"/>
      <c r="J69" s="477"/>
      <c r="K69" s="477"/>
      <c r="L69" s="524"/>
    </row>
    <row r="70" spans="1:12" s="485" customFormat="1" ht="14.25" thickTop="1" thickBot="1" x14ac:dyDescent="0.25">
      <c r="A70" s="1504" t="s">
        <v>774</v>
      </c>
      <c r="B70" s="483">
        <v>8810</v>
      </c>
      <c r="C70" s="531">
        <v>0</v>
      </c>
      <c r="D70" s="531">
        <v>0</v>
      </c>
      <c r="E70" s="477"/>
      <c r="F70" s="477"/>
      <c r="G70" s="477"/>
      <c r="H70" s="477"/>
      <c r="I70" s="477"/>
      <c r="J70" s="477"/>
      <c r="K70" s="477"/>
      <c r="L70" s="524"/>
    </row>
    <row r="71" spans="1:12" s="485" customFormat="1" ht="14.25" thickTop="1" thickBot="1" x14ac:dyDescent="0.25">
      <c r="A71" s="1504" t="s">
        <v>778</v>
      </c>
      <c r="B71" s="483">
        <v>8820</v>
      </c>
      <c r="C71" s="531">
        <v>0</v>
      </c>
      <c r="D71" s="531">
        <v>0</v>
      </c>
      <c r="E71" s="477"/>
      <c r="F71" s="477"/>
      <c r="G71" s="477"/>
      <c r="H71" s="477"/>
      <c r="I71" s="477"/>
      <c r="J71" s="477"/>
      <c r="K71" s="477"/>
      <c r="L71" s="524"/>
    </row>
    <row r="72" spans="1:12" s="485" customFormat="1" ht="14.25" thickTop="1" thickBot="1" x14ac:dyDescent="0.25">
      <c r="A72" s="1504" t="s">
        <v>775</v>
      </c>
      <c r="B72" s="483">
        <v>8830</v>
      </c>
      <c r="C72" s="531">
        <v>0</v>
      </c>
      <c r="D72" s="531">
        <v>0</v>
      </c>
      <c r="E72" s="477"/>
      <c r="F72" s="477"/>
      <c r="G72" s="477"/>
      <c r="H72" s="477"/>
      <c r="I72" s="477"/>
      <c r="J72" s="477"/>
      <c r="K72" s="477"/>
      <c r="L72" s="524"/>
    </row>
    <row r="73" spans="1:12" s="485" customFormat="1" ht="14.25" thickTop="1" thickBot="1" x14ac:dyDescent="0.25">
      <c r="A73" s="1504" t="s">
        <v>776</v>
      </c>
      <c r="B73" s="483">
        <v>8840</v>
      </c>
      <c r="C73" s="531">
        <v>0</v>
      </c>
      <c r="D73" s="531">
        <v>0</v>
      </c>
      <c r="E73" s="477"/>
      <c r="F73" s="477"/>
      <c r="G73" s="477"/>
      <c r="H73" s="477"/>
      <c r="I73" s="477"/>
      <c r="J73" s="477"/>
      <c r="K73" s="480"/>
      <c r="L73" s="524"/>
    </row>
    <row r="74" spans="1:12" s="485" customFormat="1" ht="14.25" thickTop="1" thickBot="1" x14ac:dyDescent="0.25">
      <c r="A74" s="1504"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07" t="s">
        <v>459</v>
      </c>
      <c r="B75" s="483">
        <v>8990</v>
      </c>
      <c r="C75" s="531">
        <v>0</v>
      </c>
      <c r="D75" s="531">
        <v>541255</v>
      </c>
      <c r="E75" s="530">
        <v>0</v>
      </c>
      <c r="F75" s="532">
        <v>0</v>
      </c>
      <c r="G75" s="532">
        <v>0</v>
      </c>
      <c r="H75" s="532">
        <v>0</v>
      </c>
      <c r="I75" s="530">
        <v>0</v>
      </c>
      <c r="J75" s="530">
        <v>0</v>
      </c>
      <c r="K75" s="532">
        <v>0</v>
      </c>
      <c r="L75" s="524"/>
    </row>
    <row r="76" spans="1:12" s="485" customFormat="1" ht="14.25" thickTop="1" thickBot="1" x14ac:dyDescent="0.25">
      <c r="A76" s="2151" t="s">
        <v>460</v>
      </c>
      <c r="B76" s="2152"/>
      <c r="C76" s="1717">
        <f t="shared" ref="C76:K76" si="7">SUM(C47:C75)</f>
        <v>132187</v>
      </c>
      <c r="D76" s="1717">
        <f t="shared" si="7"/>
        <v>541255</v>
      </c>
      <c r="E76" s="1717">
        <f t="shared" si="7"/>
        <v>0</v>
      </c>
      <c r="F76" s="1717">
        <f t="shared" si="7"/>
        <v>0</v>
      </c>
      <c r="G76" s="1717">
        <f t="shared" si="7"/>
        <v>0</v>
      </c>
      <c r="H76" s="1717">
        <f t="shared" si="7"/>
        <v>0</v>
      </c>
      <c r="I76" s="1717">
        <f t="shared" si="7"/>
        <v>0</v>
      </c>
      <c r="J76" s="1717">
        <f t="shared" si="7"/>
        <v>0</v>
      </c>
      <c r="K76" s="1717">
        <f t="shared" si="7"/>
        <v>0</v>
      </c>
      <c r="L76" s="524"/>
    </row>
    <row r="77" spans="1:12" ht="14.25" thickTop="1" thickBot="1" x14ac:dyDescent="0.25">
      <c r="A77" s="2153" t="s">
        <v>1239</v>
      </c>
      <c r="B77" s="2154"/>
      <c r="C77" s="1717">
        <f t="shared" ref="C77:K77" si="8">C44-C76</f>
        <v>-132187</v>
      </c>
      <c r="D77" s="1717">
        <f t="shared" si="8"/>
        <v>-541255</v>
      </c>
      <c r="E77" s="1717">
        <f t="shared" si="8"/>
        <v>673442</v>
      </c>
      <c r="F77" s="1717">
        <f t="shared" si="8"/>
        <v>0</v>
      </c>
      <c r="G77" s="1717">
        <f t="shared" si="8"/>
        <v>0</v>
      </c>
      <c r="H77" s="1717">
        <f t="shared" si="8"/>
        <v>0</v>
      </c>
      <c r="I77" s="1717">
        <f t="shared" si="8"/>
        <v>0</v>
      </c>
      <c r="J77" s="1717">
        <f t="shared" si="8"/>
        <v>0</v>
      </c>
      <c r="K77" s="1717">
        <f t="shared" si="8"/>
        <v>0</v>
      </c>
      <c r="L77" s="347"/>
    </row>
    <row r="78" spans="1:12" ht="21.75" customHeight="1" thickTop="1" thickBot="1" x14ac:dyDescent="0.25">
      <c r="A78" s="2157" t="s">
        <v>618</v>
      </c>
      <c r="B78" s="2158"/>
      <c r="C78" s="1716">
        <f t="shared" ref="C78:K78" si="9">C20+C77</f>
        <v>2145496</v>
      </c>
      <c r="D78" s="1716">
        <f t="shared" si="9"/>
        <v>528645</v>
      </c>
      <c r="E78" s="1716">
        <f t="shared" si="9"/>
        <v>67776</v>
      </c>
      <c r="F78" s="1716">
        <f t="shared" si="9"/>
        <v>170213</v>
      </c>
      <c r="G78" s="1716">
        <f t="shared" si="9"/>
        <v>81308</v>
      </c>
      <c r="H78" s="1716">
        <f t="shared" si="9"/>
        <v>628174</v>
      </c>
      <c r="I78" s="1716">
        <f t="shared" si="9"/>
        <v>55404</v>
      </c>
      <c r="J78" s="1716">
        <f t="shared" si="9"/>
        <v>0</v>
      </c>
      <c r="K78" s="1716">
        <f t="shared" si="9"/>
        <v>0</v>
      </c>
      <c r="L78" s="533"/>
    </row>
    <row r="79" spans="1:12" ht="13.5" thickTop="1" x14ac:dyDescent="0.2">
      <c r="A79" s="1508" t="s">
        <v>2070</v>
      </c>
      <c r="B79" s="534"/>
      <c r="C79" s="478">
        <v>8062077</v>
      </c>
      <c r="D79" s="535">
        <v>1809668</v>
      </c>
      <c r="E79" s="535">
        <v>173490</v>
      </c>
      <c r="F79" s="535">
        <v>944263</v>
      </c>
      <c r="G79" s="535">
        <v>69321</v>
      </c>
      <c r="H79" s="535">
        <v>966758</v>
      </c>
      <c r="I79" s="535">
        <v>5110614</v>
      </c>
      <c r="J79" s="535">
        <v>0</v>
      </c>
      <c r="K79" s="535">
        <v>0</v>
      </c>
      <c r="L79" s="347"/>
    </row>
    <row r="80" spans="1:12" x14ac:dyDescent="0.2">
      <c r="A80" s="2163" t="s">
        <v>1895</v>
      </c>
      <c r="B80" s="2164"/>
      <c r="C80" s="467"/>
      <c r="D80" s="467"/>
      <c r="E80" s="467"/>
      <c r="F80" s="467"/>
      <c r="G80" s="467"/>
      <c r="H80" s="467"/>
      <c r="I80" s="467"/>
      <c r="J80" s="467"/>
      <c r="K80" s="467"/>
      <c r="L80" s="347"/>
    </row>
    <row r="81" spans="1:12" ht="13.5" thickBot="1" x14ac:dyDescent="0.25">
      <c r="A81" s="2155" t="s">
        <v>2071</v>
      </c>
      <c r="B81" s="2156"/>
      <c r="C81" s="1702">
        <f>(SUM(C78:C80))</f>
        <v>10207573</v>
      </c>
      <c r="D81" s="1702">
        <f>SUM(D78:D80)</f>
        <v>2338313</v>
      </c>
      <c r="E81" s="1702">
        <f t="shared" ref="E81:K81" si="10">SUM(E78:E80)</f>
        <v>241266</v>
      </c>
      <c r="F81" s="1702">
        <f t="shared" si="10"/>
        <v>1114476</v>
      </c>
      <c r="G81" s="1702">
        <f t="shared" si="10"/>
        <v>150629</v>
      </c>
      <c r="H81" s="1702">
        <f t="shared" si="10"/>
        <v>1594932</v>
      </c>
      <c r="I81" s="1702">
        <f t="shared" si="10"/>
        <v>5166018</v>
      </c>
      <c r="J81" s="1702">
        <f t="shared" si="10"/>
        <v>0</v>
      </c>
      <c r="K81" s="1702">
        <f t="shared" si="10"/>
        <v>0</v>
      </c>
      <c r="L81" s="347"/>
    </row>
    <row r="82" spans="1:12" ht="0.75" customHeight="1" thickTop="1" thickBot="1" x14ac:dyDescent="0.25">
      <c r="A82" s="536" t="s">
        <v>361</v>
      </c>
      <c r="B82" s="537"/>
      <c r="C82" s="538">
        <f>(C81-C79)</f>
        <v>2145496</v>
      </c>
      <c r="D82" s="538">
        <f t="shared" ref="D82:K82" si="11">(D81-D79)</f>
        <v>528645</v>
      </c>
      <c r="E82" s="538">
        <f t="shared" si="11"/>
        <v>67776</v>
      </c>
      <c r="F82" s="538">
        <f t="shared" si="11"/>
        <v>170213</v>
      </c>
      <c r="G82" s="538">
        <f t="shared" si="11"/>
        <v>81308</v>
      </c>
      <c r="H82" s="538">
        <f t="shared" si="11"/>
        <v>628174</v>
      </c>
      <c r="I82" s="538">
        <f t="shared" si="11"/>
        <v>55404</v>
      </c>
      <c r="J82" s="538">
        <f t="shared" si="11"/>
        <v>0</v>
      </c>
      <c r="K82" s="538">
        <f t="shared" si="11"/>
        <v>0</v>
      </c>
    </row>
    <row r="83" spans="1:12" ht="14.25" hidden="1" thickTop="1" thickBot="1" x14ac:dyDescent="0.25">
      <c r="A83" s="539" t="s">
        <v>362</v>
      </c>
      <c r="B83" s="464"/>
      <c r="C83" s="540">
        <f>C82/C81</f>
        <v>0.21018669178265981</v>
      </c>
      <c r="D83" s="540">
        <f t="shared" ref="D83:K83" si="12">D82/D81</f>
        <v>0.22607965657292245</v>
      </c>
      <c r="E83" s="540">
        <f t="shared" si="12"/>
        <v>0.28091815672328468</v>
      </c>
      <c r="F83" s="540">
        <f t="shared" si="12"/>
        <v>0.15272917496653135</v>
      </c>
      <c r="G83" s="540">
        <f t="shared" si="12"/>
        <v>0.53978981471031473</v>
      </c>
      <c r="H83" s="540">
        <f t="shared" si="12"/>
        <v>0.39385628979793497</v>
      </c>
      <c r="I83" s="540">
        <f t="shared" si="12"/>
        <v>1.0724701307660948E-2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86"/>
  <sheetViews>
    <sheetView showGridLines="0" defaultGridColor="0" topLeftCell="B1" colorId="8" zoomScale="110" zoomScaleNormal="110" zoomScaleSheetLayoutView="75" workbookViewId="0">
      <pane ySplit="2" topLeftCell="A264" activePane="bottomLeft" state="frozen"/>
      <selection activeCell="J30" sqref="J30"/>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9" t="s">
        <v>1902</v>
      </c>
      <c r="B1" s="452"/>
      <c r="C1" s="453" t="s">
        <v>445</v>
      </c>
      <c r="D1" s="453" t="s">
        <v>446</v>
      </c>
      <c r="E1" s="453" t="s">
        <v>447</v>
      </c>
      <c r="F1" s="453" t="s">
        <v>448</v>
      </c>
      <c r="G1" s="453" t="s">
        <v>449</v>
      </c>
      <c r="H1" s="453" t="s">
        <v>450</v>
      </c>
      <c r="I1" s="453" t="s">
        <v>451</v>
      </c>
      <c r="J1" s="453" t="s">
        <v>452</v>
      </c>
      <c r="K1" s="453" t="s">
        <v>780</v>
      </c>
    </row>
    <row r="2" spans="1:12" ht="36" x14ac:dyDescent="0.2">
      <c r="A2" s="216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3" t="s">
        <v>115</v>
      </c>
      <c r="B3" s="1594"/>
      <c r="C3" s="1595"/>
      <c r="D3" s="1595"/>
      <c r="E3" s="1595"/>
      <c r="F3" s="1596"/>
      <c r="G3" s="1597"/>
      <c r="H3" s="1596"/>
      <c r="I3" s="1596"/>
      <c r="J3" s="1596"/>
      <c r="K3" s="1598"/>
    </row>
    <row r="4" spans="1:12" ht="15.75" customHeight="1" x14ac:dyDescent="0.2">
      <c r="A4" s="1604" t="s">
        <v>397</v>
      </c>
      <c r="B4" s="1605">
        <v>1100</v>
      </c>
      <c r="C4" s="543"/>
      <c r="D4" s="543"/>
      <c r="E4" s="543"/>
      <c r="F4" s="544"/>
      <c r="G4" s="545"/>
      <c r="H4" s="546"/>
      <c r="I4" s="546"/>
      <c r="J4" s="546"/>
      <c r="K4" s="546"/>
    </row>
    <row r="5" spans="1:12" ht="15" x14ac:dyDescent="0.2">
      <c r="A5" s="493" t="s">
        <v>1760</v>
      </c>
      <c r="B5" s="547"/>
      <c r="C5" s="481">
        <v>32826737</v>
      </c>
      <c r="D5" s="481">
        <v>5134205</v>
      </c>
      <c r="E5" s="466">
        <v>6000574</v>
      </c>
      <c r="F5" s="548">
        <v>1808310</v>
      </c>
      <c r="G5" s="466">
        <v>709369</v>
      </c>
      <c r="H5" s="466">
        <v>0</v>
      </c>
      <c r="I5" s="466">
        <v>0</v>
      </c>
      <c r="J5" s="467">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678355</v>
      </c>
      <c r="D7" s="466">
        <v>0</v>
      </c>
      <c r="E7" s="468"/>
      <c r="F7" s="467">
        <v>0</v>
      </c>
      <c r="G7" s="467">
        <v>0</v>
      </c>
      <c r="H7" s="467">
        <v>0</v>
      </c>
      <c r="I7" s="468"/>
      <c r="J7" s="468"/>
      <c r="K7" s="468"/>
    </row>
    <row r="8" spans="1:12" x14ac:dyDescent="0.2">
      <c r="A8" s="463" t="s">
        <v>433</v>
      </c>
      <c r="B8" s="470">
        <v>1150</v>
      </c>
      <c r="C8" s="475"/>
      <c r="D8" s="475"/>
      <c r="E8" s="477"/>
      <c r="F8" s="477"/>
      <c r="G8" s="481">
        <v>711307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19" t="s">
        <v>29</v>
      </c>
      <c r="B12" s="1720"/>
      <c r="C12" s="1721">
        <f t="shared" ref="C12:K12" si="0">SUM(C5:C11)</f>
        <v>33505092</v>
      </c>
      <c r="D12" s="1721">
        <f t="shared" si="0"/>
        <v>5134205</v>
      </c>
      <c r="E12" s="1721">
        <f t="shared" si="0"/>
        <v>6000574</v>
      </c>
      <c r="F12" s="1721">
        <f t="shared" si="0"/>
        <v>1808310</v>
      </c>
      <c r="G12" s="1721">
        <f t="shared" si="0"/>
        <v>1420676</v>
      </c>
      <c r="H12" s="1721">
        <f t="shared" si="0"/>
        <v>0</v>
      </c>
      <c r="I12" s="1721">
        <f t="shared" si="0"/>
        <v>0</v>
      </c>
      <c r="J12" s="1721">
        <f t="shared" si="0"/>
        <v>0</v>
      </c>
      <c r="K12" s="1702">
        <f t="shared" si="0"/>
        <v>0</v>
      </c>
    </row>
    <row r="13" spans="1:12" ht="15.75" customHeight="1" thickTop="1" x14ac:dyDescent="0.2">
      <c r="A13" s="1606" t="s">
        <v>471</v>
      </c>
      <c r="B13" s="1607">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3206</v>
      </c>
      <c r="D15" s="466">
        <v>0</v>
      </c>
      <c r="E15" s="466">
        <v>0</v>
      </c>
      <c r="F15" s="466">
        <v>0</v>
      </c>
      <c r="G15" s="466">
        <v>0</v>
      </c>
      <c r="H15" s="466">
        <v>0</v>
      </c>
      <c r="I15" s="466">
        <v>0</v>
      </c>
      <c r="J15" s="467">
        <v>0</v>
      </c>
      <c r="K15" s="466">
        <v>0</v>
      </c>
    </row>
    <row r="16" spans="1:12" ht="15" customHeight="1" x14ac:dyDescent="0.2">
      <c r="A16" s="463" t="s">
        <v>1762</v>
      </c>
      <c r="B16" s="549">
        <v>1230</v>
      </c>
      <c r="C16" s="551">
        <v>48842</v>
      </c>
      <c r="D16" s="466">
        <v>0</v>
      </c>
      <c r="E16" s="466">
        <v>0</v>
      </c>
      <c r="F16" s="466">
        <v>0</v>
      </c>
      <c r="G16" s="466">
        <v>105230</v>
      </c>
      <c r="H16" s="466">
        <v>452923</v>
      </c>
      <c r="I16" s="466">
        <v>0</v>
      </c>
      <c r="J16" s="467">
        <v>0</v>
      </c>
      <c r="K16" s="466">
        <v>0</v>
      </c>
    </row>
    <row r="17" spans="1:11" ht="12.75" customHeight="1" x14ac:dyDescent="0.2">
      <c r="A17" s="463" t="s">
        <v>840</v>
      </c>
      <c r="B17" s="470">
        <v>1290</v>
      </c>
      <c r="C17" s="551">
        <v>46641</v>
      </c>
      <c r="D17" s="466">
        <v>0</v>
      </c>
      <c r="E17" s="466">
        <v>0</v>
      </c>
      <c r="F17" s="466">
        <v>0</v>
      </c>
      <c r="G17" s="466">
        <v>0</v>
      </c>
      <c r="H17" s="466">
        <v>0</v>
      </c>
      <c r="I17" s="466">
        <v>0</v>
      </c>
      <c r="J17" s="467">
        <v>0</v>
      </c>
      <c r="K17" s="466">
        <v>0</v>
      </c>
    </row>
    <row r="18" spans="1:11" ht="12.75" customHeight="1" thickBot="1" x14ac:dyDescent="0.25">
      <c r="A18" s="1722" t="s">
        <v>558</v>
      </c>
      <c r="B18" s="1723"/>
      <c r="C18" s="1724">
        <f>SUM(C14:C17)</f>
        <v>98689</v>
      </c>
      <c r="D18" s="1724">
        <f t="shared" ref="D18:K18" si="1">SUM(D14:D17)</f>
        <v>0</v>
      </c>
      <c r="E18" s="1724">
        <f t="shared" si="1"/>
        <v>0</v>
      </c>
      <c r="F18" s="1724">
        <f t="shared" si="1"/>
        <v>0</v>
      </c>
      <c r="G18" s="1724">
        <f t="shared" si="1"/>
        <v>105230</v>
      </c>
      <c r="H18" s="1724">
        <f t="shared" si="1"/>
        <v>452923</v>
      </c>
      <c r="I18" s="1724">
        <f t="shared" si="1"/>
        <v>0</v>
      </c>
      <c r="J18" s="1724">
        <f t="shared" si="1"/>
        <v>0</v>
      </c>
      <c r="K18" s="1725">
        <f t="shared" si="1"/>
        <v>0</v>
      </c>
    </row>
    <row r="19" spans="1:11" ht="15.75" customHeight="1" thickTop="1" x14ac:dyDescent="0.2">
      <c r="A19" s="1606" t="s">
        <v>472</v>
      </c>
      <c r="B19" s="1607">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45974</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400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09" t="s">
        <v>615</v>
      </c>
      <c r="B39" s="556">
        <v>1354</v>
      </c>
      <c r="C39" s="489">
        <v>0</v>
      </c>
      <c r="D39" s="468"/>
      <c r="E39" s="468"/>
      <c r="F39" s="468"/>
      <c r="G39" s="468"/>
      <c r="H39" s="468"/>
      <c r="I39" s="468"/>
      <c r="J39" s="468"/>
      <c r="K39" s="468"/>
    </row>
    <row r="40" spans="1:11" ht="12.75" customHeight="1" thickBot="1" x14ac:dyDescent="0.25">
      <c r="A40" s="1722" t="s">
        <v>559</v>
      </c>
      <c r="B40" s="1723"/>
      <c r="C40" s="1702">
        <f>SUM(C20:C39)</f>
        <v>46374</v>
      </c>
      <c r="D40" s="468"/>
      <c r="E40" s="468"/>
      <c r="F40" s="468"/>
      <c r="G40" s="468"/>
      <c r="H40" s="468"/>
      <c r="I40" s="468"/>
      <c r="J40" s="468"/>
      <c r="K40" s="468"/>
    </row>
    <row r="41" spans="1:11" ht="15.75" customHeight="1" thickTop="1" x14ac:dyDescent="0.2">
      <c r="A41" s="1606" t="s">
        <v>292</v>
      </c>
      <c r="B41" s="1607">
        <v>1400</v>
      </c>
      <c r="C41" s="468"/>
      <c r="D41" s="468"/>
      <c r="E41" s="468"/>
      <c r="F41" s="521"/>
      <c r="G41" s="468"/>
      <c r="H41" s="468"/>
      <c r="I41" s="468"/>
      <c r="J41" s="468"/>
      <c r="K41" s="468"/>
    </row>
    <row r="42" spans="1:11" ht="12.75" customHeight="1" x14ac:dyDescent="0.2">
      <c r="A42" s="463" t="s">
        <v>1136</v>
      </c>
      <c r="B42" s="470">
        <v>1411</v>
      </c>
      <c r="C42" s="468"/>
      <c r="D42" s="468"/>
      <c r="E42" s="468"/>
      <c r="F42" s="481">
        <v>11602</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5144</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0" t="s">
        <v>62</v>
      </c>
      <c r="B51" s="557">
        <v>1431</v>
      </c>
      <c r="C51" s="468"/>
      <c r="D51" s="468"/>
      <c r="E51" s="468"/>
      <c r="F51" s="466">
        <v>0</v>
      </c>
      <c r="G51" s="468"/>
      <c r="H51" s="468"/>
      <c r="I51" s="468"/>
      <c r="J51" s="468"/>
      <c r="K51" s="468"/>
    </row>
    <row r="52" spans="1:11" ht="12.75" customHeight="1" x14ac:dyDescent="0.2">
      <c r="A52" s="1510" t="s">
        <v>1168</v>
      </c>
      <c r="B52" s="557">
        <v>1432</v>
      </c>
      <c r="C52" s="468"/>
      <c r="D52" s="468"/>
      <c r="E52" s="468"/>
      <c r="F52" s="466">
        <v>0</v>
      </c>
      <c r="G52" s="468"/>
      <c r="H52" s="468"/>
      <c r="I52" s="468"/>
      <c r="J52" s="468"/>
      <c r="K52" s="468"/>
    </row>
    <row r="53" spans="1:11" ht="12.75" customHeight="1" x14ac:dyDescent="0.2">
      <c r="A53" s="1510" t="s">
        <v>63</v>
      </c>
      <c r="B53" s="557">
        <v>1433</v>
      </c>
      <c r="C53" s="468"/>
      <c r="D53" s="468"/>
      <c r="E53" s="468"/>
      <c r="F53" s="466">
        <v>0</v>
      </c>
      <c r="G53" s="468"/>
      <c r="H53" s="468"/>
      <c r="I53" s="468"/>
      <c r="J53" s="468"/>
      <c r="K53" s="468"/>
    </row>
    <row r="54" spans="1:11" ht="12.75" customHeight="1" x14ac:dyDescent="0.2">
      <c r="A54" s="1510" t="s">
        <v>64</v>
      </c>
      <c r="B54" s="557">
        <v>1434</v>
      </c>
      <c r="C54" s="468"/>
      <c r="D54" s="468"/>
      <c r="E54" s="468"/>
      <c r="F54" s="467">
        <v>0</v>
      </c>
      <c r="G54" s="468"/>
      <c r="H54" s="468"/>
      <c r="I54" s="468"/>
      <c r="J54" s="468"/>
      <c r="K54" s="468"/>
    </row>
    <row r="55" spans="1:11" ht="12.75" customHeight="1" x14ac:dyDescent="0.2">
      <c r="A55" s="1510" t="s">
        <v>65</v>
      </c>
      <c r="B55" s="557">
        <v>1441</v>
      </c>
      <c r="C55" s="468"/>
      <c r="D55" s="468"/>
      <c r="E55" s="468"/>
      <c r="F55" s="466">
        <v>0</v>
      </c>
      <c r="G55" s="468"/>
      <c r="H55" s="468"/>
      <c r="I55" s="468"/>
      <c r="J55" s="468"/>
      <c r="K55" s="468"/>
    </row>
    <row r="56" spans="1:11" ht="12.75" customHeight="1" x14ac:dyDescent="0.2">
      <c r="A56" s="1510" t="s">
        <v>1169</v>
      </c>
      <c r="B56" s="557">
        <v>1442</v>
      </c>
      <c r="C56" s="468"/>
      <c r="D56" s="468"/>
      <c r="E56" s="468"/>
      <c r="F56" s="466">
        <v>0</v>
      </c>
      <c r="G56" s="468"/>
      <c r="H56" s="468"/>
      <c r="I56" s="468"/>
      <c r="J56" s="468"/>
      <c r="K56" s="468"/>
    </row>
    <row r="57" spans="1:11" ht="12.75" customHeight="1" x14ac:dyDescent="0.2">
      <c r="A57" s="1510" t="s">
        <v>510</v>
      </c>
      <c r="B57" s="557">
        <v>1443</v>
      </c>
      <c r="C57" s="468"/>
      <c r="D57" s="468"/>
      <c r="E57" s="468"/>
      <c r="F57" s="466">
        <v>0</v>
      </c>
      <c r="G57" s="468"/>
      <c r="H57" s="468"/>
      <c r="I57" s="468"/>
      <c r="J57" s="468"/>
      <c r="K57" s="468"/>
    </row>
    <row r="58" spans="1:11" ht="12.75" customHeight="1" x14ac:dyDescent="0.2">
      <c r="A58" s="1510" t="s">
        <v>67</v>
      </c>
      <c r="B58" s="557">
        <v>1444</v>
      </c>
      <c r="C58" s="468"/>
      <c r="D58" s="468"/>
      <c r="E58" s="468"/>
      <c r="F58" s="466">
        <v>0</v>
      </c>
      <c r="G58" s="468"/>
      <c r="H58" s="468"/>
      <c r="I58" s="468"/>
      <c r="J58" s="468"/>
      <c r="K58" s="468"/>
    </row>
    <row r="59" spans="1:11" ht="12.75" customHeight="1" x14ac:dyDescent="0.2">
      <c r="A59" s="1510" t="s">
        <v>933</v>
      </c>
      <c r="B59" s="557">
        <v>1451</v>
      </c>
      <c r="C59" s="468"/>
      <c r="D59" s="468"/>
      <c r="E59" s="468"/>
      <c r="F59" s="466">
        <v>0</v>
      </c>
      <c r="G59" s="468"/>
      <c r="H59" s="468"/>
      <c r="I59" s="468"/>
      <c r="J59" s="468"/>
      <c r="K59" s="468"/>
    </row>
    <row r="60" spans="1:11" ht="12.75" customHeight="1" x14ac:dyDescent="0.2">
      <c r="A60" s="1510"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1" t="s">
        <v>935</v>
      </c>
      <c r="B62" s="558">
        <v>1454</v>
      </c>
      <c r="C62" s="468"/>
      <c r="D62" s="468"/>
      <c r="E62" s="468"/>
      <c r="F62" s="467">
        <v>0</v>
      </c>
      <c r="G62" s="468"/>
      <c r="H62" s="468"/>
      <c r="I62" s="468"/>
      <c r="J62" s="468"/>
      <c r="K62" s="468"/>
    </row>
    <row r="63" spans="1:11" ht="12.75" customHeight="1" thickBot="1" x14ac:dyDescent="0.25">
      <c r="A63" s="1722" t="s">
        <v>506</v>
      </c>
      <c r="B63" s="1723"/>
      <c r="C63" s="468"/>
      <c r="D63" s="468"/>
      <c r="E63" s="468"/>
      <c r="F63" s="1702">
        <f>SUM(F42:F62)</f>
        <v>16746</v>
      </c>
      <c r="G63" s="468"/>
      <c r="H63" s="468"/>
      <c r="I63" s="468"/>
      <c r="J63" s="468"/>
      <c r="K63" s="468"/>
    </row>
    <row r="64" spans="1:11" ht="15.75" customHeight="1" thickTop="1" x14ac:dyDescent="0.2">
      <c r="A64" s="1606" t="s">
        <v>474</v>
      </c>
      <c r="B64" s="1607">
        <v>1500</v>
      </c>
      <c r="C64" s="468"/>
      <c r="D64" s="468"/>
      <c r="E64" s="468"/>
      <c r="F64" s="468"/>
      <c r="G64" s="468"/>
      <c r="H64" s="468"/>
      <c r="I64" s="468"/>
      <c r="J64" s="468"/>
      <c r="K64" s="468"/>
    </row>
    <row r="65" spans="1:11" ht="12.75" customHeight="1" x14ac:dyDescent="0.2">
      <c r="A65" s="463" t="s">
        <v>568</v>
      </c>
      <c r="B65" s="470">
        <v>1510</v>
      </c>
      <c r="C65" s="466">
        <v>313529</v>
      </c>
      <c r="D65" s="466">
        <v>44336</v>
      </c>
      <c r="E65" s="466">
        <v>30902</v>
      </c>
      <c r="F65" s="467">
        <v>18650</v>
      </c>
      <c r="G65" s="466">
        <v>10586</v>
      </c>
      <c r="H65" s="466">
        <v>18744</v>
      </c>
      <c r="I65" s="466">
        <v>55404</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2" t="s">
        <v>507</v>
      </c>
      <c r="B67" s="1723"/>
      <c r="C67" s="1702">
        <f>SUM(C65:C66)</f>
        <v>313529</v>
      </c>
      <c r="D67" s="1702">
        <f t="shared" ref="D67:K67" si="2">SUM(D65:D66)</f>
        <v>44336</v>
      </c>
      <c r="E67" s="1702">
        <f t="shared" si="2"/>
        <v>30902</v>
      </c>
      <c r="F67" s="1702">
        <f t="shared" si="2"/>
        <v>18650</v>
      </c>
      <c r="G67" s="1702">
        <f t="shared" si="2"/>
        <v>10586</v>
      </c>
      <c r="H67" s="1702">
        <f t="shared" si="2"/>
        <v>18744</v>
      </c>
      <c r="I67" s="1702">
        <f t="shared" si="2"/>
        <v>55404</v>
      </c>
      <c r="J67" s="1702">
        <f t="shared" si="2"/>
        <v>0</v>
      </c>
      <c r="K67" s="1702">
        <f t="shared" si="2"/>
        <v>0</v>
      </c>
    </row>
    <row r="68" spans="1:11" ht="15.75" customHeight="1" thickTop="1" x14ac:dyDescent="0.2">
      <c r="A68" s="1606" t="s">
        <v>475</v>
      </c>
      <c r="B68" s="1608">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923578</v>
      </c>
      <c r="D71" s="468"/>
      <c r="E71" s="468"/>
      <c r="F71" s="468"/>
      <c r="G71" s="468"/>
      <c r="H71" s="468"/>
      <c r="I71" s="468"/>
      <c r="J71" s="468"/>
      <c r="K71" s="468"/>
    </row>
    <row r="72" spans="1:11" ht="12.75" customHeight="1" x14ac:dyDescent="0.2">
      <c r="A72" s="463" t="s">
        <v>24</v>
      </c>
      <c r="B72" s="470">
        <v>1614</v>
      </c>
      <c r="C72" s="551">
        <v>21604</v>
      </c>
      <c r="D72" s="468"/>
      <c r="E72" s="468"/>
      <c r="F72" s="468"/>
      <c r="G72" s="468"/>
      <c r="H72" s="468"/>
      <c r="I72" s="468"/>
      <c r="J72" s="468"/>
      <c r="K72" s="468"/>
    </row>
    <row r="73" spans="1:11" ht="12.75" customHeight="1" x14ac:dyDescent="0.2">
      <c r="A73" s="463" t="s">
        <v>1055</v>
      </c>
      <c r="B73" s="470">
        <v>1620</v>
      </c>
      <c r="C73" s="551">
        <v>22901</v>
      </c>
      <c r="D73" s="468"/>
      <c r="E73" s="468"/>
      <c r="F73" s="468"/>
      <c r="G73" s="468"/>
      <c r="H73" s="468"/>
      <c r="I73" s="468"/>
      <c r="J73" s="468"/>
      <c r="K73" s="468"/>
    </row>
    <row r="74" spans="1:11" ht="12.75" customHeight="1" x14ac:dyDescent="0.2">
      <c r="A74" s="463" t="s">
        <v>25</v>
      </c>
      <c r="B74" s="470">
        <v>1690</v>
      </c>
      <c r="C74" s="551">
        <v>88067</v>
      </c>
      <c r="D74" s="468"/>
      <c r="E74" s="468"/>
      <c r="F74" s="468"/>
      <c r="G74" s="468"/>
      <c r="H74" s="468"/>
      <c r="I74" s="468"/>
      <c r="J74" s="468"/>
      <c r="K74" s="468"/>
    </row>
    <row r="75" spans="1:11" ht="12.75" customHeight="1" thickBot="1" x14ac:dyDescent="0.25">
      <c r="A75" s="1722" t="s">
        <v>569</v>
      </c>
      <c r="B75" s="1723"/>
      <c r="C75" s="1702">
        <f>SUM(C69:C74)</f>
        <v>1056150</v>
      </c>
      <c r="D75" s="468"/>
      <c r="E75" s="468"/>
      <c r="F75" s="468"/>
      <c r="G75" s="468"/>
      <c r="H75" s="468"/>
      <c r="I75" s="468"/>
      <c r="J75" s="468"/>
      <c r="K75" s="468"/>
    </row>
    <row r="76" spans="1:11" ht="15.75" customHeight="1" thickTop="1" x14ac:dyDescent="0.2">
      <c r="A76" s="1606" t="s">
        <v>936</v>
      </c>
      <c r="B76" s="1608">
        <v>1700</v>
      </c>
      <c r="C76" s="553"/>
      <c r="D76" s="468"/>
      <c r="E76" s="468"/>
      <c r="F76" s="468"/>
      <c r="G76" s="468"/>
      <c r="H76" s="468"/>
      <c r="I76" s="468"/>
      <c r="J76" s="468"/>
      <c r="K76" s="468"/>
    </row>
    <row r="77" spans="1:11" ht="12.75" customHeight="1" x14ac:dyDescent="0.2">
      <c r="A77" s="463" t="s">
        <v>570</v>
      </c>
      <c r="B77" s="470">
        <v>1711</v>
      </c>
      <c r="C77" s="516">
        <v>31832</v>
      </c>
      <c r="D77" s="466">
        <v>0</v>
      </c>
      <c r="E77" s="468"/>
      <c r="F77" s="468"/>
      <c r="G77" s="468"/>
      <c r="H77" s="468"/>
      <c r="I77" s="468"/>
      <c r="J77" s="468"/>
      <c r="K77" s="468"/>
    </row>
    <row r="78" spans="1:11" ht="12.75" customHeight="1" x14ac:dyDescent="0.2">
      <c r="A78" s="463" t="s">
        <v>78</v>
      </c>
      <c r="B78" s="470">
        <v>1719</v>
      </c>
      <c r="C78" s="551">
        <v>10964</v>
      </c>
      <c r="D78" s="466">
        <v>0</v>
      </c>
      <c r="E78" s="468"/>
      <c r="F78" s="468"/>
      <c r="G78" s="468"/>
      <c r="H78" s="468"/>
      <c r="I78" s="468"/>
      <c r="J78" s="468"/>
      <c r="K78" s="468"/>
    </row>
    <row r="79" spans="1:11" ht="12.75" customHeight="1" x14ac:dyDescent="0.2">
      <c r="A79" s="463" t="s">
        <v>571</v>
      </c>
      <c r="B79" s="470">
        <v>1720</v>
      </c>
      <c r="C79" s="551">
        <v>1248161</v>
      </c>
      <c r="D79" s="466">
        <v>0</v>
      </c>
      <c r="E79" s="468"/>
      <c r="F79" s="468"/>
      <c r="G79" s="468"/>
      <c r="H79" s="468"/>
      <c r="I79" s="468"/>
      <c r="J79" s="468"/>
      <c r="K79" s="468"/>
    </row>
    <row r="80" spans="1:11" ht="12.75" customHeight="1" x14ac:dyDescent="0.2">
      <c r="A80" s="463" t="s">
        <v>572</v>
      </c>
      <c r="B80" s="470">
        <v>1730</v>
      </c>
      <c r="C80" s="551">
        <v>31148</v>
      </c>
      <c r="D80" s="466">
        <v>0</v>
      </c>
      <c r="E80" s="468"/>
      <c r="F80" s="468"/>
      <c r="G80" s="468"/>
      <c r="H80" s="468"/>
      <c r="I80" s="468"/>
      <c r="J80" s="468"/>
      <c r="K80" s="468"/>
    </row>
    <row r="81" spans="1:11" ht="12.75" customHeight="1" x14ac:dyDescent="0.2">
      <c r="A81" s="463" t="s">
        <v>26</v>
      </c>
      <c r="B81" s="470">
        <v>1790</v>
      </c>
      <c r="C81" s="551">
        <v>377</v>
      </c>
      <c r="D81" s="466">
        <v>0</v>
      </c>
      <c r="E81" s="468"/>
      <c r="F81" s="468"/>
      <c r="G81" s="468"/>
      <c r="H81" s="468"/>
      <c r="I81" s="468"/>
      <c r="J81" s="468"/>
      <c r="K81" s="468"/>
    </row>
    <row r="82" spans="1:11" ht="12.75" customHeight="1" thickBot="1" x14ac:dyDescent="0.25">
      <c r="A82" s="1722" t="s">
        <v>259</v>
      </c>
      <c r="B82" s="1723"/>
      <c r="C82" s="1721">
        <f>SUM(C77:C81)</f>
        <v>1322482</v>
      </c>
      <c r="D82" s="1702">
        <f>SUM(D77:D81)</f>
        <v>0</v>
      </c>
      <c r="E82" s="468"/>
      <c r="F82" s="468"/>
      <c r="G82" s="468"/>
      <c r="H82" s="468"/>
      <c r="I82" s="468"/>
      <c r="J82" s="468"/>
      <c r="K82" s="468"/>
    </row>
    <row r="83" spans="1:11" ht="15.75" customHeight="1" thickTop="1" x14ac:dyDescent="0.2">
      <c r="A83" s="1606" t="s">
        <v>260</v>
      </c>
      <c r="B83" s="1608">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3723</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2225</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2" t="s">
        <v>261</v>
      </c>
      <c r="B93" s="1723"/>
      <c r="C93" s="1702">
        <f>SUM(C84:C92)</f>
        <v>5948</v>
      </c>
      <c r="D93" s="468"/>
      <c r="E93" s="468"/>
      <c r="F93" s="468"/>
      <c r="G93" s="468"/>
      <c r="H93" s="468"/>
      <c r="I93" s="468"/>
      <c r="J93" s="468"/>
      <c r="K93" s="468"/>
    </row>
    <row r="94" spans="1:11" ht="15.75" customHeight="1" thickTop="1" x14ac:dyDescent="0.2">
      <c r="A94" s="1606" t="s">
        <v>1199</v>
      </c>
      <c r="B94" s="1608">
        <v>1900</v>
      </c>
      <c r="C94" s="553"/>
      <c r="D94" s="521"/>
      <c r="E94" s="468"/>
      <c r="F94" s="468"/>
      <c r="G94" s="468"/>
      <c r="H94" s="468"/>
      <c r="I94" s="468"/>
      <c r="J94" s="468"/>
      <c r="K94" s="468"/>
    </row>
    <row r="95" spans="1:11" ht="12.75" customHeight="1" x14ac:dyDescent="0.2">
      <c r="A95" s="463" t="s">
        <v>1124</v>
      </c>
      <c r="B95" s="470">
        <v>1910</v>
      </c>
      <c r="C95" s="466">
        <v>525</v>
      </c>
      <c r="D95" s="551">
        <v>155574</v>
      </c>
      <c r="E95" s="521"/>
      <c r="F95" s="521"/>
      <c r="G95" s="521"/>
      <c r="H95" s="521"/>
      <c r="I95" s="521"/>
      <c r="J95" s="521"/>
      <c r="K95" s="521"/>
    </row>
    <row r="96" spans="1:11" ht="12.75" customHeight="1" x14ac:dyDescent="0.2">
      <c r="A96" s="463" t="s">
        <v>409</v>
      </c>
      <c r="B96" s="470">
        <v>1920</v>
      </c>
      <c r="C96" s="551">
        <v>41603</v>
      </c>
      <c r="D96" s="551">
        <v>7500</v>
      </c>
      <c r="E96" s="479">
        <v>0</v>
      </c>
      <c r="F96" s="478">
        <v>0</v>
      </c>
      <c r="G96" s="478">
        <v>0</v>
      </c>
      <c r="H96" s="478">
        <v>0</v>
      </c>
      <c r="I96" s="478">
        <v>0</v>
      </c>
      <c r="J96" s="478">
        <v>0</v>
      </c>
      <c r="K96" s="478">
        <v>0</v>
      </c>
    </row>
    <row r="97" spans="1:12" ht="12.75" customHeight="1" x14ac:dyDescent="0.2">
      <c r="A97" s="1509"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303187</v>
      </c>
      <c r="D99" s="466">
        <v>808</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84504</v>
      </c>
      <c r="D101" s="526"/>
      <c r="E101" s="480"/>
      <c r="F101" s="526"/>
      <c r="G101" s="475"/>
      <c r="H101" s="526"/>
      <c r="I101" s="468"/>
      <c r="J101" s="475"/>
      <c r="K101" s="475"/>
    </row>
    <row r="102" spans="1:12" ht="12.75" customHeight="1" x14ac:dyDescent="0.2">
      <c r="A102" s="463" t="s">
        <v>265</v>
      </c>
      <c r="B102" s="470">
        <v>1980</v>
      </c>
      <c r="C102" s="489">
        <v>23395</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10079</v>
      </c>
      <c r="D106" s="489">
        <v>0</v>
      </c>
      <c r="E106" s="467">
        <v>0</v>
      </c>
      <c r="F106" s="467">
        <v>0</v>
      </c>
      <c r="G106" s="467">
        <v>0</v>
      </c>
      <c r="H106" s="467">
        <v>0</v>
      </c>
      <c r="I106" s="521"/>
      <c r="J106" s="467">
        <v>0</v>
      </c>
      <c r="K106" s="467">
        <v>0</v>
      </c>
    </row>
    <row r="107" spans="1:12" ht="12.75" customHeight="1" x14ac:dyDescent="0.2">
      <c r="A107" s="463" t="s">
        <v>80</v>
      </c>
      <c r="B107" s="470">
        <v>1999</v>
      </c>
      <c r="C107" s="551">
        <v>0</v>
      </c>
      <c r="D107" s="466">
        <v>161896</v>
      </c>
      <c r="E107" s="466">
        <v>0</v>
      </c>
      <c r="F107" s="466">
        <v>0</v>
      </c>
      <c r="G107" s="466">
        <v>0</v>
      </c>
      <c r="H107" s="466">
        <v>4964</v>
      </c>
      <c r="I107" s="466">
        <v>0</v>
      </c>
      <c r="J107" s="467">
        <v>0</v>
      </c>
      <c r="K107" s="466">
        <v>0</v>
      </c>
    </row>
    <row r="108" spans="1:12" ht="12.75" customHeight="1" thickBot="1" x14ac:dyDescent="0.25">
      <c r="A108" s="1722" t="s">
        <v>508</v>
      </c>
      <c r="B108" s="1726"/>
      <c r="C108" s="1721">
        <f>SUM(C95:C107)</f>
        <v>463293</v>
      </c>
      <c r="D108" s="1721">
        <f t="shared" ref="D108:K108" si="3">SUM(D95:D107)</f>
        <v>325778</v>
      </c>
      <c r="E108" s="1721">
        <f t="shared" si="3"/>
        <v>0</v>
      </c>
      <c r="F108" s="1721">
        <f t="shared" si="3"/>
        <v>0</v>
      </c>
      <c r="G108" s="1721">
        <f t="shared" si="3"/>
        <v>0</v>
      </c>
      <c r="H108" s="1721">
        <f t="shared" si="3"/>
        <v>4964</v>
      </c>
      <c r="I108" s="1721">
        <f t="shared" si="3"/>
        <v>0</v>
      </c>
      <c r="J108" s="1721">
        <f t="shared" si="3"/>
        <v>0</v>
      </c>
      <c r="K108" s="1702">
        <f t="shared" si="3"/>
        <v>0</v>
      </c>
    </row>
    <row r="109" spans="1:12" ht="14.25" thickTop="1" thickBot="1" x14ac:dyDescent="0.25">
      <c r="A109" s="1727" t="s">
        <v>266</v>
      </c>
      <c r="B109" s="1728" t="s">
        <v>591</v>
      </c>
      <c r="C109" s="1729">
        <f t="shared" ref="C109:K109" si="4">SUM(C12,C18,C40,C63,C67,C75,C82,C93,C108,)</f>
        <v>36811557</v>
      </c>
      <c r="D109" s="1729">
        <f t="shared" si="4"/>
        <v>5504319</v>
      </c>
      <c r="E109" s="1729">
        <f t="shared" si="4"/>
        <v>6031476</v>
      </c>
      <c r="F109" s="1729">
        <f t="shared" si="4"/>
        <v>1843706</v>
      </c>
      <c r="G109" s="1729">
        <f t="shared" si="4"/>
        <v>1536492</v>
      </c>
      <c r="H109" s="1729">
        <f t="shared" si="4"/>
        <v>476631</v>
      </c>
      <c r="I109" s="1729">
        <f t="shared" si="4"/>
        <v>55404</v>
      </c>
      <c r="J109" s="1729">
        <f t="shared" si="4"/>
        <v>0</v>
      </c>
      <c r="K109" s="1716">
        <f t="shared" si="4"/>
        <v>0</v>
      </c>
    </row>
    <row r="110" spans="1:12" ht="30" customHeight="1" thickTop="1" x14ac:dyDescent="0.2">
      <c r="A110" s="1599" t="s">
        <v>364</v>
      </c>
      <c r="B110" s="1600"/>
      <c r="C110" s="1585"/>
      <c r="D110" s="1585"/>
      <c r="E110" s="1585"/>
      <c r="F110" s="1585"/>
      <c r="G110" s="1585"/>
      <c r="H110" s="1585"/>
      <c r="I110" s="1585"/>
      <c r="J110" s="1585"/>
      <c r="K110" s="1586"/>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0" t="s">
        <v>839</v>
      </c>
      <c r="B114" s="1731" t="s">
        <v>590</v>
      </c>
      <c r="C114" s="1732">
        <f>SUM(C111:C113)</f>
        <v>0</v>
      </c>
      <c r="D114" s="1732">
        <f>SUM(D111:D113)</f>
        <v>0</v>
      </c>
      <c r="E114" s="561" t="s">
        <v>1231</v>
      </c>
      <c r="F114" s="1732">
        <f>SUM(F111:F113)</f>
        <v>0</v>
      </c>
      <c r="G114" s="1732">
        <f>SUM(G111:G113)</f>
        <v>0</v>
      </c>
      <c r="H114" s="561"/>
      <c r="I114" s="468"/>
      <c r="J114" s="468"/>
      <c r="K114" s="468"/>
    </row>
    <row r="115" spans="1:11" ht="16.7" customHeight="1" thickTop="1" x14ac:dyDescent="0.2">
      <c r="A115" s="1601" t="s">
        <v>836</v>
      </c>
      <c r="B115" s="1602"/>
      <c r="C115" s="1584"/>
      <c r="D115" s="1585"/>
      <c r="E115" s="1585"/>
      <c r="F115" s="1585"/>
      <c r="G115" s="1585"/>
      <c r="H115" s="1585"/>
      <c r="I115" s="1585"/>
      <c r="J115" s="1585"/>
      <c r="K115" s="1586"/>
    </row>
    <row r="116" spans="1:11" ht="18" customHeight="1" x14ac:dyDescent="0.2">
      <c r="A116" s="1609" t="s">
        <v>1571</v>
      </c>
      <c r="B116" s="1610"/>
      <c r="C116" s="522"/>
      <c r="D116" s="521"/>
      <c r="E116" s="561"/>
      <c r="F116" s="521"/>
      <c r="G116" s="521"/>
      <c r="H116" s="561"/>
      <c r="I116" s="468"/>
      <c r="J116" s="521"/>
      <c r="K116" s="521"/>
    </row>
    <row r="117" spans="1:11" ht="12.75" customHeight="1" x14ac:dyDescent="0.2">
      <c r="A117" s="463" t="s">
        <v>1766</v>
      </c>
      <c r="B117" s="562">
        <v>3001</v>
      </c>
      <c r="C117" s="516">
        <v>1059189</v>
      </c>
      <c r="D117" s="481">
        <v>0</v>
      </c>
      <c r="E117" s="466">
        <v>0</v>
      </c>
      <c r="F117" s="481">
        <v>0</v>
      </c>
      <c r="G117" s="481">
        <v>0</v>
      </c>
      <c r="H117" s="466">
        <v>1000000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0"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22" t="s">
        <v>509</v>
      </c>
      <c r="B121" s="1733"/>
      <c r="C121" s="1721">
        <f t="shared" ref="C121:H121" si="5">SUM(C117:C120)</f>
        <v>1059189</v>
      </c>
      <c r="D121" s="1721">
        <f t="shared" si="5"/>
        <v>0</v>
      </c>
      <c r="E121" s="1721">
        <f t="shared" si="5"/>
        <v>0</v>
      </c>
      <c r="F121" s="1721">
        <f t="shared" si="5"/>
        <v>0</v>
      </c>
      <c r="G121" s="1721">
        <f t="shared" si="5"/>
        <v>0</v>
      </c>
      <c r="H121" s="1721">
        <f t="shared" si="5"/>
        <v>1000000</v>
      </c>
      <c r="I121" s="468"/>
      <c r="J121" s="1721">
        <f>SUM(J117:J120)</f>
        <v>0</v>
      </c>
      <c r="K121" s="1702">
        <f>SUM(K117:K120)</f>
        <v>0</v>
      </c>
    </row>
    <row r="122" spans="1:11" ht="15.75" customHeight="1" thickTop="1" x14ac:dyDescent="0.2">
      <c r="A122" s="1606" t="s">
        <v>1570</v>
      </c>
      <c r="B122" s="1611"/>
      <c r="C122" s="565"/>
      <c r="D122" s="509"/>
      <c r="E122" s="468"/>
      <c r="F122" s="566"/>
      <c r="G122" s="468"/>
      <c r="H122" s="468"/>
      <c r="I122" s="468"/>
      <c r="J122" s="468"/>
      <c r="K122" s="468"/>
    </row>
    <row r="123" spans="1:11" ht="15" customHeight="1" x14ac:dyDescent="0.2">
      <c r="A123" s="1612" t="s">
        <v>688</v>
      </c>
      <c r="B123" s="1613"/>
      <c r="C123" s="521"/>
      <c r="D123" s="509"/>
      <c r="E123" s="468"/>
      <c r="F123" s="521"/>
      <c r="G123" s="468"/>
      <c r="H123" s="468"/>
      <c r="I123" s="468"/>
      <c r="J123" s="468"/>
      <c r="K123" s="468"/>
    </row>
    <row r="124" spans="1:11" ht="12.75" customHeight="1" x14ac:dyDescent="0.2">
      <c r="A124" s="463" t="s">
        <v>921</v>
      </c>
      <c r="B124" s="567">
        <v>3100</v>
      </c>
      <c r="C124" s="481">
        <v>122266</v>
      </c>
      <c r="D124" s="561"/>
      <c r="E124" s="468"/>
      <c r="F124" s="548">
        <v>0</v>
      </c>
      <c r="G124" s="468"/>
      <c r="H124" s="468"/>
      <c r="I124" s="468"/>
      <c r="J124" s="468"/>
      <c r="K124" s="468"/>
    </row>
    <row r="125" spans="1:11" ht="12.75" customHeight="1" x14ac:dyDescent="0.2">
      <c r="A125" s="463" t="s">
        <v>1521</v>
      </c>
      <c r="B125" s="562">
        <v>3105</v>
      </c>
      <c r="C125" s="466">
        <v>85327</v>
      </c>
      <c r="D125" s="561"/>
      <c r="E125" s="468"/>
      <c r="F125" s="466">
        <v>0</v>
      </c>
      <c r="G125" s="468"/>
      <c r="H125" s="468"/>
      <c r="I125" s="468"/>
      <c r="J125" s="468"/>
      <c r="K125" s="468"/>
    </row>
    <row r="126" spans="1:11" ht="12.75" customHeight="1" x14ac:dyDescent="0.2">
      <c r="A126" s="463" t="s">
        <v>922</v>
      </c>
      <c r="B126" s="562">
        <v>3110</v>
      </c>
      <c r="C126" s="551">
        <v>82342</v>
      </c>
      <c r="D126" s="466">
        <v>0</v>
      </c>
      <c r="E126" s="468"/>
      <c r="F126" s="466">
        <v>0</v>
      </c>
      <c r="G126" s="468"/>
      <c r="H126" s="468"/>
      <c r="I126" s="468"/>
      <c r="J126" s="468"/>
      <c r="K126" s="468"/>
    </row>
    <row r="127" spans="1:11" ht="12.75" customHeight="1" x14ac:dyDescent="0.2">
      <c r="A127" s="463" t="s">
        <v>107</v>
      </c>
      <c r="B127" s="562">
        <v>3120</v>
      </c>
      <c r="C127" s="466">
        <v>226149</v>
      </c>
      <c r="D127" s="561"/>
      <c r="E127" s="468"/>
      <c r="F127" s="466">
        <v>0</v>
      </c>
      <c r="G127" s="468"/>
      <c r="H127" s="468"/>
      <c r="I127" s="468"/>
      <c r="J127" s="468"/>
      <c r="K127" s="468"/>
    </row>
    <row r="128" spans="1:11" ht="12.75" customHeight="1" x14ac:dyDescent="0.2">
      <c r="A128" s="463" t="s">
        <v>1522</v>
      </c>
      <c r="B128" s="562">
        <v>3130</v>
      </c>
      <c r="C128" s="466">
        <v>50237</v>
      </c>
      <c r="D128" s="561"/>
      <c r="E128" s="468"/>
      <c r="F128" s="466">
        <v>0</v>
      </c>
      <c r="G128" s="468"/>
      <c r="H128" s="468"/>
      <c r="I128" s="468"/>
      <c r="J128" s="468"/>
      <c r="K128" s="468"/>
    </row>
    <row r="129" spans="1:11" ht="12.75" customHeight="1" x14ac:dyDescent="0.2">
      <c r="A129" s="463" t="s">
        <v>139</v>
      </c>
      <c r="B129" s="562">
        <v>3145</v>
      </c>
      <c r="C129" s="466">
        <v>1580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2" t="s">
        <v>1092</v>
      </c>
      <c r="B131" s="1734"/>
      <c r="C131" s="1721">
        <f>SUM(C124:C130)</f>
        <v>567901</v>
      </c>
      <c r="D131" s="1721">
        <f>SUM(D124:D130)</f>
        <v>0</v>
      </c>
      <c r="E131" s="469" t="s">
        <v>1231</v>
      </c>
      <c r="F131" s="1721">
        <f>SUM(F124:F130)</f>
        <v>0</v>
      </c>
      <c r="G131" s="468" t="s">
        <v>1231</v>
      </c>
      <c r="H131" s="468" t="s">
        <v>1231</v>
      </c>
      <c r="I131" s="468" t="s">
        <v>1231</v>
      </c>
      <c r="J131" s="468" t="s">
        <v>1231</v>
      </c>
      <c r="K131" s="468" t="s">
        <v>1231</v>
      </c>
    </row>
    <row r="132" spans="1:11" ht="15.75" customHeight="1" thickTop="1" x14ac:dyDescent="0.2">
      <c r="A132" s="1614" t="s">
        <v>268</v>
      </c>
      <c r="B132" s="1615"/>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42423</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2" t="s">
        <v>624</v>
      </c>
      <c r="B140" s="1734"/>
      <c r="C140" s="1721">
        <f>SUM(C133:C139)</f>
        <v>42423</v>
      </c>
      <c r="D140" s="1721">
        <f>SUM(D133:D139)</f>
        <v>0</v>
      </c>
      <c r="E140" s="561" t="s">
        <v>1231</v>
      </c>
      <c r="F140" s="477"/>
      <c r="G140" s="1721">
        <f>SUM(G133:G139)</f>
        <v>0</v>
      </c>
      <c r="H140" s="468" t="s">
        <v>1231</v>
      </c>
      <c r="I140" s="468" t="s">
        <v>1231</v>
      </c>
      <c r="J140" s="468" t="s">
        <v>1231</v>
      </c>
      <c r="K140" s="468" t="s">
        <v>1231</v>
      </c>
    </row>
    <row r="141" spans="1:11" ht="15.75" customHeight="1" thickTop="1" x14ac:dyDescent="0.2">
      <c r="A141" s="1614" t="s">
        <v>691</v>
      </c>
      <c r="B141" s="1615"/>
      <c r="C141" s="553"/>
      <c r="D141" s="566"/>
      <c r="E141" s="561"/>
      <c r="F141" s="553"/>
      <c r="G141" s="553"/>
      <c r="H141" s="468"/>
      <c r="I141" s="468"/>
      <c r="J141" s="468"/>
      <c r="K141" s="468"/>
    </row>
    <row r="142" spans="1:11" ht="12.75" customHeight="1" x14ac:dyDescent="0.2">
      <c r="A142" s="463" t="s">
        <v>625</v>
      </c>
      <c r="B142" s="562">
        <v>3305</v>
      </c>
      <c r="C142" s="466">
        <v>7389</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2" t="s">
        <v>414</v>
      </c>
      <c r="B144" s="1734"/>
      <c r="C144" s="1702">
        <f>SUM(C142:C143)</f>
        <v>7389</v>
      </c>
      <c r="D144" s="468"/>
      <c r="E144" s="509"/>
      <c r="F144" s="468"/>
      <c r="G144" s="1735">
        <f>SUM(G142:G143)</f>
        <v>0</v>
      </c>
      <c r="H144" s="468"/>
      <c r="I144" s="468"/>
      <c r="J144" s="468"/>
      <c r="K144" s="468"/>
    </row>
    <row r="145" spans="1:11" s="202" customFormat="1" ht="12.75" customHeight="1" thickTop="1" x14ac:dyDescent="0.2">
      <c r="A145" s="1512" t="s">
        <v>1116</v>
      </c>
      <c r="B145" s="568">
        <v>3360</v>
      </c>
      <c r="C145" s="569">
        <v>2734</v>
      </c>
      <c r="D145" s="570"/>
      <c r="E145" s="509"/>
      <c r="F145" s="468"/>
      <c r="G145" s="571"/>
      <c r="H145" s="468"/>
      <c r="I145" s="468"/>
      <c r="J145" s="468"/>
      <c r="K145" s="468"/>
    </row>
    <row r="146" spans="1:11" ht="12.75" customHeight="1" thickBot="1" x14ac:dyDescent="0.25">
      <c r="A146" s="1513" t="s">
        <v>979</v>
      </c>
      <c r="B146" s="572">
        <v>3365</v>
      </c>
      <c r="C146" s="573">
        <v>0</v>
      </c>
      <c r="D146" s="532">
        <v>0</v>
      </c>
      <c r="E146" s="561"/>
      <c r="F146" s="468"/>
      <c r="G146" s="532">
        <v>0</v>
      </c>
      <c r="H146" s="468"/>
      <c r="I146" s="468"/>
      <c r="J146" s="468"/>
      <c r="K146" s="468"/>
    </row>
    <row r="147" spans="1:11" ht="12.75" customHeight="1" thickTop="1" thickBot="1" x14ac:dyDescent="0.25">
      <c r="A147" s="1514" t="s">
        <v>140</v>
      </c>
      <c r="B147" s="574">
        <v>3370</v>
      </c>
      <c r="C147" s="573">
        <v>99615</v>
      </c>
      <c r="D147" s="573">
        <v>0</v>
      </c>
      <c r="E147" s="509"/>
      <c r="F147" s="468"/>
      <c r="G147" s="468"/>
      <c r="H147" s="468"/>
      <c r="I147" s="468"/>
      <c r="J147" s="468"/>
      <c r="K147" s="468"/>
    </row>
    <row r="148" spans="1:11" ht="12.75" customHeight="1" thickTop="1" thickBot="1" x14ac:dyDescent="0.25">
      <c r="A148" s="1514"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4"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4" t="s">
        <v>473</v>
      </c>
      <c r="B150" s="1616"/>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47078</v>
      </c>
      <c r="G151" s="467">
        <v>0</v>
      </c>
      <c r="H151" s="468"/>
      <c r="I151" s="468"/>
      <c r="J151" s="468"/>
      <c r="K151" s="468"/>
    </row>
    <row r="152" spans="1:11" ht="12.75" customHeight="1" x14ac:dyDescent="0.2">
      <c r="A152" s="463" t="s">
        <v>1117</v>
      </c>
      <c r="B152" s="562">
        <v>3510</v>
      </c>
      <c r="C152" s="551">
        <v>0</v>
      </c>
      <c r="D152" s="466">
        <v>0</v>
      </c>
      <c r="E152" s="561"/>
      <c r="F152" s="466">
        <v>298559</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2" t="s">
        <v>96</v>
      </c>
      <c r="B154" s="1734"/>
      <c r="C154" s="1721">
        <f>SUM(C151:C153)</f>
        <v>0</v>
      </c>
      <c r="D154" s="1721">
        <f>SUM(D151:D153)</f>
        <v>0</v>
      </c>
      <c r="E154" s="561"/>
      <c r="F154" s="1721">
        <f>SUM(F151:F153)</f>
        <v>345637</v>
      </c>
      <c r="G154" s="1721">
        <f>SUM(G151:G153)</f>
        <v>0</v>
      </c>
      <c r="H154" s="468"/>
      <c r="I154" s="468"/>
      <c r="J154" s="468"/>
      <c r="K154" s="468"/>
    </row>
    <row r="155" spans="1:11" ht="12.75" customHeight="1" thickTop="1" thickBot="1" x14ac:dyDescent="0.25">
      <c r="A155" s="1514" t="s">
        <v>398</v>
      </c>
      <c r="B155" s="574">
        <v>3610</v>
      </c>
      <c r="C155" s="576">
        <v>0</v>
      </c>
      <c r="D155" s="468"/>
      <c r="E155" s="509"/>
      <c r="F155" s="468"/>
      <c r="G155" s="468"/>
      <c r="H155" s="468"/>
      <c r="I155" s="468"/>
      <c r="J155" s="468"/>
      <c r="K155" s="468"/>
    </row>
    <row r="156" spans="1:11" ht="12.75" customHeight="1" thickTop="1" thickBot="1" x14ac:dyDescent="0.25">
      <c r="A156" s="1514" t="s">
        <v>52</v>
      </c>
      <c r="B156" s="574">
        <v>3660</v>
      </c>
      <c r="C156" s="573">
        <v>0</v>
      </c>
      <c r="D156" s="578">
        <v>0</v>
      </c>
      <c r="E156" s="561"/>
      <c r="F156" s="578">
        <v>0</v>
      </c>
      <c r="G156" s="578">
        <v>0</v>
      </c>
      <c r="H156" s="468"/>
      <c r="I156" s="468"/>
      <c r="J156" s="468"/>
      <c r="K156" s="468"/>
    </row>
    <row r="157" spans="1:11" ht="12.75" customHeight="1" thickTop="1" thickBot="1" x14ac:dyDescent="0.25">
      <c r="A157" s="1514" t="s">
        <v>1057</v>
      </c>
      <c r="B157" s="574">
        <v>3695</v>
      </c>
      <c r="C157" s="576">
        <v>0</v>
      </c>
      <c r="D157" s="468"/>
      <c r="E157" s="561"/>
      <c r="F157" s="576">
        <v>0</v>
      </c>
      <c r="G157" s="576">
        <v>0</v>
      </c>
      <c r="H157" s="468"/>
      <c r="I157" s="468"/>
      <c r="J157" s="468"/>
      <c r="K157" s="468"/>
    </row>
    <row r="158" spans="1:11" ht="12.75" customHeight="1" thickTop="1" thickBot="1" x14ac:dyDescent="0.25">
      <c r="A158" s="1514" t="s">
        <v>1111</v>
      </c>
      <c r="B158" s="574">
        <v>3705</v>
      </c>
      <c r="C158" s="576">
        <v>0</v>
      </c>
      <c r="D158" s="578">
        <v>0</v>
      </c>
      <c r="E158" s="561"/>
      <c r="F158" s="576">
        <v>0</v>
      </c>
      <c r="G158" s="576">
        <v>0</v>
      </c>
      <c r="H158" s="468"/>
      <c r="I158" s="468"/>
      <c r="J158" s="468"/>
      <c r="K158" s="468"/>
    </row>
    <row r="159" spans="1:11" ht="12.75" customHeight="1" thickTop="1" thickBot="1" x14ac:dyDescent="0.25">
      <c r="A159" s="1514" t="s">
        <v>39</v>
      </c>
      <c r="B159" s="574">
        <v>3715</v>
      </c>
      <c r="C159" s="576">
        <v>0</v>
      </c>
      <c r="D159" s="468"/>
      <c r="E159" s="561"/>
      <c r="F159" s="576">
        <v>0</v>
      </c>
      <c r="G159" s="576">
        <v>0</v>
      </c>
      <c r="H159" s="468"/>
      <c r="I159" s="468"/>
      <c r="J159" s="468"/>
      <c r="K159" s="468"/>
    </row>
    <row r="160" spans="1:11" ht="12.75" customHeight="1" thickTop="1" thickBot="1" x14ac:dyDescent="0.25">
      <c r="A160" s="1514" t="s">
        <v>40</v>
      </c>
      <c r="B160" s="574">
        <v>3720</v>
      </c>
      <c r="C160" s="576">
        <v>0</v>
      </c>
      <c r="D160" s="468"/>
      <c r="E160" s="561"/>
      <c r="F160" s="576">
        <v>0</v>
      </c>
      <c r="G160" s="576">
        <v>0</v>
      </c>
      <c r="H160" s="468"/>
      <c r="I160" s="468"/>
      <c r="J160" s="468"/>
      <c r="K160" s="468"/>
    </row>
    <row r="161" spans="1:11" ht="12.75" customHeight="1" thickTop="1" thickBot="1" x14ac:dyDescent="0.25">
      <c r="A161" s="1514" t="s">
        <v>415</v>
      </c>
      <c r="B161" s="574">
        <v>3725</v>
      </c>
      <c r="C161" s="531">
        <v>0</v>
      </c>
      <c r="D161" s="468"/>
      <c r="E161" s="561"/>
      <c r="F161" s="531">
        <v>0</v>
      </c>
      <c r="G161" s="531">
        <v>0</v>
      </c>
      <c r="H161" s="468"/>
      <c r="I161" s="468"/>
      <c r="J161" s="468"/>
      <c r="K161" s="468"/>
    </row>
    <row r="162" spans="1:11" ht="12.75" customHeight="1" thickTop="1" thickBot="1" x14ac:dyDescent="0.25">
      <c r="A162" s="1514" t="s">
        <v>416</v>
      </c>
      <c r="B162" s="574">
        <v>3726</v>
      </c>
      <c r="C162" s="531">
        <v>0</v>
      </c>
      <c r="D162" s="468"/>
      <c r="E162" s="561"/>
      <c r="F162" s="531">
        <v>0</v>
      </c>
      <c r="G162" s="531">
        <v>0</v>
      </c>
      <c r="H162" s="468"/>
      <c r="I162" s="468"/>
      <c r="J162" s="468"/>
      <c r="K162" s="468"/>
    </row>
    <row r="163" spans="1:11" ht="12.75" customHeight="1" thickTop="1" thickBot="1" x14ac:dyDescent="0.25">
      <c r="A163" s="1514" t="s">
        <v>41</v>
      </c>
      <c r="B163" s="574">
        <v>3766</v>
      </c>
      <c r="C163" s="576">
        <v>0</v>
      </c>
      <c r="D163" s="578">
        <v>0</v>
      </c>
      <c r="E163" s="561"/>
      <c r="F163" s="576">
        <v>0</v>
      </c>
      <c r="G163" s="531">
        <v>0</v>
      </c>
      <c r="H163" s="468"/>
      <c r="I163" s="468"/>
      <c r="J163" s="468"/>
      <c r="K163" s="468"/>
    </row>
    <row r="164" spans="1:11" ht="12.75" customHeight="1" thickTop="1" thickBot="1" x14ac:dyDescent="0.25">
      <c r="A164" s="1514" t="s">
        <v>1042</v>
      </c>
      <c r="B164" s="574">
        <v>3767</v>
      </c>
      <c r="C164" s="576">
        <v>0</v>
      </c>
      <c r="D164" s="531">
        <v>0</v>
      </c>
      <c r="E164" s="561"/>
      <c r="F164" s="531">
        <v>0</v>
      </c>
      <c r="G164" s="531">
        <v>0</v>
      </c>
      <c r="H164" s="468"/>
      <c r="I164" s="468"/>
      <c r="J164" s="468"/>
      <c r="K164" s="468"/>
    </row>
    <row r="165" spans="1:11" ht="12.75" customHeight="1" thickTop="1" thickBot="1" x14ac:dyDescent="0.25">
      <c r="A165" s="1514"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4"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4" t="s">
        <v>913</v>
      </c>
      <c r="B167" s="574">
        <v>3815</v>
      </c>
      <c r="C167" s="576">
        <v>0</v>
      </c>
      <c r="D167" s="468"/>
      <c r="E167" s="561"/>
      <c r="F167" s="576">
        <v>0</v>
      </c>
      <c r="G167" s="468"/>
      <c r="H167" s="468"/>
      <c r="I167" s="468"/>
      <c r="J167" s="468"/>
      <c r="K167" s="468"/>
    </row>
    <row r="168" spans="1:11" ht="12.75" customHeight="1" thickTop="1" thickBot="1" x14ac:dyDescent="0.25">
      <c r="A168" s="1514" t="s">
        <v>417</v>
      </c>
      <c r="B168" s="574">
        <v>3825</v>
      </c>
      <c r="C168" s="576">
        <v>0</v>
      </c>
      <c r="D168" s="468"/>
      <c r="E168" s="561"/>
      <c r="F168" s="576">
        <v>0</v>
      </c>
      <c r="G168" s="468"/>
      <c r="H168" s="468"/>
      <c r="I168" s="468"/>
      <c r="J168" s="468"/>
      <c r="K168" s="468"/>
    </row>
    <row r="169" spans="1:11" ht="12.75" customHeight="1" thickTop="1" thickBot="1" x14ac:dyDescent="0.25">
      <c r="A169" s="1514" t="s">
        <v>366</v>
      </c>
      <c r="B169" s="574">
        <v>3920</v>
      </c>
      <c r="C169" s="566"/>
      <c r="D169" s="578">
        <v>0</v>
      </c>
      <c r="E169" s="468"/>
      <c r="F169" s="566"/>
      <c r="G169" s="468"/>
      <c r="H169" s="530">
        <v>0</v>
      </c>
      <c r="I169" s="468"/>
      <c r="J169" s="468"/>
      <c r="K169" s="468"/>
    </row>
    <row r="170" spans="1:11" ht="12.75" customHeight="1" thickTop="1" thickBot="1" x14ac:dyDescent="0.25">
      <c r="A170" s="1514" t="s">
        <v>367</v>
      </c>
      <c r="B170" s="574">
        <v>3925</v>
      </c>
      <c r="C170" s="521"/>
      <c r="D170" s="576">
        <v>0</v>
      </c>
      <c r="E170" s="521"/>
      <c r="F170" s="521"/>
      <c r="G170" s="468"/>
      <c r="H170" s="531">
        <v>0</v>
      </c>
      <c r="I170" s="468"/>
      <c r="J170" s="468"/>
      <c r="K170" s="530">
        <v>0</v>
      </c>
    </row>
    <row r="171" spans="1:11" ht="14.25" thickTop="1" thickBot="1" x14ac:dyDescent="0.25">
      <c r="A171" s="1514" t="s">
        <v>72</v>
      </c>
      <c r="B171" s="574">
        <v>3999</v>
      </c>
      <c r="C171" s="579">
        <v>1678</v>
      </c>
      <c r="D171" s="580">
        <v>0</v>
      </c>
      <c r="E171" s="580">
        <v>0</v>
      </c>
      <c r="F171" s="580">
        <v>0</v>
      </c>
      <c r="G171" s="581">
        <v>0</v>
      </c>
      <c r="H171" s="582">
        <v>0</v>
      </c>
      <c r="I171" s="581">
        <v>0</v>
      </c>
      <c r="J171" s="581">
        <v>0</v>
      </c>
      <c r="K171" s="582">
        <v>0</v>
      </c>
    </row>
    <row r="172" spans="1:11" ht="12.75" customHeight="1" thickTop="1" thickBot="1" x14ac:dyDescent="0.25">
      <c r="A172" s="2179" t="s">
        <v>418</v>
      </c>
      <c r="B172" s="2180"/>
      <c r="C172" s="1736">
        <f t="shared" ref="C172:K172" si="6">SUM(C131,C140,C144,C145:C149,C154,C155:C170,C171)</f>
        <v>721740</v>
      </c>
      <c r="D172" s="1736">
        <f t="shared" si="6"/>
        <v>0</v>
      </c>
      <c r="E172" s="1736">
        <f t="shared" si="6"/>
        <v>0</v>
      </c>
      <c r="F172" s="1736">
        <f t="shared" si="6"/>
        <v>345637</v>
      </c>
      <c r="G172" s="1736">
        <f t="shared" si="6"/>
        <v>0</v>
      </c>
      <c r="H172" s="1736">
        <f t="shared" si="6"/>
        <v>0</v>
      </c>
      <c r="I172" s="1736">
        <f t="shared" si="6"/>
        <v>0</v>
      </c>
      <c r="J172" s="1736">
        <f t="shared" si="6"/>
        <v>0</v>
      </c>
      <c r="K172" s="1717">
        <f t="shared" si="6"/>
        <v>0</v>
      </c>
    </row>
    <row r="173" spans="1:11" ht="12.75" customHeight="1" thickTop="1" thickBot="1" x14ac:dyDescent="0.25">
      <c r="A173" s="1722" t="s">
        <v>419</v>
      </c>
      <c r="B173" s="1728" t="s">
        <v>596</v>
      </c>
      <c r="C173" s="1729">
        <f>SUM(C121,C172)</f>
        <v>1780929</v>
      </c>
      <c r="D173" s="1729">
        <f>SUM(D121,D172)</f>
        <v>0</v>
      </c>
      <c r="E173" s="1729">
        <f>SUM(E121,E172)</f>
        <v>0</v>
      </c>
      <c r="F173" s="1729">
        <f t="shared" ref="F173:K173" si="7">SUM(F121,F172)</f>
        <v>345637</v>
      </c>
      <c r="G173" s="1729">
        <f t="shared" si="7"/>
        <v>0</v>
      </c>
      <c r="H173" s="1729">
        <f t="shared" si="7"/>
        <v>1000000</v>
      </c>
      <c r="I173" s="1729">
        <f t="shared" si="7"/>
        <v>0</v>
      </c>
      <c r="J173" s="1729">
        <f t="shared" si="7"/>
        <v>0</v>
      </c>
      <c r="K173" s="1716">
        <f t="shared" si="7"/>
        <v>0</v>
      </c>
    </row>
    <row r="174" spans="1:11" ht="16.7" customHeight="1" thickTop="1" x14ac:dyDescent="0.2">
      <c r="A174" s="1603" t="s">
        <v>837</v>
      </c>
      <c r="B174" s="1581"/>
      <c r="C174" s="1584"/>
      <c r="D174" s="1585"/>
      <c r="E174" s="1585"/>
      <c r="F174" s="1585"/>
      <c r="G174" s="1585"/>
      <c r="H174" s="1585"/>
      <c r="I174" s="1585"/>
      <c r="J174" s="1585"/>
      <c r="K174" s="1586"/>
    </row>
    <row r="175" spans="1:11" ht="15.75" customHeight="1" x14ac:dyDescent="0.2">
      <c r="A175" s="2181" t="s">
        <v>1572</v>
      </c>
      <c r="B175" s="2182"/>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85" t="s">
        <v>1764</v>
      </c>
      <c r="B178" s="2186"/>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189" t="s">
        <v>1763</v>
      </c>
      <c r="B179" s="2190"/>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87" t="s">
        <v>818</v>
      </c>
      <c r="B184" s="2188"/>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183" t="s">
        <v>1903</v>
      </c>
      <c r="B185" s="2184"/>
      <c r="C185" s="584"/>
      <c r="D185" s="566"/>
      <c r="E185" s="509"/>
      <c r="F185" s="566"/>
      <c r="G185" s="566"/>
      <c r="H185" s="468"/>
      <c r="I185" s="468"/>
      <c r="J185" s="468"/>
      <c r="K185" s="468"/>
    </row>
    <row r="186" spans="1:11" ht="15.75" customHeight="1" x14ac:dyDescent="0.2">
      <c r="A186" s="1617" t="s">
        <v>1692</v>
      </c>
      <c r="B186" s="1618"/>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2" t="s">
        <v>1697</v>
      </c>
      <c r="B191" s="1723"/>
      <c r="C191" s="1721">
        <f>SUM(C187:C190)</f>
        <v>0</v>
      </c>
      <c r="D191" s="1721">
        <f>SUM(D187:D190)</f>
        <v>0</v>
      </c>
      <c r="E191" s="561"/>
      <c r="F191" s="1721">
        <f>SUM(F187:F190)</f>
        <v>0</v>
      </c>
      <c r="G191" s="1721">
        <f>SUM(G187:G190)</f>
        <v>0</v>
      </c>
      <c r="H191" s="468"/>
      <c r="I191" s="468"/>
      <c r="J191" s="468"/>
      <c r="K191" s="468"/>
    </row>
    <row r="192" spans="1:11" ht="15.75" customHeight="1" thickTop="1" x14ac:dyDescent="0.2">
      <c r="A192" s="1614" t="s">
        <v>475</v>
      </c>
      <c r="B192" s="1619"/>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2" t="s">
        <v>569</v>
      </c>
      <c r="B201" s="1723"/>
      <c r="C201" s="1702">
        <f>SUM(C193:C200)</f>
        <v>0</v>
      </c>
      <c r="D201" s="468"/>
      <c r="E201" s="468"/>
      <c r="F201" s="468"/>
      <c r="G201" s="1702">
        <f>SUM(G193:G200)</f>
        <v>0</v>
      </c>
      <c r="H201" s="468"/>
      <c r="I201" s="468"/>
      <c r="J201" s="468"/>
      <c r="K201" s="468"/>
    </row>
    <row r="202" spans="1:11" ht="15.75" customHeight="1" thickTop="1" x14ac:dyDescent="0.2">
      <c r="A202" s="1614" t="s">
        <v>1200</v>
      </c>
      <c r="B202" s="1619"/>
      <c r="C202" s="553"/>
      <c r="D202" s="468"/>
      <c r="E202" s="468"/>
      <c r="F202" s="468"/>
      <c r="G202" s="468"/>
      <c r="H202" s="468"/>
      <c r="I202" s="468"/>
      <c r="J202" s="468"/>
      <c r="K202" s="468"/>
    </row>
    <row r="203" spans="1:11" ht="12.75" customHeight="1" x14ac:dyDescent="0.2">
      <c r="A203" s="463" t="s">
        <v>974</v>
      </c>
      <c r="B203" s="470">
        <v>4300</v>
      </c>
      <c r="C203" s="466">
        <v>229215</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2" t="s">
        <v>420</v>
      </c>
      <c r="B211" s="1723"/>
      <c r="C211" s="1721">
        <f>SUM(C203:C210)</f>
        <v>229215</v>
      </c>
      <c r="D211" s="1721">
        <f>SUM(D203:D210)</f>
        <v>0</v>
      </c>
      <c r="E211" s="468"/>
      <c r="F211" s="1721">
        <f>SUM(F203:F210)</f>
        <v>0</v>
      </c>
      <c r="G211" s="1721">
        <f>SUM(G203:G210)</f>
        <v>0</v>
      </c>
      <c r="H211" s="468"/>
      <c r="I211" s="468"/>
      <c r="J211" s="468"/>
      <c r="K211" s="468"/>
    </row>
    <row r="212" spans="1:11" ht="15.75" customHeight="1" thickTop="1" x14ac:dyDescent="0.2">
      <c r="A212" s="1614" t="s">
        <v>1201</v>
      </c>
      <c r="B212" s="1619"/>
      <c r="C212" s="553"/>
      <c r="D212" s="553"/>
      <c r="E212" s="468"/>
      <c r="F212" s="553"/>
      <c r="G212" s="553"/>
      <c r="H212" s="468"/>
      <c r="I212" s="468"/>
      <c r="J212" s="468"/>
      <c r="K212" s="468"/>
    </row>
    <row r="213" spans="1:11" ht="12.75" customHeight="1" x14ac:dyDescent="0.2">
      <c r="A213" s="463" t="s">
        <v>783</v>
      </c>
      <c r="B213" s="470">
        <v>4400</v>
      </c>
      <c r="C213" s="551">
        <v>14500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2" t="s">
        <v>944</v>
      </c>
      <c r="B216" s="1723"/>
      <c r="C216" s="1721">
        <f>SUM(C213:C215)</f>
        <v>14500</v>
      </c>
      <c r="D216" s="1721">
        <f>SUM(D213:D215)</f>
        <v>0</v>
      </c>
      <c r="E216" s="468" t="s">
        <v>1231</v>
      </c>
      <c r="F216" s="1721">
        <f>SUM(F213:F215)</f>
        <v>0</v>
      </c>
      <c r="G216" s="1721">
        <f>SUM(G213:G215)</f>
        <v>0</v>
      </c>
      <c r="H216" s="468"/>
      <c r="I216" s="468"/>
      <c r="J216" s="468"/>
      <c r="K216" s="468"/>
    </row>
    <row r="217" spans="1:11" ht="15.75" customHeight="1" thickTop="1" x14ac:dyDescent="0.2">
      <c r="A217" s="1614" t="s">
        <v>1154</v>
      </c>
      <c r="B217" s="1619"/>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477225</v>
      </c>
      <c r="D220" s="466">
        <v>0</v>
      </c>
      <c r="E220" s="468"/>
      <c r="F220" s="466">
        <v>0</v>
      </c>
      <c r="G220" s="466">
        <v>0</v>
      </c>
      <c r="H220" s="468"/>
      <c r="I220" s="468"/>
      <c r="J220" s="468"/>
      <c r="K220" s="468"/>
    </row>
    <row r="221" spans="1:11" ht="12.75" customHeight="1" x14ac:dyDescent="0.2">
      <c r="A221" s="463" t="s">
        <v>1114</v>
      </c>
      <c r="B221" s="470">
        <v>4625</v>
      </c>
      <c r="C221" s="551">
        <v>159618</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5" t="s">
        <v>76</v>
      </c>
      <c r="B223" s="557">
        <v>4699</v>
      </c>
      <c r="C223" s="551">
        <v>0</v>
      </c>
      <c r="D223" s="466">
        <v>0</v>
      </c>
      <c r="E223" s="468"/>
      <c r="F223" s="466">
        <v>0</v>
      </c>
      <c r="G223" s="466">
        <v>0</v>
      </c>
      <c r="H223" s="468"/>
      <c r="I223" s="468"/>
      <c r="J223" s="468"/>
      <c r="K223" s="468"/>
    </row>
    <row r="224" spans="1:11" ht="12.75" customHeight="1" thickBot="1" x14ac:dyDescent="0.25">
      <c r="A224" s="1722" t="s">
        <v>467</v>
      </c>
      <c r="B224" s="1723"/>
      <c r="C224" s="1721">
        <f>SUM(C218:C223)</f>
        <v>636843</v>
      </c>
      <c r="D224" s="1721">
        <f>SUM(D218:D223)</f>
        <v>0</v>
      </c>
      <c r="E224" s="468"/>
      <c r="F224" s="1721">
        <f>SUM(F218:F223)</f>
        <v>0</v>
      </c>
      <c r="G224" s="1721">
        <f>SUM(G218:G223)</f>
        <v>0</v>
      </c>
      <c r="H224" s="468"/>
      <c r="I224" s="468"/>
      <c r="J224" s="468"/>
      <c r="K224" s="468"/>
    </row>
    <row r="225" spans="1:11" ht="15.75" customHeight="1" thickTop="1" x14ac:dyDescent="0.2">
      <c r="A225" s="1614" t="s">
        <v>1155</v>
      </c>
      <c r="B225" s="1619"/>
      <c r="C225" s="553"/>
      <c r="D225" s="553"/>
      <c r="E225" s="468"/>
      <c r="F225" s="553"/>
      <c r="G225" s="553"/>
      <c r="H225" s="468"/>
      <c r="I225" s="468"/>
      <c r="J225" s="468"/>
      <c r="K225" s="468"/>
    </row>
    <row r="226" spans="1:11" ht="12.75" customHeight="1" x14ac:dyDescent="0.2">
      <c r="A226" s="463" t="s">
        <v>820</v>
      </c>
      <c r="B226" s="470">
        <v>4770</v>
      </c>
      <c r="C226" s="551">
        <v>27232</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7" t="s">
        <v>1145</v>
      </c>
      <c r="B228" s="1738"/>
      <c r="C228" s="1721">
        <f>SUM(C226:C227)</f>
        <v>27232</v>
      </c>
      <c r="D228" s="1721">
        <f>SUM(D226:D227)</f>
        <v>0</v>
      </c>
      <c r="E228" s="468"/>
      <c r="F228" s="468"/>
      <c r="G228" s="172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39" t="s">
        <v>798</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16" t="s">
        <v>1493</v>
      </c>
      <c r="B260" s="588">
        <v>4901</v>
      </c>
      <c r="C260" s="589">
        <v>0</v>
      </c>
      <c r="D260" s="469"/>
      <c r="E260" s="468"/>
      <c r="F260" s="468"/>
      <c r="G260" s="468"/>
      <c r="H260" s="468"/>
      <c r="I260" s="468"/>
      <c r="J260" s="468"/>
      <c r="K260" s="468"/>
    </row>
    <row r="261" spans="1:11" ht="12.75" customHeight="1" thickTop="1" thickBot="1" x14ac:dyDescent="0.25">
      <c r="A261" s="1517"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58217</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42699</v>
      </c>
      <c r="D270" s="576">
        <v>0</v>
      </c>
      <c r="E270" s="468"/>
      <c r="F270" s="576">
        <v>0</v>
      </c>
      <c r="G270" s="576">
        <v>0</v>
      </c>
      <c r="H270" s="468"/>
      <c r="I270" s="468"/>
      <c r="J270" s="468"/>
      <c r="K270" s="468"/>
    </row>
    <row r="271" spans="1:11" ht="12.75" customHeight="1" thickTop="1" thickBot="1" x14ac:dyDescent="0.25">
      <c r="A271" s="463" t="s">
        <v>395</v>
      </c>
      <c r="B271" s="470">
        <v>4992</v>
      </c>
      <c r="C271" s="575">
        <v>84954</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2" t="s">
        <v>1765</v>
      </c>
      <c r="B273" s="1741"/>
      <c r="C273" s="1729">
        <f t="shared" ref="C273:H273" si="10">SUM(C191,C201,C211,C216,C224,C228,C229,C259:C272)</f>
        <v>1093660</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1147</v>
      </c>
      <c r="B274" s="1743" t="s">
        <v>915</v>
      </c>
      <c r="C274" s="1729">
        <f>SUM(C178,C184,C273)</f>
        <v>1093660</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39686146</v>
      </c>
      <c r="D275" s="1729">
        <f t="shared" si="12"/>
        <v>5504319</v>
      </c>
      <c r="E275" s="1729">
        <f t="shared" si="12"/>
        <v>6031476</v>
      </c>
      <c r="F275" s="1729">
        <f t="shared" si="12"/>
        <v>2189343</v>
      </c>
      <c r="G275" s="1729">
        <f t="shared" si="12"/>
        <v>1536492</v>
      </c>
      <c r="H275" s="1729">
        <f t="shared" si="12"/>
        <v>1476631</v>
      </c>
      <c r="I275" s="1729">
        <f t="shared" si="12"/>
        <v>55404</v>
      </c>
      <c r="J275" s="1729">
        <f t="shared" si="12"/>
        <v>0</v>
      </c>
      <c r="K275" s="171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topLeftCell="B1" colorId="8" zoomScale="110" zoomScaleNormal="110" workbookViewId="0">
      <pane ySplit="2" topLeftCell="A96" activePane="bottomLeft" state="frozen"/>
      <selection activeCell="J30" sqref="J30"/>
      <selection pane="bottomLeft" activeCell="D124" sqref="D1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9"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7" t="s">
        <v>315</v>
      </c>
      <c r="B3" s="2198"/>
      <c r="C3" s="1562"/>
      <c r="D3" s="1562"/>
      <c r="E3" s="1562"/>
      <c r="F3" s="1562"/>
      <c r="G3" s="1562"/>
      <c r="H3" s="1562"/>
      <c r="I3" s="1562"/>
      <c r="J3" s="1562"/>
      <c r="K3" s="1563"/>
      <c r="L3" s="1564"/>
      <c r="M3" s="610"/>
      <c r="N3" s="610"/>
    </row>
    <row r="4" spans="1:14" s="259" customFormat="1" ht="15.75" customHeight="1" x14ac:dyDescent="0.2">
      <c r="A4" s="1620" t="s">
        <v>46</v>
      </c>
      <c r="B4" s="1621" t="s">
        <v>591</v>
      </c>
      <c r="C4" s="611"/>
      <c r="D4" s="611"/>
      <c r="E4" s="611"/>
      <c r="F4" s="611"/>
      <c r="G4" s="611"/>
      <c r="H4" s="611"/>
      <c r="I4" s="612"/>
      <c r="J4" s="611"/>
      <c r="K4" s="613"/>
      <c r="L4" s="611"/>
      <c r="M4" s="614"/>
      <c r="N4" s="614"/>
    </row>
    <row r="5" spans="1:14" x14ac:dyDescent="0.2">
      <c r="A5" s="1518" t="s">
        <v>1018</v>
      </c>
      <c r="B5" s="615">
        <v>1100</v>
      </c>
      <c r="C5" s="466">
        <v>10961641</v>
      </c>
      <c r="D5" s="466">
        <v>1873908</v>
      </c>
      <c r="E5" s="466">
        <v>75851</v>
      </c>
      <c r="F5" s="466">
        <v>534145</v>
      </c>
      <c r="G5" s="466">
        <v>42727</v>
      </c>
      <c r="H5" s="466">
        <v>19782</v>
      </c>
      <c r="I5" s="467">
        <v>53427</v>
      </c>
      <c r="J5" s="467">
        <v>0</v>
      </c>
      <c r="K5" s="1685">
        <f>SUM(C5:J5)</f>
        <v>13561481</v>
      </c>
      <c r="L5" s="466">
        <v>13804279</v>
      </c>
    </row>
    <row r="6" spans="1:14" x14ac:dyDescent="0.2">
      <c r="A6" s="1518" t="s">
        <v>1508</v>
      </c>
      <c r="B6" s="615" t="s">
        <v>1506</v>
      </c>
      <c r="C6" s="477"/>
      <c r="D6" s="477"/>
      <c r="E6" s="466">
        <v>0</v>
      </c>
      <c r="F6" s="477"/>
      <c r="G6" s="477"/>
      <c r="H6" s="477"/>
      <c r="I6" s="477"/>
      <c r="J6" s="477"/>
      <c r="K6" s="1685">
        <f>SUM(C6,E6)</f>
        <v>0</v>
      </c>
      <c r="L6" s="466">
        <v>0</v>
      </c>
    </row>
    <row r="7" spans="1:14" x14ac:dyDescent="0.2">
      <c r="A7" s="1518" t="s">
        <v>165</v>
      </c>
      <c r="B7" s="615" t="s">
        <v>1024</v>
      </c>
      <c r="C7" s="467">
        <v>0</v>
      </c>
      <c r="D7" s="467">
        <v>0</v>
      </c>
      <c r="E7" s="467">
        <v>0</v>
      </c>
      <c r="F7" s="467">
        <v>0</v>
      </c>
      <c r="G7" s="467">
        <v>0</v>
      </c>
      <c r="H7" s="467">
        <v>0</v>
      </c>
      <c r="I7" s="467">
        <v>0</v>
      </c>
      <c r="J7" s="467">
        <v>0</v>
      </c>
      <c r="K7" s="1685">
        <f t="shared" ref="K7:K32" si="0">SUM(C7:J7)</f>
        <v>0</v>
      </c>
      <c r="L7" s="466">
        <v>0</v>
      </c>
    </row>
    <row r="8" spans="1:14" x14ac:dyDescent="0.2">
      <c r="A8" s="1518" t="s">
        <v>166</v>
      </c>
      <c r="B8" s="615">
        <v>1200</v>
      </c>
      <c r="C8" s="466">
        <v>2510819</v>
      </c>
      <c r="D8" s="466">
        <v>542213</v>
      </c>
      <c r="E8" s="466">
        <v>6218</v>
      </c>
      <c r="F8" s="466">
        <v>26006</v>
      </c>
      <c r="G8" s="466">
        <v>8161</v>
      </c>
      <c r="H8" s="466">
        <v>26</v>
      </c>
      <c r="I8" s="467">
        <v>550</v>
      </c>
      <c r="J8" s="467">
        <v>0</v>
      </c>
      <c r="K8" s="1685">
        <f t="shared" si="0"/>
        <v>3093993</v>
      </c>
      <c r="L8" s="466">
        <v>3135728</v>
      </c>
    </row>
    <row r="9" spans="1:14" x14ac:dyDescent="0.2">
      <c r="A9" s="1518" t="s">
        <v>745</v>
      </c>
      <c r="B9" s="615" t="s">
        <v>1025</v>
      </c>
      <c r="C9" s="467">
        <v>0</v>
      </c>
      <c r="D9" s="467">
        <v>0</v>
      </c>
      <c r="E9" s="467">
        <v>0</v>
      </c>
      <c r="F9" s="467">
        <v>0</v>
      </c>
      <c r="G9" s="467">
        <v>0</v>
      </c>
      <c r="H9" s="467">
        <v>0</v>
      </c>
      <c r="I9" s="467">
        <v>0</v>
      </c>
      <c r="J9" s="467">
        <v>0</v>
      </c>
      <c r="K9" s="1685">
        <f t="shared" si="0"/>
        <v>0</v>
      </c>
      <c r="L9" s="466">
        <v>0</v>
      </c>
    </row>
    <row r="10" spans="1:14" x14ac:dyDescent="0.2">
      <c r="A10" s="1518" t="s">
        <v>746</v>
      </c>
      <c r="B10" s="615">
        <v>1250</v>
      </c>
      <c r="C10" s="466">
        <v>389765</v>
      </c>
      <c r="D10" s="466">
        <v>118134</v>
      </c>
      <c r="E10" s="466">
        <v>27377</v>
      </c>
      <c r="F10" s="466">
        <v>19170</v>
      </c>
      <c r="G10" s="466">
        <v>0</v>
      </c>
      <c r="H10" s="466">
        <v>0</v>
      </c>
      <c r="I10" s="467">
        <v>-2202</v>
      </c>
      <c r="J10" s="467">
        <v>0</v>
      </c>
      <c r="K10" s="1685">
        <f t="shared" si="0"/>
        <v>552244</v>
      </c>
      <c r="L10" s="466">
        <v>614802</v>
      </c>
    </row>
    <row r="11" spans="1:14" x14ac:dyDescent="0.2">
      <c r="A11" s="1518" t="s">
        <v>1192</v>
      </c>
      <c r="B11" s="615" t="s">
        <v>163</v>
      </c>
      <c r="C11" s="467">
        <v>0</v>
      </c>
      <c r="D11" s="467">
        <v>0</v>
      </c>
      <c r="E11" s="467">
        <v>0</v>
      </c>
      <c r="F11" s="467">
        <v>0</v>
      </c>
      <c r="G11" s="467">
        <v>0</v>
      </c>
      <c r="H11" s="467">
        <v>0</v>
      </c>
      <c r="I11" s="467">
        <v>0</v>
      </c>
      <c r="J11" s="467">
        <v>0</v>
      </c>
      <c r="K11" s="1685">
        <f t="shared" si="0"/>
        <v>0</v>
      </c>
      <c r="L11" s="466">
        <v>0</v>
      </c>
    </row>
    <row r="12" spans="1:14" x14ac:dyDescent="0.2">
      <c r="A12" s="1518" t="s">
        <v>1019</v>
      </c>
      <c r="B12" s="615">
        <v>1300</v>
      </c>
      <c r="C12" s="466">
        <v>0</v>
      </c>
      <c r="D12" s="466">
        <v>0</v>
      </c>
      <c r="E12" s="466">
        <v>0</v>
      </c>
      <c r="F12" s="466">
        <v>0</v>
      </c>
      <c r="G12" s="466">
        <v>0</v>
      </c>
      <c r="H12" s="466">
        <v>0</v>
      </c>
      <c r="I12" s="467">
        <v>0</v>
      </c>
      <c r="J12" s="467">
        <v>0</v>
      </c>
      <c r="K12" s="1685">
        <f t="shared" si="0"/>
        <v>0</v>
      </c>
      <c r="L12" s="466">
        <v>0</v>
      </c>
    </row>
    <row r="13" spans="1:14" x14ac:dyDescent="0.2">
      <c r="A13" s="1518" t="s">
        <v>747</v>
      </c>
      <c r="B13" s="615">
        <v>1400</v>
      </c>
      <c r="C13" s="466">
        <v>1389987</v>
      </c>
      <c r="D13" s="466">
        <v>238387</v>
      </c>
      <c r="E13" s="466">
        <v>1975</v>
      </c>
      <c r="F13" s="466">
        <v>103504</v>
      </c>
      <c r="G13" s="466">
        <v>48251</v>
      </c>
      <c r="H13" s="466">
        <v>3000</v>
      </c>
      <c r="I13" s="467">
        <v>31303</v>
      </c>
      <c r="J13" s="467">
        <v>0</v>
      </c>
      <c r="K13" s="1685">
        <f t="shared" si="0"/>
        <v>1816407</v>
      </c>
      <c r="L13" s="466">
        <v>1894005</v>
      </c>
    </row>
    <row r="14" spans="1:14" x14ac:dyDescent="0.2">
      <c r="A14" s="1518" t="s">
        <v>1020</v>
      </c>
      <c r="B14" s="615">
        <v>1500</v>
      </c>
      <c r="C14" s="466">
        <v>1312963</v>
      </c>
      <c r="D14" s="466">
        <v>12350</v>
      </c>
      <c r="E14" s="466">
        <v>324820</v>
      </c>
      <c r="F14" s="466">
        <v>160083</v>
      </c>
      <c r="G14" s="466">
        <v>45548</v>
      </c>
      <c r="H14" s="466">
        <v>62146</v>
      </c>
      <c r="I14" s="467">
        <v>19219</v>
      </c>
      <c r="J14" s="467">
        <v>0</v>
      </c>
      <c r="K14" s="1685">
        <f t="shared" si="0"/>
        <v>1937129</v>
      </c>
      <c r="L14" s="466">
        <v>1953092</v>
      </c>
    </row>
    <row r="15" spans="1:14" x14ac:dyDescent="0.2">
      <c r="A15" s="1518" t="s">
        <v>1021</v>
      </c>
      <c r="B15" s="615">
        <v>1600</v>
      </c>
      <c r="C15" s="466">
        <v>57108</v>
      </c>
      <c r="D15" s="466">
        <v>828</v>
      </c>
      <c r="E15" s="466">
        <v>0</v>
      </c>
      <c r="F15" s="466">
        <v>0</v>
      </c>
      <c r="G15" s="466">
        <v>0</v>
      </c>
      <c r="H15" s="466">
        <v>519</v>
      </c>
      <c r="I15" s="467">
        <v>0</v>
      </c>
      <c r="J15" s="467">
        <v>0</v>
      </c>
      <c r="K15" s="1685">
        <f t="shared" si="0"/>
        <v>58455</v>
      </c>
      <c r="L15" s="466">
        <v>76190</v>
      </c>
    </row>
    <row r="16" spans="1:14" x14ac:dyDescent="0.2">
      <c r="A16" s="1518" t="s">
        <v>1044</v>
      </c>
      <c r="B16" s="615" t="s">
        <v>444</v>
      </c>
      <c r="C16" s="466">
        <v>0</v>
      </c>
      <c r="D16" s="466">
        <v>0</v>
      </c>
      <c r="E16" s="466">
        <v>0</v>
      </c>
      <c r="F16" s="466">
        <v>0</v>
      </c>
      <c r="G16" s="466">
        <v>0</v>
      </c>
      <c r="H16" s="466">
        <v>0</v>
      </c>
      <c r="I16" s="467">
        <v>0</v>
      </c>
      <c r="J16" s="467">
        <v>0</v>
      </c>
      <c r="K16" s="1685">
        <f t="shared" si="0"/>
        <v>0</v>
      </c>
      <c r="L16" s="466">
        <v>0</v>
      </c>
    </row>
    <row r="17" spans="1:12" x14ac:dyDescent="0.2">
      <c r="A17" s="1518" t="s">
        <v>748</v>
      </c>
      <c r="B17" s="615" t="s">
        <v>164</v>
      </c>
      <c r="C17" s="467">
        <v>216938</v>
      </c>
      <c r="D17" s="467">
        <v>84731</v>
      </c>
      <c r="E17" s="467">
        <v>23481</v>
      </c>
      <c r="F17" s="467">
        <v>11151</v>
      </c>
      <c r="G17" s="467">
        <v>117030</v>
      </c>
      <c r="H17" s="467">
        <v>653</v>
      </c>
      <c r="I17" s="467">
        <v>0</v>
      </c>
      <c r="J17" s="467">
        <v>0</v>
      </c>
      <c r="K17" s="1685">
        <f t="shared" si="0"/>
        <v>453984</v>
      </c>
      <c r="L17" s="466">
        <v>388495</v>
      </c>
    </row>
    <row r="18" spans="1:12" x14ac:dyDescent="0.2">
      <c r="A18" s="1518" t="s">
        <v>1148</v>
      </c>
      <c r="B18" s="615">
        <v>1800</v>
      </c>
      <c r="C18" s="466">
        <v>123404</v>
      </c>
      <c r="D18" s="466">
        <v>22883</v>
      </c>
      <c r="E18" s="466">
        <v>0</v>
      </c>
      <c r="F18" s="466">
        <v>0</v>
      </c>
      <c r="G18" s="466">
        <v>0</v>
      </c>
      <c r="H18" s="466">
        <v>0</v>
      </c>
      <c r="I18" s="467">
        <v>0</v>
      </c>
      <c r="J18" s="467">
        <v>0</v>
      </c>
      <c r="K18" s="1685">
        <f t="shared" si="0"/>
        <v>146287</v>
      </c>
      <c r="L18" s="466">
        <v>116530</v>
      </c>
    </row>
    <row r="19" spans="1:12" x14ac:dyDescent="0.2">
      <c r="A19" s="1518" t="s">
        <v>136</v>
      </c>
      <c r="B19" s="615">
        <v>1900</v>
      </c>
      <c r="C19" s="466">
        <v>0</v>
      </c>
      <c r="D19" s="466">
        <v>0</v>
      </c>
      <c r="E19" s="466">
        <v>0</v>
      </c>
      <c r="F19" s="466">
        <v>0</v>
      </c>
      <c r="G19" s="466">
        <v>0</v>
      </c>
      <c r="H19" s="466">
        <v>0</v>
      </c>
      <c r="I19" s="467">
        <v>0</v>
      </c>
      <c r="J19" s="467">
        <v>0</v>
      </c>
      <c r="K19" s="1685">
        <f t="shared" si="0"/>
        <v>0</v>
      </c>
      <c r="L19" s="466">
        <v>0</v>
      </c>
    </row>
    <row r="20" spans="1:12" x14ac:dyDescent="0.2">
      <c r="A20" s="1519" t="s">
        <v>762</v>
      </c>
      <c r="B20" s="603" t="s">
        <v>749</v>
      </c>
      <c r="C20" s="477"/>
      <c r="D20" s="477"/>
      <c r="E20" s="477"/>
      <c r="F20" s="477"/>
      <c r="G20" s="477"/>
      <c r="H20" s="474">
        <v>0</v>
      </c>
      <c r="I20" s="617"/>
      <c r="J20" s="475"/>
      <c r="K20" s="1685">
        <f t="shared" si="0"/>
        <v>0</v>
      </c>
      <c r="L20" s="471">
        <v>0</v>
      </c>
    </row>
    <row r="21" spans="1:12" x14ac:dyDescent="0.2">
      <c r="A21" s="1519" t="s">
        <v>763</v>
      </c>
      <c r="B21" s="603" t="s">
        <v>750</v>
      </c>
      <c r="C21" s="477"/>
      <c r="D21" s="477"/>
      <c r="E21" s="477"/>
      <c r="F21" s="477"/>
      <c r="G21" s="477"/>
      <c r="H21" s="474">
        <v>13500</v>
      </c>
      <c r="I21" s="617"/>
      <c r="J21" s="477"/>
      <c r="K21" s="1685">
        <f t="shared" si="0"/>
        <v>13500</v>
      </c>
      <c r="L21" s="471">
        <v>5000</v>
      </c>
    </row>
    <row r="22" spans="1:12" x14ac:dyDescent="0.2">
      <c r="A22" s="1519" t="s">
        <v>764</v>
      </c>
      <c r="B22" s="603" t="s">
        <v>751</v>
      </c>
      <c r="C22" s="477"/>
      <c r="D22" s="477"/>
      <c r="E22" s="477"/>
      <c r="F22" s="477"/>
      <c r="G22" s="477"/>
      <c r="H22" s="474">
        <v>823632</v>
      </c>
      <c r="I22" s="617"/>
      <c r="J22" s="477"/>
      <c r="K22" s="1685">
        <f t="shared" si="0"/>
        <v>823632</v>
      </c>
      <c r="L22" s="471">
        <v>1183739</v>
      </c>
    </row>
    <row r="23" spans="1:12" x14ac:dyDescent="0.2">
      <c r="A23" s="1519" t="s">
        <v>765</v>
      </c>
      <c r="B23" s="603" t="s">
        <v>752</v>
      </c>
      <c r="C23" s="477"/>
      <c r="D23" s="477"/>
      <c r="E23" s="477"/>
      <c r="F23" s="477"/>
      <c r="G23" s="477"/>
      <c r="H23" s="474">
        <v>0</v>
      </c>
      <c r="I23" s="617"/>
      <c r="J23" s="477"/>
      <c r="K23" s="1685">
        <f t="shared" si="0"/>
        <v>0</v>
      </c>
      <c r="L23" s="471">
        <v>0</v>
      </c>
    </row>
    <row r="24" spans="1:12" ht="12.75" customHeight="1" x14ac:dyDescent="0.2">
      <c r="A24" s="1519" t="s">
        <v>766</v>
      </c>
      <c r="B24" s="603" t="s">
        <v>753</v>
      </c>
      <c r="C24" s="477"/>
      <c r="D24" s="477"/>
      <c r="E24" s="477"/>
      <c r="F24" s="477"/>
      <c r="G24" s="477"/>
      <c r="H24" s="474">
        <v>0</v>
      </c>
      <c r="I24" s="617"/>
      <c r="J24" s="477"/>
      <c r="K24" s="1685">
        <f t="shared" si="0"/>
        <v>0</v>
      </c>
      <c r="L24" s="471">
        <v>0</v>
      </c>
    </row>
    <row r="25" spans="1:12" ht="12.75" customHeight="1" x14ac:dyDescent="0.2">
      <c r="A25" s="1519" t="s">
        <v>835</v>
      </c>
      <c r="B25" s="603" t="s">
        <v>754</v>
      </c>
      <c r="C25" s="477"/>
      <c r="D25" s="477"/>
      <c r="E25" s="477"/>
      <c r="F25" s="477"/>
      <c r="G25" s="477"/>
      <c r="H25" s="474">
        <v>0</v>
      </c>
      <c r="I25" s="617"/>
      <c r="J25" s="477"/>
      <c r="K25" s="1685">
        <f t="shared" si="0"/>
        <v>0</v>
      </c>
      <c r="L25" s="471">
        <v>0</v>
      </c>
    </row>
    <row r="26" spans="1:12" x14ac:dyDescent="0.2">
      <c r="A26" s="1519" t="s">
        <v>643</v>
      </c>
      <c r="B26" s="603" t="s">
        <v>755</v>
      </c>
      <c r="C26" s="477"/>
      <c r="D26" s="477"/>
      <c r="E26" s="477"/>
      <c r="F26" s="477"/>
      <c r="G26" s="477"/>
      <c r="H26" s="474">
        <v>0</v>
      </c>
      <c r="I26" s="617"/>
      <c r="J26" s="477"/>
      <c r="K26" s="1685">
        <f t="shared" si="0"/>
        <v>0</v>
      </c>
      <c r="L26" s="471">
        <v>0</v>
      </c>
    </row>
    <row r="27" spans="1:12" x14ac:dyDescent="0.2">
      <c r="A27" s="1519" t="s">
        <v>644</v>
      </c>
      <c r="B27" s="603" t="s">
        <v>756</v>
      </c>
      <c r="C27" s="477"/>
      <c r="D27" s="477"/>
      <c r="E27" s="477"/>
      <c r="F27" s="477"/>
      <c r="G27" s="477"/>
      <c r="H27" s="474">
        <v>0</v>
      </c>
      <c r="I27" s="617"/>
      <c r="J27" s="477"/>
      <c r="K27" s="1685">
        <f t="shared" si="0"/>
        <v>0</v>
      </c>
      <c r="L27" s="471">
        <v>0</v>
      </c>
    </row>
    <row r="28" spans="1:12" x14ac:dyDescent="0.2">
      <c r="A28" s="1519" t="s">
        <v>152</v>
      </c>
      <c r="B28" s="603" t="s">
        <v>757</v>
      </c>
      <c r="C28" s="477"/>
      <c r="D28" s="477"/>
      <c r="E28" s="477"/>
      <c r="F28" s="477"/>
      <c r="G28" s="477"/>
      <c r="H28" s="474">
        <v>0</v>
      </c>
      <c r="I28" s="617"/>
      <c r="J28" s="477"/>
      <c r="K28" s="1685">
        <f t="shared" si="0"/>
        <v>0</v>
      </c>
      <c r="L28" s="471">
        <v>0</v>
      </c>
    </row>
    <row r="29" spans="1:12" x14ac:dyDescent="0.2">
      <c r="A29" s="1519" t="s">
        <v>153</v>
      </c>
      <c r="B29" s="603" t="s">
        <v>758</v>
      </c>
      <c r="C29" s="477"/>
      <c r="D29" s="477"/>
      <c r="E29" s="477"/>
      <c r="F29" s="477"/>
      <c r="G29" s="477"/>
      <c r="H29" s="474">
        <v>0</v>
      </c>
      <c r="I29" s="617"/>
      <c r="J29" s="477"/>
      <c r="K29" s="1685">
        <f t="shared" si="0"/>
        <v>0</v>
      </c>
      <c r="L29" s="471">
        <v>0</v>
      </c>
    </row>
    <row r="30" spans="1:12" x14ac:dyDescent="0.2">
      <c r="A30" s="1519" t="s">
        <v>154</v>
      </c>
      <c r="B30" s="603" t="s">
        <v>759</v>
      </c>
      <c r="C30" s="477"/>
      <c r="D30" s="477"/>
      <c r="E30" s="477"/>
      <c r="F30" s="477"/>
      <c r="G30" s="477"/>
      <c r="H30" s="474">
        <v>0</v>
      </c>
      <c r="I30" s="617"/>
      <c r="J30" s="477"/>
      <c r="K30" s="1685">
        <f t="shared" si="0"/>
        <v>0</v>
      </c>
      <c r="L30" s="471">
        <v>0</v>
      </c>
    </row>
    <row r="31" spans="1:12" x14ac:dyDescent="0.2">
      <c r="A31" s="1519" t="s">
        <v>155</v>
      </c>
      <c r="B31" s="603" t="s">
        <v>760</v>
      </c>
      <c r="C31" s="477"/>
      <c r="D31" s="477"/>
      <c r="E31" s="477"/>
      <c r="F31" s="477"/>
      <c r="G31" s="477"/>
      <c r="H31" s="474">
        <v>0</v>
      </c>
      <c r="I31" s="617"/>
      <c r="J31" s="477"/>
      <c r="K31" s="1685">
        <f t="shared" si="0"/>
        <v>0</v>
      </c>
      <c r="L31" s="471">
        <v>0</v>
      </c>
    </row>
    <row r="32" spans="1:12" x14ac:dyDescent="0.2">
      <c r="A32" s="1520" t="s">
        <v>1191</v>
      </c>
      <c r="B32" s="615" t="s">
        <v>761</v>
      </c>
      <c r="C32" s="477"/>
      <c r="D32" s="477"/>
      <c r="E32" s="477"/>
      <c r="F32" s="477"/>
      <c r="G32" s="477"/>
      <c r="H32" s="474">
        <v>0</v>
      </c>
      <c r="I32" s="617"/>
      <c r="J32" s="480"/>
      <c r="K32" s="1685">
        <f t="shared" si="0"/>
        <v>0</v>
      </c>
      <c r="L32" s="471">
        <v>0</v>
      </c>
    </row>
    <row r="33" spans="1:14" ht="12.75" customHeight="1" thickBot="1" x14ac:dyDescent="0.25">
      <c r="A33" s="1682" t="s">
        <v>1767</v>
      </c>
      <c r="B33" s="1683" t="s">
        <v>591</v>
      </c>
      <c r="C33" s="1684">
        <f>SUM(C5:C32)</f>
        <v>16962625</v>
      </c>
      <c r="D33" s="1684">
        <f t="shared" ref="D33:L33" si="1">SUM(D5:D32)</f>
        <v>2893434</v>
      </c>
      <c r="E33" s="1684">
        <f t="shared" si="1"/>
        <v>459722</v>
      </c>
      <c r="F33" s="1684">
        <f t="shared" si="1"/>
        <v>854059</v>
      </c>
      <c r="G33" s="1684">
        <f t="shared" si="1"/>
        <v>261717</v>
      </c>
      <c r="H33" s="1684">
        <f t="shared" si="1"/>
        <v>923258</v>
      </c>
      <c r="I33" s="1684">
        <f t="shared" si="1"/>
        <v>102297</v>
      </c>
      <c r="J33" s="1684">
        <f t="shared" si="1"/>
        <v>0</v>
      </c>
      <c r="K33" s="1684">
        <f t="shared" si="1"/>
        <v>22457112</v>
      </c>
      <c r="L33" s="1684">
        <f t="shared" si="1"/>
        <v>23171860</v>
      </c>
    </row>
    <row r="34" spans="1:14" s="621" customFormat="1" ht="15.75" customHeight="1" thickTop="1" x14ac:dyDescent="0.2">
      <c r="A34" s="1622" t="s">
        <v>48</v>
      </c>
      <c r="B34" s="1623"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8" t="s">
        <v>1150</v>
      </c>
      <c r="B36" s="615">
        <v>2110</v>
      </c>
      <c r="C36" s="481">
        <v>1065304</v>
      </c>
      <c r="D36" s="481">
        <v>270040</v>
      </c>
      <c r="E36" s="481">
        <v>11849</v>
      </c>
      <c r="F36" s="481">
        <v>10863</v>
      </c>
      <c r="G36" s="481">
        <v>0</v>
      </c>
      <c r="H36" s="481">
        <v>0</v>
      </c>
      <c r="I36" s="467">
        <v>0</v>
      </c>
      <c r="J36" s="467">
        <v>0</v>
      </c>
      <c r="K36" s="1685">
        <f t="shared" ref="K36:K41" si="2">SUM(C36:J36)</f>
        <v>1358056</v>
      </c>
      <c r="L36" s="466">
        <v>1390618</v>
      </c>
    </row>
    <row r="37" spans="1:14" x14ac:dyDescent="0.2">
      <c r="A37" s="1518" t="s">
        <v>1151</v>
      </c>
      <c r="B37" s="615">
        <v>2120</v>
      </c>
      <c r="C37" s="466">
        <v>1263009</v>
      </c>
      <c r="D37" s="466">
        <v>227795</v>
      </c>
      <c r="E37" s="466">
        <v>6923</v>
      </c>
      <c r="F37" s="466">
        <v>2787</v>
      </c>
      <c r="G37" s="466">
        <v>0</v>
      </c>
      <c r="H37" s="466">
        <v>0</v>
      </c>
      <c r="I37" s="467">
        <v>0</v>
      </c>
      <c r="J37" s="467">
        <v>0</v>
      </c>
      <c r="K37" s="1685">
        <f t="shared" si="2"/>
        <v>1500514</v>
      </c>
      <c r="L37" s="466">
        <v>1533517</v>
      </c>
    </row>
    <row r="38" spans="1:14" x14ac:dyDescent="0.2">
      <c r="A38" s="1518" t="s">
        <v>207</v>
      </c>
      <c r="B38" s="615">
        <v>2130</v>
      </c>
      <c r="C38" s="466">
        <v>190330</v>
      </c>
      <c r="D38" s="466">
        <v>61165</v>
      </c>
      <c r="E38" s="466">
        <v>103959</v>
      </c>
      <c r="F38" s="466">
        <v>3279</v>
      </c>
      <c r="G38" s="466">
        <v>0</v>
      </c>
      <c r="H38" s="466">
        <v>0</v>
      </c>
      <c r="I38" s="467">
        <v>0</v>
      </c>
      <c r="J38" s="467">
        <v>0</v>
      </c>
      <c r="K38" s="1685">
        <f t="shared" si="2"/>
        <v>358733</v>
      </c>
      <c r="L38" s="466">
        <v>348380</v>
      </c>
    </row>
    <row r="39" spans="1:14" x14ac:dyDescent="0.2">
      <c r="A39" s="1518" t="s">
        <v>208</v>
      </c>
      <c r="B39" s="615">
        <v>2140</v>
      </c>
      <c r="C39" s="466">
        <v>157750</v>
      </c>
      <c r="D39" s="466">
        <v>27813</v>
      </c>
      <c r="E39" s="466">
        <v>576</v>
      </c>
      <c r="F39" s="466">
        <v>0</v>
      </c>
      <c r="G39" s="466">
        <v>0</v>
      </c>
      <c r="H39" s="466">
        <v>0</v>
      </c>
      <c r="I39" s="467">
        <v>0</v>
      </c>
      <c r="J39" s="467">
        <v>0</v>
      </c>
      <c r="K39" s="1685">
        <f t="shared" si="2"/>
        <v>186139</v>
      </c>
      <c r="L39" s="466">
        <v>181103</v>
      </c>
    </row>
    <row r="40" spans="1:14" x14ac:dyDescent="0.2">
      <c r="A40" s="1518" t="s">
        <v>209</v>
      </c>
      <c r="B40" s="615">
        <v>2150</v>
      </c>
      <c r="C40" s="466">
        <v>84814</v>
      </c>
      <c r="D40" s="466">
        <v>22880</v>
      </c>
      <c r="E40" s="466">
        <v>179</v>
      </c>
      <c r="F40" s="466">
        <v>418</v>
      </c>
      <c r="G40" s="466">
        <v>0</v>
      </c>
      <c r="H40" s="466">
        <v>0</v>
      </c>
      <c r="I40" s="467">
        <v>0</v>
      </c>
      <c r="J40" s="467">
        <v>0</v>
      </c>
      <c r="K40" s="1685">
        <f t="shared" si="2"/>
        <v>108291</v>
      </c>
      <c r="L40" s="466">
        <v>105718</v>
      </c>
    </row>
    <row r="41" spans="1:14" x14ac:dyDescent="0.2">
      <c r="A41" s="1518" t="s">
        <v>1768</v>
      </c>
      <c r="B41" s="615">
        <v>2190</v>
      </c>
      <c r="C41" s="466">
        <v>9592</v>
      </c>
      <c r="D41" s="466">
        <v>8</v>
      </c>
      <c r="E41" s="466">
        <v>66805</v>
      </c>
      <c r="F41" s="466">
        <v>38828</v>
      </c>
      <c r="G41" s="466">
        <v>0</v>
      </c>
      <c r="H41" s="466">
        <v>0</v>
      </c>
      <c r="I41" s="467">
        <v>0</v>
      </c>
      <c r="J41" s="467">
        <v>0</v>
      </c>
      <c r="K41" s="1685">
        <f t="shared" si="2"/>
        <v>115233</v>
      </c>
      <c r="L41" s="466">
        <v>89607</v>
      </c>
    </row>
    <row r="42" spans="1:14" ht="12.75" customHeight="1" thickBot="1" x14ac:dyDescent="0.25">
      <c r="A42" s="1682" t="s">
        <v>581</v>
      </c>
      <c r="B42" s="1683" t="s">
        <v>740</v>
      </c>
      <c r="C42" s="1684">
        <f>SUM(C36:C41)</f>
        <v>2770799</v>
      </c>
      <c r="D42" s="1684">
        <f t="shared" ref="D42:L42" si="3">SUM(D36:D41)</f>
        <v>609701</v>
      </c>
      <c r="E42" s="1684">
        <f t="shared" si="3"/>
        <v>190291</v>
      </c>
      <c r="F42" s="1684">
        <f t="shared" si="3"/>
        <v>56175</v>
      </c>
      <c r="G42" s="1684">
        <f t="shared" si="3"/>
        <v>0</v>
      </c>
      <c r="H42" s="1684">
        <f t="shared" si="3"/>
        <v>0</v>
      </c>
      <c r="I42" s="1684">
        <f t="shared" si="3"/>
        <v>0</v>
      </c>
      <c r="J42" s="1684">
        <f t="shared" si="3"/>
        <v>0</v>
      </c>
      <c r="K42" s="1684">
        <f t="shared" si="3"/>
        <v>3626966</v>
      </c>
      <c r="L42" s="1684">
        <f t="shared" si="3"/>
        <v>3648943</v>
      </c>
    </row>
    <row r="43" spans="1:14" ht="15.75" customHeight="1" thickTop="1" x14ac:dyDescent="0.2">
      <c r="A43" s="625" t="s">
        <v>613</v>
      </c>
      <c r="B43" s="626"/>
      <c r="C43" s="627"/>
      <c r="D43" s="627"/>
      <c r="E43" s="627"/>
      <c r="F43" s="627"/>
      <c r="G43" s="627"/>
      <c r="H43" s="627"/>
      <c r="I43" s="617"/>
      <c r="J43" s="617"/>
      <c r="K43" s="627"/>
      <c r="L43" s="627"/>
    </row>
    <row r="44" spans="1:14" x14ac:dyDescent="0.2">
      <c r="A44" s="1518" t="s">
        <v>868</v>
      </c>
      <c r="B44" s="615">
        <v>2210</v>
      </c>
      <c r="C44" s="481">
        <v>790045</v>
      </c>
      <c r="D44" s="481">
        <v>100065</v>
      </c>
      <c r="E44" s="481">
        <v>108405</v>
      </c>
      <c r="F44" s="481">
        <v>5785</v>
      </c>
      <c r="G44" s="481">
        <v>11109</v>
      </c>
      <c r="H44" s="481">
        <v>2012</v>
      </c>
      <c r="I44" s="467">
        <v>1101</v>
      </c>
      <c r="J44" s="467">
        <v>0</v>
      </c>
      <c r="K44" s="1686">
        <f>SUM(C44:J44)</f>
        <v>1018522</v>
      </c>
      <c r="L44" s="481">
        <v>1119783</v>
      </c>
    </row>
    <row r="45" spans="1:14" x14ac:dyDescent="0.2">
      <c r="A45" s="1518" t="s">
        <v>869</v>
      </c>
      <c r="B45" s="615">
        <v>2220</v>
      </c>
      <c r="C45" s="466">
        <v>760783</v>
      </c>
      <c r="D45" s="466">
        <v>207443</v>
      </c>
      <c r="E45" s="466">
        <v>166035</v>
      </c>
      <c r="F45" s="466">
        <v>65003</v>
      </c>
      <c r="G45" s="466">
        <v>21083</v>
      </c>
      <c r="H45" s="466">
        <v>98</v>
      </c>
      <c r="I45" s="467">
        <v>50420</v>
      </c>
      <c r="J45" s="467">
        <v>0</v>
      </c>
      <c r="K45" s="1686">
        <f>SUM(C45:J45)</f>
        <v>1270865</v>
      </c>
      <c r="L45" s="466">
        <v>1265096</v>
      </c>
    </row>
    <row r="46" spans="1:14" x14ac:dyDescent="0.2">
      <c r="A46" s="1518" t="s">
        <v>870</v>
      </c>
      <c r="B46" s="615">
        <v>2230</v>
      </c>
      <c r="C46" s="466">
        <v>20056</v>
      </c>
      <c r="D46" s="466">
        <v>55</v>
      </c>
      <c r="E46" s="466">
        <v>209420</v>
      </c>
      <c r="F46" s="466">
        <v>140</v>
      </c>
      <c r="G46" s="466">
        <v>0</v>
      </c>
      <c r="H46" s="466">
        <v>0</v>
      </c>
      <c r="I46" s="467">
        <v>0</v>
      </c>
      <c r="J46" s="467">
        <v>0</v>
      </c>
      <c r="K46" s="1686">
        <f>SUM(C46:J46)</f>
        <v>229671</v>
      </c>
      <c r="L46" s="466">
        <v>193813</v>
      </c>
    </row>
    <row r="47" spans="1:14" ht="12.75" customHeight="1" thickBot="1" x14ac:dyDescent="0.25">
      <c r="A47" s="1682" t="s">
        <v>582</v>
      </c>
      <c r="B47" s="1683" t="s">
        <v>32</v>
      </c>
      <c r="C47" s="1684">
        <f>SUM(C44:C46)</f>
        <v>1570884</v>
      </c>
      <c r="D47" s="1684">
        <f t="shared" ref="D47:K47" si="4">SUM(D44:D46)</f>
        <v>307563</v>
      </c>
      <c r="E47" s="1684">
        <f t="shared" si="4"/>
        <v>483860</v>
      </c>
      <c r="F47" s="1684">
        <f t="shared" si="4"/>
        <v>70928</v>
      </c>
      <c r="G47" s="1684">
        <f t="shared" si="4"/>
        <v>32192</v>
      </c>
      <c r="H47" s="1684">
        <f t="shared" si="4"/>
        <v>2110</v>
      </c>
      <c r="I47" s="1684">
        <f t="shared" si="4"/>
        <v>51521</v>
      </c>
      <c r="J47" s="1684">
        <f t="shared" si="4"/>
        <v>0</v>
      </c>
      <c r="K47" s="1684">
        <f t="shared" si="4"/>
        <v>2519058</v>
      </c>
      <c r="L47" s="1684">
        <f>SUM(L44:L46)</f>
        <v>2578692</v>
      </c>
    </row>
    <row r="48" spans="1:14" ht="15.75" customHeight="1" thickTop="1" x14ac:dyDescent="0.2">
      <c r="A48" s="625" t="s">
        <v>631</v>
      </c>
      <c r="B48" s="626"/>
      <c r="C48" s="627"/>
      <c r="D48" s="627"/>
      <c r="E48" s="627"/>
      <c r="F48" s="627"/>
      <c r="G48" s="627"/>
      <c r="H48" s="627"/>
      <c r="I48" s="617"/>
      <c r="J48" s="617"/>
      <c r="K48" s="627"/>
      <c r="L48" s="627"/>
    </row>
    <row r="49" spans="1:14" x14ac:dyDescent="0.2">
      <c r="A49" s="1518" t="s">
        <v>871</v>
      </c>
      <c r="B49" s="615">
        <v>2310</v>
      </c>
      <c r="C49" s="481">
        <v>0</v>
      </c>
      <c r="D49" s="481">
        <v>5243</v>
      </c>
      <c r="E49" s="481">
        <v>242990</v>
      </c>
      <c r="F49" s="481">
        <v>1778</v>
      </c>
      <c r="G49" s="481">
        <v>13182</v>
      </c>
      <c r="H49" s="481">
        <v>23326</v>
      </c>
      <c r="I49" s="467">
        <v>10829</v>
      </c>
      <c r="J49" s="467">
        <v>0</v>
      </c>
      <c r="K49" s="1686">
        <f>SUM(C49:J49)</f>
        <v>297348</v>
      </c>
      <c r="L49" s="481">
        <v>257850</v>
      </c>
    </row>
    <row r="50" spans="1:14" x14ac:dyDescent="0.2">
      <c r="A50" s="1518" t="s">
        <v>872</v>
      </c>
      <c r="B50" s="615">
        <v>2320</v>
      </c>
      <c r="C50" s="466">
        <v>515596</v>
      </c>
      <c r="D50" s="466">
        <v>90854</v>
      </c>
      <c r="E50" s="466">
        <v>9275</v>
      </c>
      <c r="F50" s="466">
        <v>193</v>
      </c>
      <c r="G50" s="466">
        <v>1428</v>
      </c>
      <c r="H50" s="466">
        <v>3872</v>
      </c>
      <c r="I50" s="467">
        <v>0</v>
      </c>
      <c r="J50" s="467">
        <v>6752</v>
      </c>
      <c r="K50" s="1686">
        <f>SUM(C50:J50)</f>
        <v>627970</v>
      </c>
      <c r="L50" s="466">
        <v>613215</v>
      </c>
    </row>
    <row r="51" spans="1:14" x14ac:dyDescent="0.2">
      <c r="A51" s="1518" t="s">
        <v>44</v>
      </c>
      <c r="B51" s="615">
        <v>2330</v>
      </c>
      <c r="C51" s="466">
        <v>38720</v>
      </c>
      <c r="D51" s="466">
        <v>4873</v>
      </c>
      <c r="E51" s="466">
        <v>0</v>
      </c>
      <c r="F51" s="466">
        <v>0</v>
      </c>
      <c r="G51" s="466">
        <v>0</v>
      </c>
      <c r="H51" s="466">
        <v>0</v>
      </c>
      <c r="I51" s="467">
        <v>0</v>
      </c>
      <c r="J51" s="467">
        <v>0</v>
      </c>
      <c r="K51" s="1686">
        <f>SUM(C51:J51)</f>
        <v>43593</v>
      </c>
      <c r="L51" s="466">
        <v>43626</v>
      </c>
    </row>
    <row r="52" spans="1:14" ht="22.5" x14ac:dyDescent="0.2">
      <c r="A52" s="1519" t="s">
        <v>316</v>
      </c>
      <c r="B52" s="628" t="s">
        <v>384</v>
      </c>
      <c r="C52" s="474">
        <v>0</v>
      </c>
      <c r="D52" s="474">
        <v>0</v>
      </c>
      <c r="E52" s="474">
        <v>335633</v>
      </c>
      <c r="F52" s="474">
        <v>0</v>
      </c>
      <c r="G52" s="474">
        <v>0</v>
      </c>
      <c r="H52" s="474">
        <v>0</v>
      </c>
      <c r="I52" s="474">
        <v>0</v>
      </c>
      <c r="J52" s="474">
        <v>0</v>
      </c>
      <c r="K52" s="1686">
        <f>SUM(C52:J52)</f>
        <v>335633</v>
      </c>
      <c r="L52" s="474">
        <v>335636</v>
      </c>
    </row>
    <row r="53" spans="1:14" ht="12.75" customHeight="1" thickBot="1" x14ac:dyDescent="0.25">
      <c r="A53" s="1682" t="s">
        <v>741</v>
      </c>
      <c r="B53" s="1683" t="s">
        <v>33</v>
      </c>
      <c r="C53" s="1684">
        <f>SUM(C49:C52)</f>
        <v>554316</v>
      </c>
      <c r="D53" s="1684">
        <f t="shared" ref="D53:L53" si="5">SUM(D49:D52)</f>
        <v>100970</v>
      </c>
      <c r="E53" s="1684">
        <f t="shared" si="5"/>
        <v>587898</v>
      </c>
      <c r="F53" s="1684">
        <f t="shared" si="5"/>
        <v>1971</v>
      </c>
      <c r="G53" s="1684">
        <f t="shared" si="5"/>
        <v>14610</v>
      </c>
      <c r="H53" s="1684">
        <f t="shared" si="5"/>
        <v>27198</v>
      </c>
      <c r="I53" s="1684">
        <f t="shared" si="5"/>
        <v>10829</v>
      </c>
      <c r="J53" s="1684">
        <f t="shared" si="5"/>
        <v>6752</v>
      </c>
      <c r="K53" s="1684">
        <f t="shared" si="5"/>
        <v>1304544</v>
      </c>
      <c r="L53" s="1684">
        <f t="shared" si="5"/>
        <v>1250327</v>
      </c>
    </row>
    <row r="54" spans="1:14" ht="15.75" customHeight="1" thickTop="1" x14ac:dyDescent="0.2">
      <c r="A54" s="625" t="s">
        <v>632</v>
      </c>
      <c r="B54" s="626"/>
      <c r="C54" s="627"/>
      <c r="D54" s="627"/>
      <c r="E54" s="627"/>
      <c r="F54" s="627"/>
      <c r="G54" s="627"/>
      <c r="H54" s="627"/>
      <c r="I54" s="617"/>
      <c r="J54" s="617"/>
      <c r="K54" s="627"/>
      <c r="L54" s="627"/>
    </row>
    <row r="55" spans="1:14" x14ac:dyDescent="0.2">
      <c r="A55" s="1518" t="s">
        <v>1127</v>
      </c>
      <c r="B55" s="615">
        <v>2410</v>
      </c>
      <c r="C55" s="481">
        <v>1047525</v>
      </c>
      <c r="D55" s="481">
        <v>269181</v>
      </c>
      <c r="E55" s="481">
        <v>9339</v>
      </c>
      <c r="F55" s="481">
        <v>9959</v>
      </c>
      <c r="G55" s="481">
        <v>0</v>
      </c>
      <c r="H55" s="481">
        <v>1798</v>
      </c>
      <c r="I55" s="467">
        <v>0</v>
      </c>
      <c r="J55" s="467">
        <v>0</v>
      </c>
      <c r="K55" s="1686">
        <f>SUM(C55:J55)</f>
        <v>1337802</v>
      </c>
      <c r="L55" s="481">
        <v>1350775</v>
      </c>
    </row>
    <row r="56" spans="1:14" ht="12.75" customHeight="1" x14ac:dyDescent="0.2">
      <c r="A56" s="1522" t="s">
        <v>394</v>
      </c>
      <c r="B56" s="629">
        <v>2490</v>
      </c>
      <c r="C56" s="466">
        <v>705290</v>
      </c>
      <c r="D56" s="466">
        <v>156831</v>
      </c>
      <c r="E56" s="466">
        <v>0</v>
      </c>
      <c r="F56" s="466">
        <v>0</v>
      </c>
      <c r="G56" s="466">
        <v>0</v>
      </c>
      <c r="H56" s="466">
        <v>0</v>
      </c>
      <c r="I56" s="467">
        <v>0</v>
      </c>
      <c r="J56" s="467">
        <v>0</v>
      </c>
      <c r="K56" s="1686">
        <f>SUM(C56:J56)</f>
        <v>862121</v>
      </c>
      <c r="L56" s="466">
        <v>848483</v>
      </c>
    </row>
    <row r="57" spans="1:14" s="343" customFormat="1" ht="12.75" customHeight="1" thickBot="1" x14ac:dyDescent="0.25">
      <c r="A57" s="1682" t="s">
        <v>281</v>
      </c>
      <c r="B57" s="1687" t="s">
        <v>34</v>
      </c>
      <c r="C57" s="1688">
        <f>SUM(C55:C56)</f>
        <v>1752815</v>
      </c>
      <c r="D57" s="1688">
        <f t="shared" ref="D57:K57" si="6">SUM(D55:D56)</f>
        <v>426012</v>
      </c>
      <c r="E57" s="1688">
        <f t="shared" si="6"/>
        <v>9339</v>
      </c>
      <c r="F57" s="1688">
        <f t="shared" si="6"/>
        <v>9959</v>
      </c>
      <c r="G57" s="1688">
        <f t="shared" si="6"/>
        <v>0</v>
      </c>
      <c r="H57" s="1688">
        <f t="shared" si="6"/>
        <v>1798</v>
      </c>
      <c r="I57" s="1688">
        <f t="shared" si="6"/>
        <v>0</v>
      </c>
      <c r="J57" s="1688">
        <f t="shared" si="6"/>
        <v>0</v>
      </c>
      <c r="K57" s="1688">
        <f t="shared" si="6"/>
        <v>2199923</v>
      </c>
      <c r="L57" s="1684">
        <f>SUM(L55:L56)</f>
        <v>2199258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8" t="s">
        <v>1128</v>
      </c>
      <c r="B59" s="615">
        <v>2510</v>
      </c>
      <c r="C59" s="481">
        <v>292411</v>
      </c>
      <c r="D59" s="481">
        <v>43438</v>
      </c>
      <c r="E59" s="481">
        <v>10099</v>
      </c>
      <c r="F59" s="481">
        <v>881</v>
      </c>
      <c r="G59" s="481">
        <v>270</v>
      </c>
      <c r="H59" s="481">
        <v>855</v>
      </c>
      <c r="I59" s="467">
        <v>0</v>
      </c>
      <c r="J59" s="467">
        <v>0</v>
      </c>
      <c r="K59" s="1686">
        <f t="shared" ref="K59:K64" si="7">SUM(C59:J59)</f>
        <v>347954</v>
      </c>
      <c r="L59" s="481">
        <v>343584</v>
      </c>
      <c r="M59" s="610"/>
      <c r="N59" s="610"/>
    </row>
    <row r="60" spans="1:14" s="343" customFormat="1" x14ac:dyDescent="0.2">
      <c r="A60" s="1518" t="s">
        <v>483</v>
      </c>
      <c r="B60" s="615">
        <v>2520</v>
      </c>
      <c r="C60" s="466">
        <v>294194</v>
      </c>
      <c r="D60" s="466">
        <v>66952</v>
      </c>
      <c r="E60" s="466">
        <v>11560</v>
      </c>
      <c r="F60" s="466">
        <v>933</v>
      </c>
      <c r="G60" s="466">
        <v>1260</v>
      </c>
      <c r="H60" s="466">
        <v>0</v>
      </c>
      <c r="I60" s="467">
        <v>0</v>
      </c>
      <c r="J60" s="467">
        <v>0</v>
      </c>
      <c r="K60" s="1686">
        <f t="shared" si="7"/>
        <v>374899</v>
      </c>
      <c r="L60" s="466">
        <v>379135</v>
      </c>
      <c r="M60" s="610"/>
      <c r="N60" s="610"/>
    </row>
    <row r="61" spans="1:14" s="343" customFormat="1" x14ac:dyDescent="0.2">
      <c r="A61" s="1518" t="s">
        <v>206</v>
      </c>
      <c r="B61" s="615">
        <v>2540</v>
      </c>
      <c r="C61" s="466">
        <v>160906</v>
      </c>
      <c r="D61" s="466">
        <v>26016</v>
      </c>
      <c r="E61" s="466">
        <v>239436</v>
      </c>
      <c r="F61" s="466">
        <v>666</v>
      </c>
      <c r="G61" s="466">
        <v>0</v>
      </c>
      <c r="H61" s="466">
        <v>0</v>
      </c>
      <c r="I61" s="467">
        <v>0</v>
      </c>
      <c r="J61" s="467">
        <v>0</v>
      </c>
      <c r="K61" s="1686">
        <f t="shared" si="7"/>
        <v>427024</v>
      </c>
      <c r="L61" s="466">
        <v>474142</v>
      </c>
      <c r="M61" s="610"/>
      <c r="N61" s="610"/>
    </row>
    <row r="62" spans="1:14" s="343" customFormat="1" x14ac:dyDescent="0.2">
      <c r="A62" s="1518" t="s">
        <v>1010</v>
      </c>
      <c r="B62" s="615">
        <v>2550</v>
      </c>
      <c r="C62" s="466">
        <v>0</v>
      </c>
      <c r="D62" s="466">
        <v>0</v>
      </c>
      <c r="E62" s="466">
        <v>0</v>
      </c>
      <c r="F62" s="466">
        <v>0</v>
      </c>
      <c r="G62" s="466">
        <v>0</v>
      </c>
      <c r="H62" s="466">
        <v>0</v>
      </c>
      <c r="I62" s="467">
        <v>0</v>
      </c>
      <c r="J62" s="467">
        <v>0</v>
      </c>
      <c r="K62" s="1686">
        <f t="shared" si="7"/>
        <v>0</v>
      </c>
      <c r="L62" s="466">
        <v>0</v>
      </c>
      <c r="M62" s="610"/>
      <c r="N62" s="610"/>
    </row>
    <row r="63" spans="1:14" s="610" customFormat="1" x14ac:dyDescent="0.2">
      <c r="A63" s="1518" t="s">
        <v>102</v>
      </c>
      <c r="B63" s="615">
        <v>2560</v>
      </c>
      <c r="C63" s="466">
        <v>0</v>
      </c>
      <c r="D63" s="466">
        <v>0</v>
      </c>
      <c r="E63" s="466">
        <v>1405168</v>
      </c>
      <c r="F63" s="466">
        <v>10939</v>
      </c>
      <c r="G63" s="466">
        <v>0</v>
      </c>
      <c r="H63" s="466">
        <v>2693</v>
      </c>
      <c r="I63" s="467">
        <v>535</v>
      </c>
      <c r="J63" s="467">
        <v>0</v>
      </c>
      <c r="K63" s="1686">
        <f t="shared" si="7"/>
        <v>1419335</v>
      </c>
      <c r="L63" s="466">
        <v>1526463</v>
      </c>
    </row>
    <row r="64" spans="1:14" s="610" customFormat="1" x14ac:dyDescent="0.2">
      <c r="A64" s="1523" t="s">
        <v>103</v>
      </c>
      <c r="B64" s="631">
        <v>2570</v>
      </c>
      <c r="C64" s="481">
        <v>110963</v>
      </c>
      <c r="D64" s="481">
        <v>44996</v>
      </c>
      <c r="E64" s="481">
        <v>65856</v>
      </c>
      <c r="F64" s="481">
        <v>20173</v>
      </c>
      <c r="G64" s="481">
        <v>7317</v>
      </c>
      <c r="H64" s="481">
        <v>0</v>
      </c>
      <c r="I64" s="467">
        <v>0</v>
      </c>
      <c r="J64" s="467">
        <v>0</v>
      </c>
      <c r="K64" s="1686">
        <f t="shared" si="7"/>
        <v>249305</v>
      </c>
      <c r="L64" s="481">
        <v>291745</v>
      </c>
    </row>
    <row r="65" spans="1:14" s="343" customFormat="1" ht="12.75" customHeight="1" thickBot="1" x14ac:dyDescent="0.25">
      <c r="A65" s="1682" t="s">
        <v>743</v>
      </c>
      <c r="B65" s="1683" t="s">
        <v>35</v>
      </c>
      <c r="C65" s="1684">
        <f>SUM(C59:C64)</f>
        <v>858474</v>
      </c>
      <c r="D65" s="1684">
        <f t="shared" ref="D65:L65" si="8">SUM(D59:D64)</f>
        <v>181402</v>
      </c>
      <c r="E65" s="1684">
        <f t="shared" si="8"/>
        <v>1732119</v>
      </c>
      <c r="F65" s="1684">
        <f t="shared" si="8"/>
        <v>33592</v>
      </c>
      <c r="G65" s="1684">
        <f t="shared" si="8"/>
        <v>8847</v>
      </c>
      <c r="H65" s="1684">
        <f t="shared" si="8"/>
        <v>3548</v>
      </c>
      <c r="I65" s="1684">
        <f t="shared" si="8"/>
        <v>535</v>
      </c>
      <c r="J65" s="1684">
        <f t="shared" si="8"/>
        <v>0</v>
      </c>
      <c r="K65" s="1684">
        <f t="shared" si="8"/>
        <v>2818517</v>
      </c>
      <c r="L65" s="1684">
        <f t="shared" si="8"/>
        <v>3015069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8" t="s">
        <v>1120</v>
      </c>
      <c r="B67" s="615">
        <v>2610</v>
      </c>
      <c r="C67" s="466">
        <v>0</v>
      </c>
      <c r="D67" s="466">
        <v>0</v>
      </c>
      <c r="E67" s="466">
        <v>0</v>
      </c>
      <c r="F67" s="466">
        <v>0</v>
      </c>
      <c r="G67" s="466">
        <v>0</v>
      </c>
      <c r="H67" s="466">
        <v>0</v>
      </c>
      <c r="I67" s="467">
        <v>0</v>
      </c>
      <c r="J67" s="467">
        <v>0</v>
      </c>
      <c r="K67" s="1686">
        <f>SUM(C67:J67)</f>
        <v>0</v>
      </c>
      <c r="L67" s="481">
        <v>0</v>
      </c>
      <c r="M67" s="610"/>
      <c r="N67" s="610"/>
    </row>
    <row r="68" spans="1:14" s="343" customFormat="1" x14ac:dyDescent="0.2">
      <c r="A68" s="1518" t="s">
        <v>628</v>
      </c>
      <c r="B68" s="615">
        <v>2620</v>
      </c>
      <c r="C68" s="466">
        <v>59880</v>
      </c>
      <c r="D68" s="466">
        <v>17379</v>
      </c>
      <c r="E68" s="466">
        <v>229</v>
      </c>
      <c r="F68" s="466">
        <v>0</v>
      </c>
      <c r="G68" s="466">
        <v>0</v>
      </c>
      <c r="H68" s="466">
        <v>0</v>
      </c>
      <c r="I68" s="467">
        <v>0</v>
      </c>
      <c r="J68" s="467">
        <v>0</v>
      </c>
      <c r="K68" s="1686">
        <f>SUM(C68:J68)</f>
        <v>77488</v>
      </c>
      <c r="L68" s="466">
        <v>79704</v>
      </c>
      <c r="M68" s="610"/>
      <c r="N68" s="610"/>
    </row>
    <row r="69" spans="1:14" s="343" customFormat="1" x14ac:dyDescent="0.2">
      <c r="A69" s="1518" t="s">
        <v>1121</v>
      </c>
      <c r="B69" s="615">
        <v>2630</v>
      </c>
      <c r="C69" s="466">
        <v>124375</v>
      </c>
      <c r="D69" s="466">
        <v>8474</v>
      </c>
      <c r="E69" s="466">
        <v>13090</v>
      </c>
      <c r="F69" s="466">
        <v>31</v>
      </c>
      <c r="G69" s="466">
        <v>0</v>
      </c>
      <c r="H69" s="466">
        <v>1667</v>
      </c>
      <c r="I69" s="467">
        <v>0</v>
      </c>
      <c r="J69" s="467">
        <v>0</v>
      </c>
      <c r="K69" s="1686">
        <f>SUM(C69:J69)</f>
        <v>147637</v>
      </c>
      <c r="L69" s="466">
        <v>177474</v>
      </c>
      <c r="M69" s="610"/>
      <c r="N69" s="610"/>
    </row>
    <row r="70" spans="1:14" s="343" customFormat="1" x14ac:dyDescent="0.2">
      <c r="A70" s="1518" t="s">
        <v>423</v>
      </c>
      <c r="B70" s="615">
        <v>2640</v>
      </c>
      <c r="C70" s="466">
        <v>189605</v>
      </c>
      <c r="D70" s="466">
        <v>50749</v>
      </c>
      <c r="E70" s="466">
        <v>22172</v>
      </c>
      <c r="F70" s="466">
        <v>8174</v>
      </c>
      <c r="G70" s="466">
        <v>270</v>
      </c>
      <c r="H70" s="466">
        <v>0</v>
      </c>
      <c r="I70" s="467">
        <v>0</v>
      </c>
      <c r="J70" s="467">
        <v>0</v>
      </c>
      <c r="K70" s="1686">
        <f>SUM(C70:J70)</f>
        <v>270970</v>
      </c>
      <c r="L70" s="466">
        <v>301679</v>
      </c>
      <c r="M70" s="610"/>
      <c r="N70" s="610"/>
    </row>
    <row r="71" spans="1:14" s="343" customFormat="1" x14ac:dyDescent="0.2">
      <c r="A71" s="1518" t="s">
        <v>424</v>
      </c>
      <c r="B71" s="615">
        <v>2660</v>
      </c>
      <c r="C71" s="466">
        <v>109088</v>
      </c>
      <c r="D71" s="466">
        <v>19936</v>
      </c>
      <c r="E71" s="466">
        <v>102271</v>
      </c>
      <c r="F71" s="466">
        <v>903</v>
      </c>
      <c r="G71" s="466">
        <v>0</v>
      </c>
      <c r="H71" s="466">
        <v>200</v>
      </c>
      <c r="I71" s="467">
        <v>0</v>
      </c>
      <c r="J71" s="467">
        <v>0</v>
      </c>
      <c r="K71" s="1686">
        <f>SUM(C71:J71)</f>
        <v>232398</v>
      </c>
      <c r="L71" s="466">
        <v>241584</v>
      </c>
      <c r="M71" s="610"/>
      <c r="N71" s="610"/>
    </row>
    <row r="72" spans="1:14" s="343" customFormat="1" ht="12.75" customHeight="1" thickBot="1" x14ac:dyDescent="0.25">
      <c r="A72" s="1682" t="s">
        <v>37</v>
      </c>
      <c r="B72" s="1689" t="s">
        <v>36</v>
      </c>
      <c r="C72" s="1684">
        <f>SUM(C67:C71)</f>
        <v>482948</v>
      </c>
      <c r="D72" s="1684">
        <f t="shared" ref="D72:K72" si="9">SUM(D67:D71)</f>
        <v>96538</v>
      </c>
      <c r="E72" s="1684">
        <f t="shared" si="9"/>
        <v>137762</v>
      </c>
      <c r="F72" s="1684">
        <f t="shared" si="9"/>
        <v>9108</v>
      </c>
      <c r="G72" s="1684">
        <f t="shared" si="9"/>
        <v>270</v>
      </c>
      <c r="H72" s="1684">
        <f t="shared" si="9"/>
        <v>1867</v>
      </c>
      <c r="I72" s="1684">
        <f t="shared" si="9"/>
        <v>0</v>
      </c>
      <c r="J72" s="1684">
        <f t="shared" si="9"/>
        <v>0</v>
      </c>
      <c r="K72" s="1684">
        <f t="shared" si="9"/>
        <v>728493</v>
      </c>
      <c r="L72" s="1684">
        <f>SUM(L67:L71)</f>
        <v>800441</v>
      </c>
      <c r="M72" s="610"/>
      <c r="N72" s="610"/>
    </row>
    <row r="73" spans="1:14" s="343" customFormat="1" ht="14.25" thickTop="1" thickBot="1" x14ac:dyDescent="0.25">
      <c r="A73" s="1524" t="s">
        <v>1037</v>
      </c>
      <c r="B73" s="633" t="s">
        <v>595</v>
      </c>
      <c r="C73" s="573">
        <v>0</v>
      </c>
      <c r="D73" s="573">
        <v>0</v>
      </c>
      <c r="E73" s="573">
        <v>0</v>
      </c>
      <c r="F73" s="573">
        <v>0</v>
      </c>
      <c r="G73" s="573">
        <v>0</v>
      </c>
      <c r="H73" s="573">
        <v>0</v>
      </c>
      <c r="I73" s="531">
        <v>0</v>
      </c>
      <c r="J73" s="531">
        <v>0</v>
      </c>
      <c r="K73" s="1684">
        <f>SUM(C73:J73)</f>
        <v>0</v>
      </c>
      <c r="L73" s="576">
        <v>0</v>
      </c>
      <c r="M73" s="610"/>
      <c r="N73" s="610"/>
    </row>
    <row r="74" spans="1:14" ht="12.75" customHeight="1" thickTop="1" thickBot="1" x14ac:dyDescent="0.25">
      <c r="A74" s="1682" t="s">
        <v>865</v>
      </c>
      <c r="B74" s="1690">
        <v>2000</v>
      </c>
      <c r="C74" s="1691">
        <f>SUM(C42,C47,C53,C57,C65,C72,C73)</f>
        <v>7990236</v>
      </c>
      <c r="D74" s="1691">
        <f t="shared" ref="D74:K74" si="10">SUM(D42,D47,D53,D57,D65,D72,D73)</f>
        <v>1722186</v>
      </c>
      <c r="E74" s="1691">
        <f t="shared" si="10"/>
        <v>3141269</v>
      </c>
      <c r="F74" s="1691">
        <f t="shared" si="10"/>
        <v>181733</v>
      </c>
      <c r="G74" s="1691">
        <f t="shared" si="10"/>
        <v>55919</v>
      </c>
      <c r="H74" s="1691">
        <f t="shared" si="10"/>
        <v>36521</v>
      </c>
      <c r="I74" s="1691">
        <f t="shared" si="10"/>
        <v>62885</v>
      </c>
      <c r="J74" s="1691">
        <f t="shared" si="10"/>
        <v>6752</v>
      </c>
      <c r="K74" s="1691">
        <f t="shared" si="10"/>
        <v>13197501</v>
      </c>
      <c r="L74" s="1691">
        <f>SUM(L42,L47,L53,L57,L65,L72,L73)</f>
        <v>13492730</v>
      </c>
    </row>
    <row r="75" spans="1:14" s="259" customFormat="1" ht="15.75" customHeight="1" thickTop="1" thickBot="1" x14ac:dyDescent="0.25">
      <c r="A75" s="1624" t="s">
        <v>49</v>
      </c>
      <c r="B75" s="1625" t="s">
        <v>596</v>
      </c>
      <c r="C75" s="573">
        <v>0</v>
      </c>
      <c r="D75" s="573">
        <v>0</v>
      </c>
      <c r="E75" s="573">
        <v>369</v>
      </c>
      <c r="F75" s="573">
        <v>0</v>
      </c>
      <c r="G75" s="573">
        <v>0</v>
      </c>
      <c r="H75" s="573">
        <v>0</v>
      </c>
      <c r="I75" s="531">
        <v>0</v>
      </c>
      <c r="J75" s="531">
        <v>0</v>
      </c>
      <c r="K75" s="1684">
        <f>SUM(C75:J75)</f>
        <v>369</v>
      </c>
      <c r="L75" s="576">
        <v>5997</v>
      </c>
      <c r="M75" s="614"/>
      <c r="N75" s="614"/>
    </row>
    <row r="76" spans="1:14" s="634" customFormat="1" ht="15.75" customHeight="1" thickTop="1" x14ac:dyDescent="0.2">
      <c r="A76" s="1626" t="s">
        <v>383</v>
      </c>
      <c r="B76" s="1623"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8" t="s">
        <v>517</v>
      </c>
      <c r="B78" s="615">
        <v>4110</v>
      </c>
      <c r="C78" s="617"/>
      <c r="D78" s="617"/>
      <c r="E78" s="481">
        <v>0</v>
      </c>
      <c r="F78" s="617"/>
      <c r="G78" s="617"/>
      <c r="H78" s="635">
        <v>0</v>
      </c>
      <c r="I78" s="477"/>
      <c r="J78" s="477"/>
      <c r="K78" s="1685">
        <f t="shared" ref="K78:K83" si="11">SUM(C78:J78)</f>
        <v>0</v>
      </c>
      <c r="L78" s="481">
        <v>3000</v>
      </c>
    </row>
    <row r="79" spans="1:14" x14ac:dyDescent="0.2">
      <c r="A79" s="1518" t="s">
        <v>322</v>
      </c>
      <c r="B79" s="615">
        <v>4120</v>
      </c>
      <c r="C79" s="617"/>
      <c r="D79" s="617"/>
      <c r="E79" s="466">
        <v>2156</v>
      </c>
      <c r="F79" s="617"/>
      <c r="G79" s="617"/>
      <c r="H79" s="466">
        <v>0</v>
      </c>
      <c r="I79" s="477"/>
      <c r="J79" s="477"/>
      <c r="K79" s="1685">
        <f t="shared" si="11"/>
        <v>2156</v>
      </c>
      <c r="L79" s="466">
        <v>3700</v>
      </c>
    </row>
    <row r="80" spans="1:14" x14ac:dyDescent="0.2">
      <c r="A80" s="1518" t="s">
        <v>323</v>
      </c>
      <c r="B80" s="615">
        <v>4130</v>
      </c>
      <c r="C80" s="617"/>
      <c r="D80" s="617"/>
      <c r="E80" s="466">
        <v>0</v>
      </c>
      <c r="F80" s="617"/>
      <c r="G80" s="617"/>
      <c r="H80" s="466">
        <v>0</v>
      </c>
      <c r="I80" s="477"/>
      <c r="J80" s="477"/>
      <c r="K80" s="1685">
        <f t="shared" si="11"/>
        <v>0</v>
      </c>
      <c r="L80" s="466">
        <v>0</v>
      </c>
    </row>
    <row r="81" spans="1:12" x14ac:dyDescent="0.2">
      <c r="A81" s="1518" t="s">
        <v>721</v>
      </c>
      <c r="B81" s="615">
        <v>4140</v>
      </c>
      <c r="C81" s="617"/>
      <c r="D81" s="617"/>
      <c r="E81" s="466">
        <v>0</v>
      </c>
      <c r="F81" s="617"/>
      <c r="G81" s="617"/>
      <c r="H81" s="466">
        <v>0</v>
      </c>
      <c r="I81" s="477"/>
      <c r="J81" s="477"/>
      <c r="K81" s="1685">
        <f t="shared" si="11"/>
        <v>0</v>
      </c>
      <c r="L81" s="466">
        <v>0</v>
      </c>
    </row>
    <row r="82" spans="1:12" x14ac:dyDescent="0.2">
      <c r="A82" s="1518" t="s">
        <v>88</v>
      </c>
      <c r="B82" s="615">
        <v>4170</v>
      </c>
      <c r="C82" s="617"/>
      <c r="D82" s="617"/>
      <c r="E82" s="466">
        <v>0</v>
      </c>
      <c r="F82" s="617"/>
      <c r="G82" s="617"/>
      <c r="H82" s="466">
        <v>0</v>
      </c>
      <c r="I82" s="477"/>
      <c r="J82" s="477"/>
      <c r="K82" s="1685">
        <f t="shared" si="11"/>
        <v>0</v>
      </c>
      <c r="L82" s="466">
        <v>0</v>
      </c>
    </row>
    <row r="83" spans="1:12" x14ac:dyDescent="0.2">
      <c r="A83" s="1522" t="s">
        <v>722</v>
      </c>
      <c r="B83" s="629">
        <v>4190</v>
      </c>
      <c r="C83" s="617"/>
      <c r="D83" s="617"/>
      <c r="E83" s="466">
        <v>0</v>
      </c>
      <c r="F83" s="617"/>
      <c r="G83" s="617"/>
      <c r="H83" s="466">
        <v>0</v>
      </c>
      <c r="I83" s="477"/>
      <c r="J83" s="477"/>
      <c r="K83" s="1685">
        <f t="shared" si="11"/>
        <v>0</v>
      </c>
      <c r="L83" s="466">
        <v>0</v>
      </c>
    </row>
    <row r="84" spans="1:12" ht="13.5" thickBot="1" x14ac:dyDescent="0.25">
      <c r="A84" s="1682" t="s">
        <v>1565</v>
      </c>
      <c r="B84" s="1692">
        <v>4100</v>
      </c>
      <c r="C84" s="617"/>
      <c r="D84" s="617"/>
      <c r="E84" s="1684">
        <f>SUM(E78:E83)</f>
        <v>2156</v>
      </c>
      <c r="F84" s="617"/>
      <c r="G84" s="617"/>
      <c r="H84" s="1684">
        <f>SUM(H78:H83)</f>
        <v>0</v>
      </c>
      <c r="I84" s="477"/>
      <c r="J84" s="477"/>
      <c r="K84" s="1684">
        <f>SUM(K78:K83)</f>
        <v>2156</v>
      </c>
      <c r="L84" s="1684">
        <f>SUM(L78:L83)</f>
        <v>6700</v>
      </c>
    </row>
    <row r="85" spans="1:12" ht="12.75" customHeight="1" thickTop="1" thickBot="1" x14ac:dyDescent="0.25">
      <c r="A85" s="1525" t="s">
        <v>273</v>
      </c>
      <c r="B85" s="636">
        <v>4210</v>
      </c>
      <c r="C85" s="617"/>
      <c r="D85" s="617"/>
      <c r="E85" s="637"/>
      <c r="F85" s="617"/>
      <c r="G85" s="617"/>
      <c r="H85" s="535">
        <v>15165</v>
      </c>
      <c r="I85" s="477"/>
      <c r="J85" s="477"/>
      <c r="K85" s="1691">
        <f>H85</f>
        <v>15165</v>
      </c>
      <c r="L85" s="530">
        <v>3300</v>
      </c>
    </row>
    <row r="86" spans="1:12" ht="12.75" customHeight="1" thickTop="1" thickBot="1" x14ac:dyDescent="0.25">
      <c r="A86" s="1526" t="s">
        <v>723</v>
      </c>
      <c r="B86" s="638">
        <v>4220</v>
      </c>
      <c r="C86" s="617"/>
      <c r="D86" s="617"/>
      <c r="E86" s="639"/>
      <c r="F86" s="617"/>
      <c r="G86" s="617"/>
      <c r="H86" s="467">
        <v>1350557</v>
      </c>
      <c r="I86" s="477"/>
      <c r="J86" s="477"/>
      <c r="K86" s="1691">
        <f t="shared" ref="K86:K98" si="12">H86</f>
        <v>1350557</v>
      </c>
      <c r="L86" s="530">
        <v>1314227</v>
      </c>
    </row>
    <row r="87" spans="1:12" ht="14.25" thickTop="1" thickBot="1" x14ac:dyDescent="0.25">
      <c r="A87" s="1527" t="s">
        <v>724</v>
      </c>
      <c r="B87" s="640">
        <v>4230</v>
      </c>
      <c r="C87" s="617"/>
      <c r="D87" s="617"/>
      <c r="E87" s="639"/>
      <c r="F87" s="617"/>
      <c r="G87" s="617"/>
      <c r="H87" s="467">
        <v>0</v>
      </c>
      <c r="I87" s="477"/>
      <c r="J87" s="477"/>
      <c r="K87" s="1691">
        <f t="shared" si="12"/>
        <v>0</v>
      </c>
      <c r="L87" s="530">
        <v>0</v>
      </c>
    </row>
    <row r="88" spans="1:12" ht="12.75" customHeight="1" thickTop="1" thickBot="1" x14ac:dyDescent="0.25">
      <c r="A88" s="1527" t="s">
        <v>789</v>
      </c>
      <c r="B88" s="640">
        <v>4240</v>
      </c>
      <c r="C88" s="617"/>
      <c r="D88" s="617"/>
      <c r="E88" s="639"/>
      <c r="F88" s="617"/>
      <c r="G88" s="617"/>
      <c r="H88" s="467">
        <v>385603</v>
      </c>
      <c r="I88" s="477"/>
      <c r="J88" s="477"/>
      <c r="K88" s="1691">
        <f t="shared" si="12"/>
        <v>385603</v>
      </c>
      <c r="L88" s="530">
        <v>453200</v>
      </c>
    </row>
    <row r="89" spans="1:12" ht="12.75" customHeight="1" thickTop="1" thickBot="1" x14ac:dyDescent="0.25">
      <c r="A89" s="1527" t="s">
        <v>725</v>
      </c>
      <c r="B89" s="640">
        <v>4270</v>
      </c>
      <c r="C89" s="617"/>
      <c r="D89" s="617"/>
      <c r="E89" s="639"/>
      <c r="F89" s="617"/>
      <c r="G89" s="617"/>
      <c r="H89" s="467">
        <v>0</v>
      </c>
      <c r="I89" s="477"/>
      <c r="J89" s="477"/>
      <c r="K89" s="1691">
        <f t="shared" si="12"/>
        <v>0</v>
      </c>
      <c r="L89" s="530">
        <v>0</v>
      </c>
    </row>
    <row r="90" spans="1:12" ht="12.75" customHeight="1" thickTop="1" thickBot="1" x14ac:dyDescent="0.25">
      <c r="A90" s="1527" t="s">
        <v>710</v>
      </c>
      <c r="B90" s="640">
        <v>4280</v>
      </c>
      <c r="C90" s="617"/>
      <c r="D90" s="617"/>
      <c r="E90" s="639"/>
      <c r="F90" s="617"/>
      <c r="G90" s="617"/>
      <c r="H90" s="467">
        <v>0</v>
      </c>
      <c r="I90" s="477"/>
      <c r="J90" s="477"/>
      <c r="K90" s="1691">
        <f t="shared" si="12"/>
        <v>0</v>
      </c>
      <c r="L90" s="530">
        <v>1600</v>
      </c>
    </row>
    <row r="91" spans="1:12" ht="12.75" customHeight="1" thickTop="1" thickBot="1" x14ac:dyDescent="0.25">
      <c r="A91" s="1527" t="s">
        <v>711</v>
      </c>
      <c r="B91" s="640">
        <v>4290</v>
      </c>
      <c r="C91" s="617"/>
      <c r="D91" s="617"/>
      <c r="E91" s="639"/>
      <c r="F91" s="617"/>
      <c r="G91" s="617"/>
      <c r="H91" s="467">
        <v>0</v>
      </c>
      <c r="I91" s="477"/>
      <c r="J91" s="477"/>
      <c r="K91" s="1691">
        <f t="shared" si="12"/>
        <v>0</v>
      </c>
      <c r="L91" s="530">
        <v>0</v>
      </c>
    </row>
    <row r="92" spans="1:12" ht="14.25" thickTop="1" thickBot="1" x14ac:dyDescent="0.25">
      <c r="A92" s="1694" t="s">
        <v>1641</v>
      </c>
      <c r="B92" s="1692">
        <v>4200</v>
      </c>
      <c r="C92" s="617"/>
      <c r="D92" s="617"/>
      <c r="E92" s="639"/>
      <c r="F92" s="617"/>
      <c r="G92" s="617"/>
      <c r="H92" s="1684">
        <f>SUM(H85:H91)</f>
        <v>1751325</v>
      </c>
      <c r="I92" s="477"/>
      <c r="J92" s="477"/>
      <c r="K92" s="1691">
        <f t="shared" si="12"/>
        <v>1751325</v>
      </c>
      <c r="L92" s="1684">
        <f>SUM(L85:L91)</f>
        <v>1772327</v>
      </c>
    </row>
    <row r="93" spans="1:12" ht="14.25" thickTop="1" thickBot="1" x14ac:dyDescent="0.25">
      <c r="A93" s="1526" t="s">
        <v>712</v>
      </c>
      <c r="B93" s="641">
        <v>4310</v>
      </c>
      <c r="C93" s="617"/>
      <c r="D93" s="617"/>
      <c r="E93" s="639"/>
      <c r="F93" s="617"/>
      <c r="G93" s="617"/>
      <c r="H93" s="642">
        <v>0</v>
      </c>
      <c r="I93" s="477"/>
      <c r="J93" s="477"/>
      <c r="K93" s="1691">
        <f t="shared" si="12"/>
        <v>0</v>
      </c>
      <c r="L93" s="532">
        <v>0</v>
      </c>
    </row>
    <row r="94" spans="1:12" ht="12.75" customHeight="1" thickTop="1" thickBot="1" x14ac:dyDescent="0.25">
      <c r="A94" s="1527" t="s">
        <v>713</v>
      </c>
      <c r="B94" s="640">
        <v>4320</v>
      </c>
      <c r="C94" s="617"/>
      <c r="D94" s="617"/>
      <c r="E94" s="639"/>
      <c r="F94" s="617"/>
      <c r="G94" s="617"/>
      <c r="H94" s="467">
        <v>0</v>
      </c>
      <c r="I94" s="477"/>
      <c r="J94" s="477"/>
      <c r="K94" s="1691">
        <f t="shared" si="12"/>
        <v>0</v>
      </c>
      <c r="L94" s="530">
        <v>0</v>
      </c>
    </row>
    <row r="95" spans="1:12" ht="15" customHeight="1" thickTop="1" thickBot="1" x14ac:dyDescent="0.25">
      <c r="A95" s="1527" t="s">
        <v>1568</v>
      </c>
      <c r="B95" s="640">
        <v>4330</v>
      </c>
      <c r="C95" s="617"/>
      <c r="D95" s="617"/>
      <c r="E95" s="639"/>
      <c r="F95" s="617"/>
      <c r="G95" s="617"/>
      <c r="H95" s="467">
        <v>0</v>
      </c>
      <c r="I95" s="477"/>
      <c r="J95" s="477"/>
      <c r="K95" s="1691">
        <f t="shared" si="12"/>
        <v>0</v>
      </c>
      <c r="L95" s="530">
        <v>0</v>
      </c>
    </row>
    <row r="96" spans="1:12" ht="14.25" thickTop="1" thickBot="1" x14ac:dyDescent="0.25">
      <c r="A96" s="1527" t="s">
        <v>714</v>
      </c>
      <c r="B96" s="640">
        <v>4340</v>
      </c>
      <c r="C96" s="617"/>
      <c r="D96" s="617"/>
      <c r="E96" s="639"/>
      <c r="F96" s="617"/>
      <c r="G96" s="617"/>
      <c r="H96" s="467">
        <v>0</v>
      </c>
      <c r="I96" s="477"/>
      <c r="J96" s="477"/>
      <c r="K96" s="1691">
        <f t="shared" si="12"/>
        <v>0</v>
      </c>
      <c r="L96" s="530">
        <v>0</v>
      </c>
    </row>
    <row r="97" spans="1:14" ht="12.75" customHeight="1" thickTop="1" thickBot="1" x14ac:dyDescent="0.25">
      <c r="A97" s="1527" t="s">
        <v>787</v>
      </c>
      <c r="B97" s="640">
        <v>4370</v>
      </c>
      <c r="C97" s="617"/>
      <c r="D97" s="617"/>
      <c r="E97" s="639"/>
      <c r="F97" s="617"/>
      <c r="G97" s="617"/>
      <c r="H97" s="467">
        <v>0</v>
      </c>
      <c r="I97" s="477"/>
      <c r="J97" s="477"/>
      <c r="K97" s="1691">
        <f t="shared" si="12"/>
        <v>0</v>
      </c>
      <c r="L97" s="530">
        <v>0</v>
      </c>
    </row>
    <row r="98" spans="1:14" ht="14.25" thickTop="1" thickBot="1" x14ac:dyDescent="0.25">
      <c r="A98" s="1527" t="s">
        <v>788</v>
      </c>
      <c r="B98" s="640">
        <v>4380</v>
      </c>
      <c r="C98" s="617"/>
      <c r="D98" s="617"/>
      <c r="E98" s="643"/>
      <c r="F98" s="617"/>
      <c r="G98" s="617"/>
      <c r="H98" s="467">
        <v>0</v>
      </c>
      <c r="I98" s="477"/>
      <c r="J98" s="477"/>
      <c r="K98" s="1691">
        <f t="shared" si="12"/>
        <v>0</v>
      </c>
      <c r="L98" s="530">
        <v>0</v>
      </c>
    </row>
    <row r="99" spans="1:14" ht="14.25" thickTop="1" thickBot="1" x14ac:dyDescent="0.25">
      <c r="A99" s="1527" t="s">
        <v>385</v>
      </c>
      <c r="B99" s="640">
        <v>4390</v>
      </c>
      <c r="C99" s="617"/>
      <c r="D99" s="617"/>
      <c r="E99" s="532">
        <v>0</v>
      </c>
      <c r="F99" s="617"/>
      <c r="G99" s="617"/>
      <c r="H99" s="467">
        <v>0</v>
      </c>
      <c r="I99" s="477"/>
      <c r="J99" s="477"/>
      <c r="K99" s="1691">
        <f>SUM(E99,H99)</f>
        <v>0</v>
      </c>
      <c r="L99" s="530">
        <v>0</v>
      </c>
    </row>
    <row r="100" spans="1:14" ht="14.25" thickTop="1" thickBot="1" x14ac:dyDescent="0.25">
      <c r="A100" s="1694" t="s">
        <v>1566</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24" t="s">
        <v>1569</v>
      </c>
      <c r="B101" s="644" t="s">
        <v>988</v>
      </c>
      <c r="C101" s="617"/>
      <c r="D101" s="617"/>
      <c r="E101" s="531">
        <v>0</v>
      </c>
      <c r="F101" s="617"/>
      <c r="G101" s="617"/>
      <c r="H101" s="531">
        <v>0</v>
      </c>
      <c r="I101" s="477"/>
      <c r="J101" s="477"/>
      <c r="K101" s="1693">
        <f>SUM(C101:J101)</f>
        <v>0</v>
      </c>
      <c r="L101" s="530">
        <v>0</v>
      </c>
    </row>
    <row r="102" spans="1:14" ht="12.75" customHeight="1" thickTop="1" thickBot="1" x14ac:dyDescent="0.25">
      <c r="A102" s="1682" t="s">
        <v>1567</v>
      </c>
      <c r="B102" s="1692">
        <v>4000</v>
      </c>
      <c r="C102" s="617"/>
      <c r="D102" s="617"/>
      <c r="E102" s="1691">
        <f>SUM(E84,E92,E100,E101)</f>
        <v>2156</v>
      </c>
      <c r="F102" s="617"/>
      <c r="G102" s="617"/>
      <c r="H102" s="1691">
        <f>SUM(H84,H92,H100,H101)</f>
        <v>1751325</v>
      </c>
      <c r="I102" s="477"/>
      <c r="J102" s="477"/>
      <c r="K102" s="1691">
        <f>SUM(K84,K92,K100,K101)</f>
        <v>1753481</v>
      </c>
      <c r="L102" s="1691">
        <f>SUM(L84,L92,L100,L101)</f>
        <v>1779027</v>
      </c>
    </row>
    <row r="103" spans="1:14" s="634" customFormat="1" ht="15.75" customHeight="1" thickTop="1" x14ac:dyDescent="0.2">
      <c r="A103" s="1626" t="s">
        <v>534</v>
      </c>
      <c r="B103" s="1623"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8" t="s">
        <v>89</v>
      </c>
      <c r="B105" s="615">
        <v>5110</v>
      </c>
      <c r="C105" s="617"/>
      <c r="D105" s="617"/>
      <c r="E105" s="617"/>
      <c r="F105" s="617"/>
      <c r="G105" s="617"/>
      <c r="H105" s="481">
        <v>0</v>
      </c>
      <c r="I105" s="468"/>
      <c r="J105" s="468"/>
      <c r="K105" s="1685">
        <f>H105</f>
        <v>0</v>
      </c>
      <c r="L105" s="481">
        <v>0</v>
      </c>
      <c r="M105" s="210"/>
      <c r="N105" s="210"/>
    </row>
    <row r="106" spans="1:14" s="598" customFormat="1" x14ac:dyDescent="0.2">
      <c r="A106" s="1518" t="s">
        <v>90</v>
      </c>
      <c r="B106" s="615">
        <v>5120</v>
      </c>
      <c r="C106" s="617"/>
      <c r="D106" s="617"/>
      <c r="E106" s="617"/>
      <c r="F106" s="617"/>
      <c r="G106" s="617"/>
      <c r="H106" s="466">
        <v>0</v>
      </c>
      <c r="I106" s="468"/>
      <c r="J106" s="468"/>
      <c r="K106" s="1685">
        <f>H106</f>
        <v>0</v>
      </c>
      <c r="L106" s="466">
        <v>0</v>
      </c>
      <c r="M106" s="210"/>
      <c r="N106" s="210"/>
    </row>
    <row r="107" spans="1:14" s="598" customFormat="1" ht="12.75" customHeight="1" x14ac:dyDescent="0.2">
      <c r="A107" s="1518" t="s">
        <v>1232</v>
      </c>
      <c r="B107" s="615">
        <v>5130</v>
      </c>
      <c r="C107" s="617"/>
      <c r="D107" s="617"/>
      <c r="E107" s="617"/>
      <c r="F107" s="617"/>
      <c r="G107" s="617"/>
      <c r="H107" s="466">
        <v>0</v>
      </c>
      <c r="I107" s="468"/>
      <c r="J107" s="468"/>
      <c r="K107" s="1685">
        <f>H107</f>
        <v>0</v>
      </c>
      <c r="L107" s="466">
        <v>0</v>
      </c>
      <c r="M107" s="210"/>
      <c r="N107" s="210"/>
    </row>
    <row r="108" spans="1:14" s="598" customFormat="1" x14ac:dyDescent="0.2">
      <c r="A108" s="1518" t="s">
        <v>91</v>
      </c>
      <c r="B108" s="615" t="s">
        <v>610</v>
      </c>
      <c r="C108" s="617"/>
      <c r="D108" s="617"/>
      <c r="E108" s="617"/>
      <c r="F108" s="617"/>
      <c r="G108" s="617"/>
      <c r="H108" s="466">
        <v>0</v>
      </c>
      <c r="I108" s="468"/>
      <c r="J108" s="468"/>
      <c r="K108" s="1685">
        <f>H108</f>
        <v>0</v>
      </c>
      <c r="L108" s="466">
        <v>0</v>
      </c>
      <c r="M108" s="210"/>
      <c r="N108" s="210"/>
    </row>
    <row r="109" spans="1:14" s="598" customFormat="1" x14ac:dyDescent="0.2">
      <c r="A109" s="1518" t="s">
        <v>272</v>
      </c>
      <c r="B109" s="629">
        <v>5150</v>
      </c>
      <c r="C109" s="617"/>
      <c r="D109" s="617"/>
      <c r="E109" s="617"/>
      <c r="F109" s="617"/>
      <c r="G109" s="617"/>
      <c r="H109" s="466">
        <v>0</v>
      </c>
      <c r="I109" s="468"/>
      <c r="J109" s="468"/>
      <c r="K109" s="1685">
        <f>H109</f>
        <v>0</v>
      </c>
      <c r="L109" s="466">
        <v>0</v>
      </c>
      <c r="M109" s="210"/>
      <c r="N109" s="210"/>
    </row>
    <row r="110" spans="1:14" s="598" customFormat="1" ht="12.75" customHeight="1" thickBot="1" x14ac:dyDescent="0.25">
      <c r="A110" s="1682" t="s">
        <v>1164</v>
      </c>
      <c r="B110" s="1689" t="s">
        <v>742</v>
      </c>
      <c r="C110" s="617"/>
      <c r="D110" s="617"/>
      <c r="E110" s="617"/>
      <c r="F110" s="617"/>
      <c r="G110" s="617"/>
      <c r="H110" s="1684">
        <f>SUM(H105:H109)</f>
        <v>0</v>
      </c>
      <c r="I110" s="468"/>
      <c r="J110" s="468"/>
      <c r="K110" s="1684">
        <f>SUM(K105:K109)</f>
        <v>0</v>
      </c>
      <c r="L110" s="1684">
        <f>SUM(L105:L109)</f>
        <v>0</v>
      </c>
      <c r="M110" s="210"/>
      <c r="N110" s="210"/>
    </row>
    <row r="111" spans="1:14" s="598" customFormat="1" ht="12.75" customHeight="1" thickTop="1" thickBot="1" x14ac:dyDescent="0.25">
      <c r="A111" s="1528" t="s">
        <v>386</v>
      </c>
      <c r="B111" s="648" t="s">
        <v>38</v>
      </c>
      <c r="C111" s="617"/>
      <c r="D111" s="617"/>
      <c r="E111" s="617"/>
      <c r="F111" s="617"/>
      <c r="G111" s="617"/>
      <c r="H111" s="535">
        <v>0</v>
      </c>
      <c r="I111" s="468"/>
      <c r="J111" s="468"/>
      <c r="K111" s="1697">
        <f>H111</f>
        <v>0</v>
      </c>
      <c r="L111" s="532">
        <v>0</v>
      </c>
      <c r="M111" s="210"/>
      <c r="N111" s="210"/>
    </row>
    <row r="112" spans="1:14" s="598" customFormat="1" ht="12.75" customHeight="1" thickTop="1" thickBot="1" x14ac:dyDescent="0.25">
      <c r="A112" s="1682" t="s">
        <v>659</v>
      </c>
      <c r="B112" s="1683" t="s">
        <v>513</v>
      </c>
      <c r="C112" s="617"/>
      <c r="D112" s="617"/>
      <c r="E112" s="617"/>
      <c r="F112" s="617"/>
      <c r="G112" s="617"/>
      <c r="H112" s="1684">
        <f>SUM(H110:H111)</f>
        <v>0</v>
      </c>
      <c r="I112" s="468"/>
      <c r="J112" s="468"/>
      <c r="K112" s="1684">
        <f>SUM(K110:K111)</f>
        <v>0</v>
      </c>
      <c r="L112" s="1691">
        <f>SUM(L110,L111)</f>
        <v>0</v>
      </c>
      <c r="M112" s="210"/>
      <c r="N112" s="210"/>
    </row>
    <row r="113" spans="1:14" s="259" customFormat="1" ht="15.75" customHeight="1" thickTop="1" thickBot="1" x14ac:dyDescent="0.25">
      <c r="A113" s="1620" t="s">
        <v>535</v>
      </c>
      <c r="B113" s="1627" t="s">
        <v>916</v>
      </c>
      <c r="C113" s="624"/>
      <c r="D113" s="624"/>
      <c r="E113" s="617"/>
      <c r="F113" s="617"/>
      <c r="G113" s="617"/>
      <c r="H113" s="624"/>
      <c r="I113" s="468"/>
      <c r="J113" s="468"/>
      <c r="K113" s="624"/>
      <c r="L113" s="531">
        <v>0</v>
      </c>
      <c r="M113" s="614"/>
      <c r="N113" s="614"/>
    </row>
    <row r="114" spans="1:14" ht="12.75" customHeight="1" thickTop="1" thickBot="1" x14ac:dyDescent="0.25">
      <c r="A114" s="1682" t="s">
        <v>50</v>
      </c>
      <c r="B114" s="1696"/>
      <c r="C114" s="1684">
        <f>SUM(C33,C74,C75,C102,C112,C113)</f>
        <v>24952861</v>
      </c>
      <c r="D114" s="1684">
        <f t="shared" ref="D114:K114" si="13">SUM(D33,D74,D75,D102,D112,D113)</f>
        <v>4615620</v>
      </c>
      <c r="E114" s="1684">
        <f t="shared" si="13"/>
        <v>3603516</v>
      </c>
      <c r="F114" s="1684">
        <f t="shared" si="13"/>
        <v>1035792</v>
      </c>
      <c r="G114" s="1684">
        <f t="shared" si="13"/>
        <v>317636</v>
      </c>
      <c r="H114" s="1684">
        <f>SUM(H33,H74,H75,H102,H112,H113)</f>
        <v>2711104</v>
      </c>
      <c r="I114" s="1684">
        <f t="shared" si="13"/>
        <v>165182</v>
      </c>
      <c r="J114" s="1684">
        <f t="shared" si="13"/>
        <v>6752</v>
      </c>
      <c r="K114" s="1684">
        <f t="shared" si="13"/>
        <v>37408463</v>
      </c>
      <c r="L114" s="1684">
        <f>SUM(L33,L74,L75,L102,L112,L113)</f>
        <v>38449614</v>
      </c>
    </row>
    <row r="115" spans="1:14" ht="13.5" thickTop="1" x14ac:dyDescent="0.2">
      <c r="A115" s="2216" t="s">
        <v>1053</v>
      </c>
      <c r="B115" s="2217"/>
      <c r="C115" s="619"/>
      <c r="D115" s="619"/>
      <c r="E115" s="619"/>
      <c r="F115" s="619"/>
      <c r="G115" s="619"/>
      <c r="H115" s="619"/>
      <c r="I115" s="619"/>
      <c r="J115" s="619"/>
      <c r="K115" s="1698">
        <f>'Revenues 9-14'!C275-'Expenditures 15-22'!K114</f>
        <v>2277683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4" t="s">
        <v>314</v>
      </c>
      <c r="B117" s="2195"/>
      <c r="C117" s="1640"/>
      <c r="D117" s="1641"/>
      <c r="E117" s="1641"/>
      <c r="F117" s="1641"/>
      <c r="G117" s="1641"/>
      <c r="H117" s="1641"/>
      <c r="I117" s="1641"/>
      <c r="J117" s="1641"/>
      <c r="K117" s="1641"/>
      <c r="L117" s="1642"/>
      <c r="M117" s="175"/>
      <c r="N117" s="175"/>
    </row>
    <row r="118" spans="1:14" ht="15.75" customHeight="1" x14ac:dyDescent="0.2">
      <c r="A118" s="1628" t="s">
        <v>1095</v>
      </c>
      <c r="B118" s="1629"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2" t="s">
        <v>167</v>
      </c>
      <c r="B120" s="629">
        <v>2190</v>
      </c>
      <c r="C120" s="466">
        <v>0</v>
      </c>
      <c r="D120" s="466">
        <v>0</v>
      </c>
      <c r="E120" s="466">
        <v>0</v>
      </c>
      <c r="F120" s="466">
        <v>0</v>
      </c>
      <c r="G120" s="466">
        <v>0</v>
      </c>
      <c r="H120" s="466">
        <v>0</v>
      </c>
      <c r="I120" s="467">
        <v>0</v>
      </c>
      <c r="J120" s="467">
        <v>0</v>
      </c>
      <c r="K120" s="168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8" t="s">
        <v>1128</v>
      </c>
      <c r="B122" s="615">
        <v>2510</v>
      </c>
      <c r="C122" s="466">
        <v>0</v>
      </c>
      <c r="D122" s="466">
        <v>0</v>
      </c>
      <c r="E122" s="466">
        <v>0</v>
      </c>
      <c r="F122" s="466">
        <v>0</v>
      </c>
      <c r="G122" s="466">
        <v>0</v>
      </c>
      <c r="H122" s="466">
        <v>0</v>
      </c>
      <c r="I122" s="467">
        <v>0</v>
      </c>
      <c r="J122" s="467">
        <v>0</v>
      </c>
      <c r="K122" s="1684">
        <f>SUM(C122:J122)</f>
        <v>0</v>
      </c>
      <c r="L122" s="466">
        <v>0</v>
      </c>
    </row>
    <row r="123" spans="1:14" ht="14.25" thickTop="1" thickBot="1" x14ac:dyDescent="0.25">
      <c r="A123" s="1518" t="s">
        <v>4</v>
      </c>
      <c r="B123" s="615">
        <v>2530</v>
      </c>
      <c r="C123" s="466">
        <v>0</v>
      </c>
      <c r="D123" s="466">
        <v>0</v>
      </c>
      <c r="E123" s="466">
        <v>0</v>
      </c>
      <c r="F123" s="466">
        <v>0</v>
      </c>
      <c r="G123" s="466">
        <v>12875</v>
      </c>
      <c r="H123" s="466">
        <v>0</v>
      </c>
      <c r="I123" s="467">
        <v>0</v>
      </c>
      <c r="J123" s="467">
        <v>0</v>
      </c>
      <c r="K123" s="1684">
        <f>SUM(C123:J123)</f>
        <v>12875</v>
      </c>
      <c r="L123" s="466">
        <v>15110</v>
      </c>
    </row>
    <row r="124" spans="1:14" ht="14.25" thickTop="1" thickBot="1" x14ac:dyDescent="0.25">
      <c r="A124" s="1518" t="s">
        <v>206</v>
      </c>
      <c r="B124" s="615">
        <v>2540</v>
      </c>
      <c r="C124" s="466">
        <v>1972412</v>
      </c>
      <c r="D124" s="466">
        <v>578643</v>
      </c>
      <c r="E124" s="466">
        <v>905743</v>
      </c>
      <c r="F124" s="466">
        <v>903060</v>
      </c>
      <c r="G124" s="466">
        <v>44726</v>
      </c>
      <c r="H124" s="466">
        <v>728</v>
      </c>
      <c r="I124" s="467">
        <v>3049</v>
      </c>
      <c r="J124" s="467">
        <v>3162</v>
      </c>
      <c r="K124" s="1684">
        <f>SUM(C124:J124)</f>
        <v>4411523</v>
      </c>
      <c r="L124" s="466">
        <v>4738794</v>
      </c>
    </row>
    <row r="125" spans="1:14" ht="14.25" thickTop="1" thickBot="1" x14ac:dyDescent="0.25">
      <c r="A125" s="1518" t="s">
        <v>1010</v>
      </c>
      <c r="B125" s="615">
        <v>2550</v>
      </c>
      <c r="C125" s="466">
        <v>0</v>
      </c>
      <c r="D125" s="466">
        <v>0</v>
      </c>
      <c r="E125" s="466">
        <v>0</v>
      </c>
      <c r="F125" s="466">
        <v>0</v>
      </c>
      <c r="G125" s="466">
        <v>0</v>
      </c>
      <c r="H125" s="466">
        <v>0</v>
      </c>
      <c r="I125" s="467">
        <v>0</v>
      </c>
      <c r="J125" s="467">
        <v>0</v>
      </c>
      <c r="K125" s="1684">
        <f>SUM(C125:J125)</f>
        <v>0</v>
      </c>
      <c r="L125" s="466">
        <v>0</v>
      </c>
    </row>
    <row r="126" spans="1:14" ht="14.25" thickTop="1" thickBot="1" x14ac:dyDescent="0.25">
      <c r="A126" s="1518" t="s">
        <v>102</v>
      </c>
      <c r="B126" s="615">
        <v>2560</v>
      </c>
      <c r="C126" s="655"/>
      <c r="D126" s="655"/>
      <c r="E126" s="655"/>
      <c r="F126" s="655"/>
      <c r="G126" s="466">
        <v>8181</v>
      </c>
      <c r="H126" s="655"/>
      <c r="I126" s="474">
        <v>0</v>
      </c>
      <c r="J126" s="617"/>
      <c r="K126" s="1684">
        <f>SUM(C126:J126)</f>
        <v>8181</v>
      </c>
      <c r="L126" s="466">
        <v>16500</v>
      </c>
    </row>
    <row r="127" spans="1:14" ht="12.75" customHeight="1" thickTop="1" thickBot="1" x14ac:dyDescent="0.25">
      <c r="A127" s="1682" t="s">
        <v>743</v>
      </c>
      <c r="B127" s="1683" t="s">
        <v>35</v>
      </c>
      <c r="C127" s="1684">
        <f>SUM(C122:C126)</f>
        <v>1972412</v>
      </c>
      <c r="D127" s="1684">
        <f t="shared" ref="D127:L127" si="14">SUM(D122:D126)</f>
        <v>578643</v>
      </c>
      <c r="E127" s="1684">
        <f t="shared" si="14"/>
        <v>905743</v>
      </c>
      <c r="F127" s="1684">
        <f t="shared" si="14"/>
        <v>903060</v>
      </c>
      <c r="G127" s="1684">
        <f t="shared" si="14"/>
        <v>65782</v>
      </c>
      <c r="H127" s="1684">
        <f t="shared" si="14"/>
        <v>728</v>
      </c>
      <c r="I127" s="1684">
        <f t="shared" si="14"/>
        <v>3049</v>
      </c>
      <c r="J127" s="1684">
        <f t="shared" si="14"/>
        <v>3162</v>
      </c>
      <c r="K127" s="1684">
        <f t="shared" si="14"/>
        <v>4432579</v>
      </c>
      <c r="L127" s="1684">
        <f t="shared" si="14"/>
        <v>4770404</v>
      </c>
    </row>
    <row r="128" spans="1:14" ht="12.75" customHeight="1" thickTop="1" x14ac:dyDescent="0.2">
      <c r="A128" s="1525" t="s">
        <v>1037</v>
      </c>
      <c r="B128" s="656" t="s">
        <v>595</v>
      </c>
      <c r="C128" s="657">
        <v>0</v>
      </c>
      <c r="D128" s="657">
        <v>0</v>
      </c>
      <c r="E128" s="657">
        <v>1840</v>
      </c>
      <c r="F128" s="657">
        <v>0</v>
      </c>
      <c r="G128" s="657">
        <v>0</v>
      </c>
      <c r="H128" s="657">
        <v>0</v>
      </c>
      <c r="I128" s="535">
        <v>0</v>
      </c>
      <c r="J128" s="535">
        <v>0</v>
      </c>
      <c r="K128" s="1699">
        <f>SUM(C128:J128)</f>
        <v>1840</v>
      </c>
      <c r="L128" s="657">
        <v>1600</v>
      </c>
    </row>
    <row r="129" spans="1:14" ht="12.75" customHeight="1" thickBot="1" x14ac:dyDescent="0.25">
      <c r="A129" s="1700" t="s">
        <v>865</v>
      </c>
      <c r="B129" s="1701" t="s">
        <v>590</v>
      </c>
      <c r="C129" s="1691">
        <f>SUM(C120,C127,C128)</f>
        <v>1972412</v>
      </c>
      <c r="D129" s="1691">
        <f t="shared" ref="D129:L129" si="15">SUM(D120,D127,D128)</f>
        <v>578643</v>
      </c>
      <c r="E129" s="1691">
        <f t="shared" si="15"/>
        <v>907583</v>
      </c>
      <c r="F129" s="1691">
        <f t="shared" si="15"/>
        <v>903060</v>
      </c>
      <c r="G129" s="1691">
        <f t="shared" si="15"/>
        <v>65782</v>
      </c>
      <c r="H129" s="1691">
        <f t="shared" si="15"/>
        <v>728</v>
      </c>
      <c r="I129" s="1691">
        <f t="shared" si="15"/>
        <v>3049</v>
      </c>
      <c r="J129" s="1691">
        <f t="shared" si="15"/>
        <v>3162</v>
      </c>
      <c r="K129" s="1691">
        <f t="shared" si="15"/>
        <v>4434419</v>
      </c>
      <c r="L129" s="1691">
        <f t="shared" si="15"/>
        <v>4772004</v>
      </c>
    </row>
    <row r="130" spans="1:14" ht="15.75" customHeight="1" thickTop="1" thickBot="1" x14ac:dyDescent="0.25">
      <c r="A130" s="1624" t="s">
        <v>1096</v>
      </c>
      <c r="B130" s="1625" t="s">
        <v>596</v>
      </c>
      <c r="C130" s="576">
        <v>0</v>
      </c>
      <c r="D130" s="576">
        <v>0</v>
      </c>
      <c r="E130" s="576">
        <v>0</v>
      </c>
      <c r="F130" s="576">
        <v>0</v>
      </c>
      <c r="G130" s="576">
        <v>0</v>
      </c>
      <c r="H130" s="576">
        <v>0</v>
      </c>
      <c r="I130" s="531">
        <v>0</v>
      </c>
      <c r="J130" s="531">
        <v>0</v>
      </c>
      <c r="K130" s="1684">
        <f>SUM(C130:J130)</f>
        <v>0</v>
      </c>
      <c r="L130" s="576">
        <v>0</v>
      </c>
    </row>
    <row r="131" spans="1:14" ht="15.75" customHeight="1" thickTop="1" x14ac:dyDescent="0.2">
      <c r="A131" s="1630" t="s">
        <v>637</v>
      </c>
      <c r="B131" s="1623"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4" t="s">
        <v>517</v>
      </c>
      <c r="B133" s="1856" t="s">
        <v>1954</v>
      </c>
      <c r="C133" s="468"/>
      <c r="D133" s="468"/>
      <c r="E133" s="642">
        <v>0</v>
      </c>
      <c r="F133" s="468"/>
      <c r="G133" s="468"/>
      <c r="H133" s="642">
        <v>0</v>
      </c>
      <c r="I133" s="468"/>
      <c r="J133" s="468"/>
      <c r="K133" s="1836">
        <f>SUM(E133,H133)</f>
        <v>0</v>
      </c>
      <c r="L133" s="642">
        <v>0</v>
      </c>
      <c r="M133" s="206"/>
      <c r="N133" s="206"/>
    </row>
    <row r="134" spans="1:14" x14ac:dyDescent="0.2">
      <c r="A134" s="1518" t="s">
        <v>322</v>
      </c>
      <c r="B134" s="615">
        <v>4120</v>
      </c>
      <c r="C134" s="617"/>
      <c r="D134" s="617"/>
      <c r="E134" s="478">
        <v>0</v>
      </c>
      <c r="F134" s="617"/>
      <c r="G134" s="617"/>
      <c r="H134" s="481">
        <v>0</v>
      </c>
      <c r="I134" s="477"/>
      <c r="J134" s="617"/>
      <c r="K134" s="1686">
        <f>SUM(E134,H134)</f>
        <v>0</v>
      </c>
      <c r="L134" s="481">
        <v>0</v>
      </c>
    </row>
    <row r="135" spans="1:14" x14ac:dyDescent="0.2">
      <c r="A135" s="1518" t="s">
        <v>721</v>
      </c>
      <c r="B135" s="615">
        <v>4140</v>
      </c>
      <c r="C135" s="617"/>
      <c r="D135" s="617"/>
      <c r="E135" s="467">
        <v>0</v>
      </c>
      <c r="F135" s="617"/>
      <c r="G135" s="617"/>
      <c r="H135" s="466">
        <v>0</v>
      </c>
      <c r="I135" s="477"/>
      <c r="J135" s="617"/>
      <c r="K135" s="1686">
        <f>SUM(E135,H135)</f>
        <v>0</v>
      </c>
      <c r="L135" s="466">
        <v>0</v>
      </c>
    </row>
    <row r="136" spans="1:14" x14ac:dyDescent="0.2">
      <c r="A136" s="1522" t="s">
        <v>722</v>
      </c>
      <c r="B136" s="629">
        <v>4190</v>
      </c>
      <c r="C136" s="617"/>
      <c r="D136" s="617"/>
      <c r="E136" s="467">
        <v>0</v>
      </c>
      <c r="F136" s="617"/>
      <c r="G136" s="617"/>
      <c r="H136" s="466">
        <v>0</v>
      </c>
      <c r="I136" s="477"/>
      <c r="J136" s="617"/>
      <c r="K136" s="1686">
        <f>SUM(E136,H136)</f>
        <v>0</v>
      </c>
      <c r="L136" s="466">
        <v>0</v>
      </c>
    </row>
    <row r="137" spans="1:14" ht="12.75" customHeight="1" thickBot="1" x14ac:dyDescent="0.25">
      <c r="A137" s="1682" t="s">
        <v>501</v>
      </c>
      <c r="B137" s="1692">
        <v>4100</v>
      </c>
      <c r="C137" s="617"/>
      <c r="D137" s="617"/>
      <c r="E137" s="1684">
        <f>SUM(E133:E136)</f>
        <v>0</v>
      </c>
      <c r="F137" s="617"/>
      <c r="G137" s="617"/>
      <c r="H137" s="1684">
        <f>SUM(H133:H136)</f>
        <v>0</v>
      </c>
      <c r="I137" s="477"/>
      <c r="J137" s="617"/>
      <c r="K137" s="1684">
        <f>SUM(K133:K136)</f>
        <v>0</v>
      </c>
      <c r="L137" s="1684">
        <f>SUM(L133:L136)</f>
        <v>0</v>
      </c>
    </row>
    <row r="138" spans="1:14" ht="12.75" customHeight="1" thickTop="1" thickBot="1" x14ac:dyDescent="0.25">
      <c r="A138" s="1524" t="s">
        <v>98</v>
      </c>
      <c r="B138" s="644" t="s">
        <v>988</v>
      </c>
      <c r="C138" s="617"/>
      <c r="D138" s="617"/>
      <c r="E138" s="479"/>
      <c r="F138" s="617"/>
      <c r="G138" s="617"/>
      <c r="H138" s="576">
        <v>0</v>
      </c>
      <c r="I138" s="477"/>
      <c r="J138" s="617"/>
      <c r="K138" s="1686">
        <f>SUM(E138,H138)</f>
        <v>0</v>
      </c>
      <c r="L138" s="576">
        <v>0</v>
      </c>
    </row>
    <row r="139" spans="1:14" ht="12.75" customHeight="1" thickTop="1" thickBot="1" x14ac:dyDescent="0.25">
      <c r="A139" s="1682" t="s">
        <v>1567</v>
      </c>
      <c r="B139" s="1692">
        <v>4000</v>
      </c>
      <c r="C139" s="617"/>
      <c r="D139" s="617"/>
      <c r="E139" s="1684">
        <f>SUM(E137,E138)</f>
        <v>0</v>
      </c>
      <c r="F139" s="617"/>
      <c r="G139" s="617"/>
      <c r="H139" s="1693">
        <f>SUM(H137:H138)</f>
        <v>0</v>
      </c>
      <c r="I139" s="477"/>
      <c r="J139" s="617"/>
      <c r="K139" s="1686">
        <f>SUM(K137,K138)</f>
        <v>0</v>
      </c>
      <c r="L139" s="1693">
        <f>SUM(L137,L138)</f>
        <v>0</v>
      </c>
    </row>
    <row r="140" spans="1:14" ht="15.75" customHeight="1" thickTop="1" x14ac:dyDescent="0.2">
      <c r="A140" s="1626" t="s">
        <v>1097</v>
      </c>
      <c r="B140" s="1627"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8" t="s">
        <v>89</v>
      </c>
      <c r="B142" s="615">
        <v>5110</v>
      </c>
      <c r="C142" s="617"/>
      <c r="D142" s="617"/>
      <c r="E142" s="617"/>
      <c r="F142" s="617"/>
      <c r="G142" s="617"/>
      <c r="H142" s="481">
        <v>0</v>
      </c>
      <c r="I142" s="468"/>
      <c r="J142" s="617"/>
      <c r="K142" s="1686">
        <f>SUM(H142)</f>
        <v>0</v>
      </c>
      <c r="L142" s="481">
        <v>0</v>
      </c>
    </row>
    <row r="143" spans="1:14" x14ac:dyDescent="0.2">
      <c r="A143" s="1518" t="s">
        <v>90</v>
      </c>
      <c r="B143" s="615">
        <v>5120</v>
      </c>
      <c r="C143" s="617"/>
      <c r="D143" s="617"/>
      <c r="E143" s="617"/>
      <c r="F143" s="617"/>
      <c r="G143" s="617"/>
      <c r="H143" s="466">
        <v>0</v>
      </c>
      <c r="I143" s="468"/>
      <c r="J143" s="617"/>
      <c r="K143" s="1686">
        <f>SUM(H143)</f>
        <v>0</v>
      </c>
      <c r="L143" s="466">
        <v>0</v>
      </c>
    </row>
    <row r="144" spans="1:14" ht="12.75" customHeight="1" x14ac:dyDescent="0.2">
      <c r="A144" s="1518" t="s">
        <v>1232</v>
      </c>
      <c r="B144" s="629" t="s">
        <v>638</v>
      </c>
      <c r="C144" s="617"/>
      <c r="D144" s="617"/>
      <c r="E144" s="617"/>
      <c r="F144" s="617"/>
      <c r="G144" s="617"/>
      <c r="H144" s="466">
        <v>0</v>
      </c>
      <c r="I144" s="468"/>
      <c r="J144" s="617"/>
      <c r="K144" s="1686">
        <f>SUM(H144)</f>
        <v>0</v>
      </c>
      <c r="L144" s="466">
        <v>0</v>
      </c>
    </row>
    <row r="145" spans="1:14" x14ac:dyDescent="0.2">
      <c r="A145" s="1518" t="s">
        <v>91</v>
      </c>
      <c r="B145" s="615" t="s">
        <v>610</v>
      </c>
      <c r="C145" s="617"/>
      <c r="D145" s="617"/>
      <c r="E145" s="617"/>
      <c r="F145" s="617"/>
      <c r="G145" s="617"/>
      <c r="H145" s="466">
        <v>0</v>
      </c>
      <c r="I145" s="468"/>
      <c r="J145" s="617"/>
      <c r="K145" s="1686">
        <f>SUM(H145)</f>
        <v>0</v>
      </c>
      <c r="L145" s="466">
        <v>0</v>
      </c>
    </row>
    <row r="146" spans="1:14" ht="12.75" customHeight="1" x14ac:dyDescent="0.2">
      <c r="A146" s="1518" t="s">
        <v>640</v>
      </c>
      <c r="B146" s="615" t="s">
        <v>639</v>
      </c>
      <c r="C146" s="617"/>
      <c r="D146" s="617"/>
      <c r="E146" s="617"/>
      <c r="F146" s="617"/>
      <c r="G146" s="617"/>
      <c r="H146" s="466">
        <v>0</v>
      </c>
      <c r="I146" s="468"/>
      <c r="J146" s="617"/>
      <c r="K146" s="1686">
        <f>SUM(H146)</f>
        <v>0</v>
      </c>
      <c r="L146" s="466">
        <v>0</v>
      </c>
    </row>
    <row r="147" spans="1:14" ht="12.75" customHeight="1" thickBot="1" x14ac:dyDescent="0.25">
      <c r="A147" s="1529" t="s">
        <v>647</v>
      </c>
      <c r="B147" s="660" t="s">
        <v>742</v>
      </c>
      <c r="C147" s="617"/>
      <c r="D147" s="617"/>
      <c r="E147" s="617"/>
      <c r="F147" s="617"/>
      <c r="G147" s="617"/>
      <c r="H147" s="1702">
        <f>SUM(H142:H146)</f>
        <v>0</v>
      </c>
      <c r="I147" s="468"/>
      <c r="J147" s="617"/>
      <c r="K147" s="1684">
        <f>SUM(K142:K146)</f>
        <v>0</v>
      </c>
      <c r="L147" s="1702">
        <f>SUM(L142:L146)</f>
        <v>0</v>
      </c>
    </row>
    <row r="148" spans="1:14" ht="15.75" customHeight="1" thickTop="1" x14ac:dyDescent="0.2">
      <c r="A148" s="661" t="s">
        <v>1165</v>
      </c>
      <c r="B148" s="662" t="s">
        <v>38</v>
      </c>
      <c r="C148" s="617"/>
      <c r="D148" s="617"/>
      <c r="E148" s="617"/>
      <c r="F148" s="617"/>
      <c r="G148" s="617"/>
      <c r="H148" s="479">
        <v>0</v>
      </c>
      <c r="I148" s="468"/>
      <c r="J148" s="617"/>
      <c r="K148" s="1686">
        <f>SUM(H148)</f>
        <v>0</v>
      </c>
      <c r="L148" s="492">
        <v>0</v>
      </c>
    </row>
    <row r="149" spans="1:14" ht="12.75" customHeight="1" thickBot="1" x14ac:dyDescent="0.25">
      <c r="A149" s="1521" t="s">
        <v>659</v>
      </c>
      <c r="B149" s="618" t="s">
        <v>513</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0" t="s">
        <v>1098</v>
      </c>
      <c r="B150" s="1627" t="s">
        <v>916</v>
      </c>
      <c r="C150" s="617"/>
      <c r="D150" s="617"/>
      <c r="E150" s="617"/>
      <c r="F150" s="617"/>
      <c r="G150" s="617"/>
      <c r="H150" s="663"/>
      <c r="I150" s="521"/>
      <c r="J150" s="617"/>
      <c r="K150" s="624"/>
      <c r="L150" s="573">
        <v>0</v>
      </c>
    </row>
    <row r="151" spans="1:14" ht="12.75" customHeight="1" thickTop="1" thickBot="1" x14ac:dyDescent="0.25">
      <c r="A151" s="2206" t="s">
        <v>641</v>
      </c>
      <c r="B151" s="2188"/>
      <c r="C151" s="1684">
        <f>SUM(C129,C130,C139,C149,C150)</f>
        <v>1972412</v>
      </c>
      <c r="D151" s="1684">
        <f t="shared" ref="D151:K151" si="16">SUM(D129,D130,D139,D149,D150)</f>
        <v>578643</v>
      </c>
      <c r="E151" s="1684">
        <f t="shared" si="16"/>
        <v>907583</v>
      </c>
      <c r="F151" s="1684">
        <f t="shared" si="16"/>
        <v>903060</v>
      </c>
      <c r="G151" s="1684">
        <f t="shared" si="16"/>
        <v>65782</v>
      </c>
      <c r="H151" s="1684">
        <f t="shared" si="16"/>
        <v>728</v>
      </c>
      <c r="I151" s="1684">
        <f t="shared" si="16"/>
        <v>3049</v>
      </c>
      <c r="J151" s="1684">
        <f t="shared" si="16"/>
        <v>3162</v>
      </c>
      <c r="K151" s="1684">
        <f t="shared" si="16"/>
        <v>4434419</v>
      </c>
      <c r="L151" s="1684">
        <f>SUM(L129,L130,L139,L149,L150)</f>
        <v>4772004</v>
      </c>
    </row>
    <row r="152" spans="1:14" ht="12.75" customHeight="1" thickTop="1" x14ac:dyDescent="0.2">
      <c r="A152" s="2209" t="s">
        <v>1240</v>
      </c>
      <c r="B152" s="2210"/>
      <c r="C152" s="619"/>
      <c r="D152" s="619"/>
      <c r="E152" s="619"/>
      <c r="F152" s="619"/>
      <c r="G152" s="619"/>
      <c r="H152" s="619"/>
      <c r="I152" s="619"/>
      <c r="J152" s="617"/>
      <c r="K152" s="1698">
        <f>'Revenues 9-14'!D275-'Expenditures 15-22'!K151</f>
        <v>1069900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4" t="s">
        <v>642</v>
      </c>
      <c r="B154" s="2196"/>
      <c r="C154" s="1640"/>
      <c r="D154" s="1641"/>
      <c r="E154" s="1641"/>
      <c r="F154" s="1641"/>
      <c r="G154" s="1641"/>
      <c r="H154" s="1641"/>
      <c r="I154" s="1641"/>
      <c r="J154" s="1641"/>
      <c r="K154" s="1641"/>
      <c r="L154" s="1642"/>
      <c r="M154" s="668"/>
      <c r="N154" s="668"/>
    </row>
    <row r="155" spans="1:14" s="621" customFormat="1" ht="15.75" customHeight="1" thickBot="1" x14ac:dyDescent="0.25">
      <c r="A155" s="1631" t="s">
        <v>83</v>
      </c>
      <c r="B155" s="1632" t="s">
        <v>915</v>
      </c>
      <c r="C155" s="617"/>
      <c r="D155" s="617"/>
      <c r="E155" s="617"/>
      <c r="F155" s="617"/>
      <c r="G155" s="617"/>
      <c r="H155" s="1857"/>
      <c r="I155" s="617"/>
      <c r="J155" s="617"/>
      <c r="K155" s="1840"/>
      <c r="L155" s="1857"/>
      <c r="M155" s="620"/>
      <c r="N155" s="620"/>
    </row>
    <row r="156" spans="1:14" s="621" customFormat="1" ht="15.75" customHeight="1" thickTop="1" x14ac:dyDescent="0.2">
      <c r="A156" s="1837" t="s">
        <v>1955</v>
      </c>
      <c r="B156" s="1838"/>
      <c r="C156" s="617"/>
      <c r="D156" s="617"/>
      <c r="E156" s="617"/>
      <c r="F156" s="617"/>
      <c r="G156" s="617"/>
      <c r="H156" s="1858"/>
      <c r="I156" s="617"/>
      <c r="J156" s="617"/>
      <c r="K156" s="1839"/>
      <c r="L156" s="1858"/>
      <c r="M156" s="620"/>
      <c r="N156" s="620"/>
    </row>
    <row r="157" spans="1:14" s="621" customFormat="1" ht="12" x14ac:dyDescent="0.2">
      <c r="A157" s="1841" t="s">
        <v>517</v>
      </c>
      <c r="B157" s="1842" t="s">
        <v>1954</v>
      </c>
      <c r="C157" s="617"/>
      <c r="D157" s="617"/>
      <c r="E157" s="617"/>
      <c r="F157" s="617"/>
      <c r="G157" s="617"/>
      <c r="H157" s="642">
        <v>0</v>
      </c>
      <c r="I157" s="617"/>
      <c r="J157" s="617"/>
      <c r="K157" s="1685">
        <f>H157</f>
        <v>0</v>
      </c>
      <c r="L157" s="467">
        <v>0</v>
      </c>
      <c r="M157" s="620"/>
      <c r="N157" s="620"/>
    </row>
    <row r="158" spans="1:14" s="621" customFormat="1" ht="12" x14ac:dyDescent="0.2">
      <c r="A158" s="1841" t="s">
        <v>322</v>
      </c>
      <c r="B158" s="1842" t="s">
        <v>1956</v>
      </c>
      <c r="C158" s="617"/>
      <c r="D158" s="617"/>
      <c r="E158" s="617"/>
      <c r="F158" s="617"/>
      <c r="G158" s="617"/>
      <c r="H158" s="467">
        <v>0</v>
      </c>
      <c r="I158" s="617"/>
      <c r="J158" s="617"/>
      <c r="K158" s="1685">
        <f>H158</f>
        <v>0</v>
      </c>
      <c r="L158" s="467">
        <v>0</v>
      </c>
      <c r="M158" s="620"/>
      <c r="N158" s="620"/>
    </row>
    <row r="159" spans="1:14" s="621" customFormat="1" ht="12" x14ac:dyDescent="0.2">
      <c r="A159" s="1841" t="s">
        <v>1957</v>
      </c>
      <c r="B159" s="1842" t="s">
        <v>579</v>
      </c>
      <c r="C159" s="617"/>
      <c r="D159" s="617"/>
      <c r="E159" s="617"/>
      <c r="F159" s="617"/>
      <c r="G159" s="617"/>
      <c r="H159" s="467">
        <v>0</v>
      </c>
      <c r="I159" s="617"/>
      <c r="J159" s="617"/>
      <c r="K159" s="1685">
        <f>H159</f>
        <v>0</v>
      </c>
      <c r="L159" s="467">
        <v>0</v>
      </c>
      <c r="M159" s="620"/>
      <c r="N159" s="620"/>
    </row>
    <row r="160" spans="1:14" s="621" customFormat="1" ht="15.75" customHeight="1" thickBot="1" x14ac:dyDescent="0.25">
      <c r="A160" s="1843" t="s">
        <v>1958</v>
      </c>
      <c r="B160" s="1844" t="s">
        <v>915</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26" t="s">
        <v>84</v>
      </c>
      <c r="B161" s="1627"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8" t="s">
        <v>89</v>
      </c>
      <c r="B163" s="615">
        <v>5110</v>
      </c>
      <c r="C163" s="617"/>
      <c r="D163" s="617"/>
      <c r="E163" s="617"/>
      <c r="F163" s="617"/>
      <c r="G163" s="617"/>
      <c r="H163" s="466">
        <v>0</v>
      </c>
      <c r="I163" s="617"/>
      <c r="J163" s="617"/>
      <c r="K163" s="1685">
        <f>SUM(C163:J163)</f>
        <v>0</v>
      </c>
      <c r="L163" s="466">
        <v>0</v>
      </c>
    </row>
    <row r="164" spans="1:14" x14ac:dyDescent="0.2">
      <c r="A164" s="1518" t="s">
        <v>90</v>
      </c>
      <c r="B164" s="615">
        <v>5120</v>
      </c>
      <c r="C164" s="617"/>
      <c r="D164" s="617"/>
      <c r="E164" s="617"/>
      <c r="F164" s="617"/>
      <c r="G164" s="617"/>
      <c r="H164" s="466">
        <v>0</v>
      </c>
      <c r="I164" s="617"/>
      <c r="J164" s="617"/>
      <c r="K164" s="1685">
        <f>SUM(C164:J164)</f>
        <v>0</v>
      </c>
      <c r="L164" s="466">
        <v>0</v>
      </c>
    </row>
    <row r="165" spans="1:14" ht="12.75" customHeight="1" x14ac:dyDescent="0.2">
      <c r="A165" s="1518" t="s">
        <v>1232</v>
      </c>
      <c r="B165" s="615" t="s">
        <v>638</v>
      </c>
      <c r="C165" s="617"/>
      <c r="D165" s="617"/>
      <c r="E165" s="617"/>
      <c r="F165" s="617"/>
      <c r="G165" s="617"/>
      <c r="H165" s="466">
        <v>0</v>
      </c>
      <c r="I165" s="617"/>
      <c r="J165" s="617"/>
      <c r="K165" s="1685">
        <f>SUM(C165:J165)</f>
        <v>0</v>
      </c>
      <c r="L165" s="466">
        <v>0</v>
      </c>
    </row>
    <row r="166" spans="1:14" x14ac:dyDescent="0.2">
      <c r="A166" s="1518" t="s">
        <v>91</v>
      </c>
      <c r="B166" s="629" t="s">
        <v>610</v>
      </c>
      <c r="C166" s="617"/>
      <c r="D166" s="617"/>
      <c r="E166" s="617"/>
      <c r="F166" s="617"/>
      <c r="G166" s="617"/>
      <c r="H166" s="466">
        <v>0</v>
      </c>
      <c r="I166" s="617"/>
      <c r="J166" s="617"/>
      <c r="K166" s="1685">
        <f>SUM(C166:J166)</f>
        <v>0</v>
      </c>
      <c r="L166" s="466">
        <v>0</v>
      </c>
    </row>
    <row r="167" spans="1:14" ht="12.75" customHeight="1" x14ac:dyDescent="0.2">
      <c r="A167" s="1518" t="s">
        <v>640</v>
      </c>
      <c r="B167" s="615" t="s">
        <v>639</v>
      </c>
      <c r="C167" s="617"/>
      <c r="D167" s="617"/>
      <c r="E167" s="617"/>
      <c r="F167" s="617"/>
      <c r="G167" s="617"/>
      <c r="H167" s="466">
        <v>0</v>
      </c>
      <c r="I167" s="617"/>
      <c r="J167" s="617"/>
      <c r="K167" s="1685">
        <f>SUM(C167:J167)</f>
        <v>0</v>
      </c>
      <c r="L167" s="466">
        <v>0</v>
      </c>
    </row>
    <row r="168" spans="1:14" ht="13.5" thickBot="1" x14ac:dyDescent="0.25">
      <c r="A168" s="1682" t="s">
        <v>294</v>
      </c>
      <c r="B168" s="1689" t="s">
        <v>742</v>
      </c>
      <c r="C168" s="617"/>
      <c r="D168" s="617"/>
      <c r="E168" s="617"/>
      <c r="F168" s="617"/>
      <c r="G168" s="617"/>
      <c r="H168" s="1684">
        <f>SUM(H163:H167)</f>
        <v>0</v>
      </c>
      <c r="I168" s="617"/>
      <c r="J168" s="617"/>
      <c r="K168" s="1684">
        <f>SUM(K163:K167)</f>
        <v>0</v>
      </c>
      <c r="L168" s="1684">
        <f>SUM(L163:L167)</f>
        <v>0</v>
      </c>
    </row>
    <row r="169" spans="1:14" ht="15.75" customHeight="1" thickTop="1" x14ac:dyDescent="0.2">
      <c r="A169" s="670" t="s">
        <v>85</v>
      </c>
      <c r="B169" s="671" t="s">
        <v>38</v>
      </c>
      <c r="C169" s="617"/>
      <c r="D169" s="617"/>
      <c r="E169" s="617"/>
      <c r="F169" s="617"/>
      <c r="G169" s="617"/>
      <c r="H169" s="657">
        <v>1161952</v>
      </c>
      <c r="I169" s="617"/>
      <c r="J169" s="617"/>
      <c r="K169" s="1685">
        <f>SUM(C169:H169)</f>
        <v>1161952</v>
      </c>
      <c r="L169" s="657">
        <v>1161952</v>
      </c>
    </row>
    <row r="170" spans="1:14" ht="33.75" customHeight="1" x14ac:dyDescent="0.2">
      <c r="A170" s="670" t="s">
        <v>1769</v>
      </c>
      <c r="B170" s="672" t="s">
        <v>31</v>
      </c>
      <c r="C170" s="617"/>
      <c r="D170" s="617"/>
      <c r="E170" s="617"/>
      <c r="F170" s="617"/>
      <c r="G170" s="617"/>
      <c r="H170" s="569">
        <v>5473765</v>
      </c>
      <c r="I170" s="617"/>
      <c r="J170" s="617"/>
      <c r="K170" s="1685">
        <f>SUM(C170:J170)</f>
        <v>5473765</v>
      </c>
      <c r="L170" s="569">
        <v>5473765</v>
      </c>
    </row>
    <row r="171" spans="1:14" ht="15.75" customHeight="1" x14ac:dyDescent="0.2">
      <c r="A171" s="622" t="s">
        <v>790</v>
      </c>
      <c r="B171" s="673" t="s">
        <v>86</v>
      </c>
      <c r="C171" s="617"/>
      <c r="D171" s="617"/>
      <c r="E171" s="466">
        <v>0</v>
      </c>
      <c r="F171" s="617"/>
      <c r="G171" s="617"/>
      <c r="H171" s="569">
        <v>1425</v>
      </c>
      <c r="I171" s="477"/>
      <c r="J171" s="617"/>
      <c r="K171" s="1685">
        <f>SUM(C171:J171)</f>
        <v>1425</v>
      </c>
      <c r="L171" s="569">
        <v>1100</v>
      </c>
    </row>
    <row r="172" spans="1:14" ht="12.75" customHeight="1" thickBot="1" x14ac:dyDescent="0.25">
      <c r="A172" s="1682" t="s">
        <v>659</v>
      </c>
      <c r="B172" s="1683" t="s">
        <v>513</v>
      </c>
      <c r="C172" s="617"/>
      <c r="D172" s="617"/>
      <c r="E172" s="1691">
        <f>SUM(E168,E169,E170,E171)</f>
        <v>0</v>
      </c>
      <c r="F172" s="617"/>
      <c r="G172" s="617"/>
      <c r="H172" s="1691">
        <f>SUM(H168,H169,H170,H171)</f>
        <v>6637142</v>
      </c>
      <c r="I172" s="639"/>
      <c r="J172" s="617"/>
      <c r="K172" s="1691">
        <f>SUM(K168,K169,K170,K171)</f>
        <v>6637142</v>
      </c>
      <c r="L172" s="1691">
        <f>SUM(L168,L169,L170,L171)</f>
        <v>6636817</v>
      </c>
    </row>
    <row r="173" spans="1:14" ht="15.75" customHeight="1" thickTop="1" thickBot="1" x14ac:dyDescent="0.25">
      <c r="A173" s="1633" t="s">
        <v>87</v>
      </c>
      <c r="B173" s="1625" t="s">
        <v>916</v>
      </c>
      <c r="C173" s="617"/>
      <c r="D173" s="617"/>
      <c r="E173" s="624"/>
      <c r="F173" s="617"/>
      <c r="G173" s="617"/>
      <c r="H173" s="627"/>
      <c r="I173" s="639"/>
      <c r="J173" s="617"/>
      <c r="K173" s="624"/>
      <c r="L173" s="576">
        <v>0</v>
      </c>
    </row>
    <row r="174" spans="1:14" ht="12.75" customHeight="1" thickTop="1" thickBot="1" x14ac:dyDescent="0.25">
      <c r="A174" s="1703" t="s">
        <v>92</v>
      </c>
      <c r="B174" s="1704"/>
      <c r="C174" s="617"/>
      <c r="D174" s="617"/>
      <c r="E174" s="1691">
        <f>SUM(E155,E172,E173)</f>
        <v>0</v>
      </c>
      <c r="F174" s="617"/>
      <c r="G174" s="617"/>
      <c r="H174" s="1691">
        <f>SUM(H160,H172,H173)</f>
        <v>6637142</v>
      </c>
      <c r="I174" s="639"/>
      <c r="J174" s="617"/>
      <c r="K174" s="1691">
        <f>SUM(K160,K172,K173)</f>
        <v>6637142</v>
      </c>
      <c r="L174" s="1691">
        <f>SUM(L160,L172,L173)</f>
        <v>6636817</v>
      </c>
    </row>
    <row r="175" spans="1:14" ht="13.5" thickTop="1" x14ac:dyDescent="0.2">
      <c r="A175" s="2216" t="s">
        <v>1053</v>
      </c>
      <c r="B175" s="2217"/>
      <c r="C175" s="617"/>
      <c r="D175" s="617"/>
      <c r="E175" s="617"/>
      <c r="F175" s="617"/>
      <c r="G175" s="617"/>
      <c r="H175" s="619"/>
      <c r="I175" s="617"/>
      <c r="J175" s="617"/>
      <c r="K175" s="1698">
        <f>'Revenues 9-14'!E275-'Expenditures 15-22'!K174</f>
        <v>-605666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8" t="s">
        <v>994</v>
      </c>
      <c r="B177" s="1569"/>
      <c r="C177" s="1565"/>
      <c r="D177" s="1566"/>
      <c r="E177" s="1566"/>
      <c r="F177" s="1566"/>
      <c r="G177" s="1566"/>
      <c r="H177" s="1566"/>
      <c r="I177" s="1566"/>
      <c r="J177" s="1566"/>
      <c r="K177" s="1566"/>
      <c r="L177" s="1567"/>
      <c r="M177" s="610"/>
      <c r="N177" s="610"/>
    </row>
    <row r="178" spans="1:14" s="675" customFormat="1" ht="15.75" customHeight="1" x14ac:dyDescent="0.2">
      <c r="A178" s="1634" t="s">
        <v>995</v>
      </c>
      <c r="B178" s="1635"/>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8" t="s">
        <v>167</v>
      </c>
      <c r="B180" s="615">
        <v>2190</v>
      </c>
      <c r="C180" s="466">
        <v>0</v>
      </c>
      <c r="D180" s="466">
        <v>0</v>
      </c>
      <c r="E180" s="466">
        <v>0</v>
      </c>
      <c r="F180" s="466">
        <v>0</v>
      </c>
      <c r="G180" s="466">
        <v>0</v>
      </c>
      <c r="H180" s="466">
        <v>0</v>
      </c>
      <c r="I180" s="467">
        <v>0</v>
      </c>
      <c r="J180" s="467">
        <v>0</v>
      </c>
      <c r="K180" s="168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8" t="s">
        <v>1010</v>
      </c>
      <c r="B182" s="615">
        <v>2550</v>
      </c>
      <c r="C182" s="466">
        <v>0</v>
      </c>
      <c r="D182" s="466">
        <v>0</v>
      </c>
      <c r="E182" s="466">
        <v>1969060</v>
      </c>
      <c r="F182" s="466">
        <v>0</v>
      </c>
      <c r="G182" s="466">
        <v>0</v>
      </c>
      <c r="H182" s="466">
        <v>366</v>
      </c>
      <c r="I182" s="467">
        <v>0</v>
      </c>
      <c r="J182" s="467">
        <v>0</v>
      </c>
      <c r="K182" s="1685">
        <f>SUM(C182:J182)</f>
        <v>1969426</v>
      </c>
      <c r="L182" s="466">
        <v>2127751</v>
      </c>
    </row>
    <row r="183" spans="1:14" ht="12.75" customHeight="1" thickBot="1" x14ac:dyDescent="0.25">
      <c r="A183" s="1523" t="s">
        <v>1037</v>
      </c>
      <c r="B183" s="678">
        <v>2900</v>
      </c>
      <c r="C183" s="573">
        <v>0</v>
      </c>
      <c r="D183" s="573">
        <v>0</v>
      </c>
      <c r="E183" s="573">
        <v>0</v>
      </c>
      <c r="F183" s="573">
        <v>0</v>
      </c>
      <c r="G183" s="573">
        <v>0</v>
      </c>
      <c r="H183" s="573">
        <v>0</v>
      </c>
      <c r="I183" s="532">
        <v>0</v>
      </c>
      <c r="J183" s="532">
        <v>0</v>
      </c>
      <c r="K183" s="1691">
        <f>SUM(C183:J183)</f>
        <v>0</v>
      </c>
      <c r="L183" s="573">
        <v>0</v>
      </c>
    </row>
    <row r="184" spans="1:14" ht="12.75" customHeight="1" thickTop="1" thickBot="1" x14ac:dyDescent="0.25">
      <c r="A184" s="1705" t="s">
        <v>865</v>
      </c>
      <c r="B184" s="1683" t="s">
        <v>590</v>
      </c>
      <c r="C184" s="1691">
        <f>SUM(C180,C182,C183)</f>
        <v>0</v>
      </c>
      <c r="D184" s="1691">
        <f t="shared" ref="D184:J184" si="17">SUM(D180,D182,D183)</f>
        <v>0</v>
      </c>
      <c r="E184" s="1691">
        <f t="shared" si="17"/>
        <v>1969060</v>
      </c>
      <c r="F184" s="1691">
        <f t="shared" si="17"/>
        <v>0</v>
      </c>
      <c r="G184" s="1691">
        <f t="shared" si="17"/>
        <v>0</v>
      </c>
      <c r="H184" s="1691">
        <f t="shared" si="17"/>
        <v>366</v>
      </c>
      <c r="I184" s="1691">
        <f t="shared" si="17"/>
        <v>0</v>
      </c>
      <c r="J184" s="1691">
        <f t="shared" si="17"/>
        <v>0</v>
      </c>
      <c r="K184" s="1691">
        <f>SUM(K180,K182,K183)</f>
        <v>1969426</v>
      </c>
      <c r="L184" s="1691">
        <f>SUM(L180, L182:L183)</f>
        <v>2127751</v>
      </c>
    </row>
    <row r="185" spans="1:14" ht="15.75" customHeight="1" thickTop="1" thickBot="1" x14ac:dyDescent="0.25">
      <c r="A185" s="1636" t="s">
        <v>996</v>
      </c>
      <c r="B185" s="1625">
        <v>3000</v>
      </c>
      <c r="C185" s="576">
        <v>0</v>
      </c>
      <c r="D185" s="576">
        <v>0</v>
      </c>
      <c r="E185" s="576">
        <v>0</v>
      </c>
      <c r="F185" s="576">
        <v>0</v>
      </c>
      <c r="G185" s="576">
        <v>0</v>
      </c>
      <c r="H185" s="576">
        <v>0</v>
      </c>
      <c r="I185" s="531">
        <v>0</v>
      </c>
      <c r="J185" s="531">
        <v>0</v>
      </c>
      <c r="K185" s="1684">
        <f>SUM(C185:J185)</f>
        <v>0</v>
      </c>
      <c r="L185" s="576">
        <v>0</v>
      </c>
    </row>
    <row r="186" spans="1:14" s="675" customFormat="1" ht="15.75" customHeight="1" thickTop="1" x14ac:dyDescent="0.2">
      <c r="A186" s="1620" t="s">
        <v>93</v>
      </c>
      <c r="B186" s="1623"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8" t="s">
        <v>517</v>
      </c>
      <c r="B188" s="615">
        <v>4110</v>
      </c>
      <c r="C188" s="617"/>
      <c r="D188" s="617"/>
      <c r="E188" s="466">
        <v>0</v>
      </c>
      <c r="F188" s="617"/>
      <c r="G188" s="617"/>
      <c r="H188" s="466">
        <v>0</v>
      </c>
      <c r="I188" s="477"/>
      <c r="J188" s="617"/>
      <c r="K188" s="1685">
        <f t="shared" ref="K188:K193" si="18">SUM(E188,H188)</f>
        <v>0</v>
      </c>
      <c r="L188" s="466">
        <v>0</v>
      </c>
    </row>
    <row r="189" spans="1:14" x14ac:dyDescent="0.2">
      <c r="A189" s="1518" t="s">
        <v>322</v>
      </c>
      <c r="B189" s="615">
        <v>4120</v>
      </c>
      <c r="C189" s="617"/>
      <c r="D189" s="617"/>
      <c r="E189" s="466">
        <v>0</v>
      </c>
      <c r="F189" s="617"/>
      <c r="G189" s="617"/>
      <c r="H189" s="466">
        <v>0</v>
      </c>
      <c r="I189" s="477"/>
      <c r="J189" s="617"/>
      <c r="K189" s="1685">
        <f t="shared" si="18"/>
        <v>0</v>
      </c>
      <c r="L189" s="466">
        <v>0</v>
      </c>
    </row>
    <row r="190" spans="1:14" x14ac:dyDescent="0.2">
      <c r="A190" s="1518" t="s">
        <v>323</v>
      </c>
      <c r="B190" s="629">
        <v>4130</v>
      </c>
      <c r="C190" s="617"/>
      <c r="D190" s="617"/>
      <c r="E190" s="466">
        <v>0</v>
      </c>
      <c r="F190" s="617"/>
      <c r="G190" s="617"/>
      <c r="H190" s="466">
        <v>0</v>
      </c>
      <c r="I190" s="477"/>
      <c r="J190" s="617"/>
      <c r="K190" s="1685">
        <f t="shared" si="18"/>
        <v>0</v>
      </c>
      <c r="L190" s="466">
        <v>0</v>
      </c>
    </row>
    <row r="191" spans="1:14" x14ac:dyDescent="0.2">
      <c r="A191" s="1518" t="s">
        <v>721</v>
      </c>
      <c r="B191" s="615">
        <v>4140</v>
      </c>
      <c r="C191" s="617"/>
      <c r="D191" s="617"/>
      <c r="E191" s="466">
        <v>0</v>
      </c>
      <c r="F191" s="617"/>
      <c r="G191" s="617"/>
      <c r="H191" s="466">
        <v>0</v>
      </c>
      <c r="I191" s="477"/>
      <c r="J191" s="617"/>
      <c r="K191" s="1685">
        <f t="shared" si="18"/>
        <v>0</v>
      </c>
      <c r="L191" s="466">
        <v>0</v>
      </c>
    </row>
    <row r="192" spans="1:14" x14ac:dyDescent="0.2">
      <c r="A192" s="1518" t="s">
        <v>88</v>
      </c>
      <c r="B192" s="615">
        <v>4170</v>
      </c>
      <c r="C192" s="617"/>
      <c r="D192" s="617"/>
      <c r="E192" s="466">
        <v>0</v>
      </c>
      <c r="F192" s="617"/>
      <c r="G192" s="617"/>
      <c r="H192" s="466">
        <v>0</v>
      </c>
      <c r="I192" s="477"/>
      <c r="J192" s="617"/>
      <c r="K192" s="1685">
        <f t="shared" si="18"/>
        <v>0</v>
      </c>
      <c r="L192" s="466">
        <v>0</v>
      </c>
    </row>
    <row r="193" spans="1:14" x14ac:dyDescent="0.2">
      <c r="A193" s="1522" t="s">
        <v>722</v>
      </c>
      <c r="B193" s="629">
        <v>4190</v>
      </c>
      <c r="C193" s="617"/>
      <c r="D193" s="617"/>
      <c r="E193" s="466">
        <v>0</v>
      </c>
      <c r="F193" s="617"/>
      <c r="G193" s="617"/>
      <c r="H193" s="466">
        <v>0</v>
      </c>
      <c r="I193" s="477"/>
      <c r="J193" s="617"/>
      <c r="K193" s="1685">
        <f t="shared" si="18"/>
        <v>0</v>
      </c>
      <c r="L193" s="466">
        <v>0</v>
      </c>
    </row>
    <row r="194" spans="1:14" ht="12.75" customHeight="1" thickBot="1" x14ac:dyDescent="0.25">
      <c r="A194" s="1682" t="s">
        <v>1202</v>
      </c>
      <c r="B194" s="1683" t="s">
        <v>580</v>
      </c>
      <c r="C194" s="617"/>
      <c r="D194" s="617"/>
      <c r="E194" s="1684">
        <f>SUM(E188:E193)</f>
        <v>0</v>
      </c>
      <c r="F194" s="617"/>
      <c r="G194" s="617"/>
      <c r="H194" s="1684">
        <f>SUM(H188:H193)</f>
        <v>0</v>
      </c>
      <c r="I194" s="477"/>
      <c r="J194" s="617"/>
      <c r="K194" s="1684">
        <f>SUM(K188:K193)</f>
        <v>0</v>
      </c>
      <c r="L194" s="1684">
        <f>SUM(L188:L193)</f>
        <v>0</v>
      </c>
    </row>
    <row r="195" spans="1:14" ht="15.75" customHeight="1" thickTop="1" x14ac:dyDescent="0.2">
      <c r="A195" s="670" t="s">
        <v>94</v>
      </c>
      <c r="B195" s="679" t="s">
        <v>988</v>
      </c>
      <c r="C195" s="617"/>
      <c r="D195" s="617"/>
      <c r="E195" s="657">
        <v>0</v>
      </c>
      <c r="F195" s="617"/>
      <c r="G195" s="617"/>
      <c r="H195" s="657">
        <v>0</v>
      </c>
      <c r="I195" s="477"/>
      <c r="J195" s="617"/>
      <c r="K195" s="1699">
        <f>SUM(E195,H195)</f>
        <v>0</v>
      </c>
      <c r="L195" s="657">
        <v>0</v>
      </c>
    </row>
    <row r="196" spans="1:14" ht="12.75" customHeight="1" thickBot="1" x14ac:dyDescent="0.25">
      <c r="A196" s="1682" t="s">
        <v>1567</v>
      </c>
      <c r="B196" s="1683" t="s">
        <v>915</v>
      </c>
      <c r="C196" s="617"/>
      <c r="D196" s="617"/>
      <c r="E196" s="1691">
        <f>SUM(E194,E195)</f>
        <v>0</v>
      </c>
      <c r="F196" s="617"/>
      <c r="G196" s="617"/>
      <c r="H196" s="1691">
        <f>SUM(H194,H195)</f>
        <v>0</v>
      </c>
      <c r="I196" s="477"/>
      <c r="J196" s="617"/>
      <c r="K196" s="1691">
        <f>SUM(K194,K195)</f>
        <v>0</v>
      </c>
      <c r="L196" s="1691">
        <f>SUM(L194,L195)</f>
        <v>0</v>
      </c>
    </row>
    <row r="197" spans="1:14" s="675" customFormat="1" ht="15.75" customHeight="1" thickTop="1" x14ac:dyDescent="0.2">
      <c r="A197" s="1626" t="s">
        <v>997</v>
      </c>
      <c r="B197" s="1623"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8" t="s">
        <v>89</v>
      </c>
      <c r="B199" s="615">
        <v>5110</v>
      </c>
      <c r="C199" s="617"/>
      <c r="D199" s="617"/>
      <c r="E199" s="617"/>
      <c r="F199" s="617"/>
      <c r="G199" s="617"/>
      <c r="H199" s="466">
        <v>0</v>
      </c>
      <c r="I199" s="617"/>
      <c r="J199" s="617"/>
      <c r="K199" s="1685">
        <f>SUM(H199)</f>
        <v>0</v>
      </c>
      <c r="L199" s="466">
        <v>0</v>
      </c>
    </row>
    <row r="200" spans="1:14" x14ac:dyDescent="0.2">
      <c r="A200" s="1518" t="s">
        <v>90</v>
      </c>
      <c r="B200" s="615">
        <v>5120</v>
      </c>
      <c r="C200" s="617"/>
      <c r="D200" s="617"/>
      <c r="E200" s="617"/>
      <c r="F200" s="617"/>
      <c r="G200" s="617"/>
      <c r="H200" s="466">
        <v>0</v>
      </c>
      <c r="I200" s="617"/>
      <c r="J200" s="617"/>
      <c r="K200" s="1685">
        <f>SUM(H200)</f>
        <v>0</v>
      </c>
      <c r="L200" s="466">
        <v>0</v>
      </c>
    </row>
    <row r="201" spans="1:14" ht="12.75" customHeight="1" x14ac:dyDescent="0.2">
      <c r="A201" s="1518" t="s">
        <v>1232</v>
      </c>
      <c r="B201" s="629" t="s">
        <v>638</v>
      </c>
      <c r="C201" s="617"/>
      <c r="D201" s="617"/>
      <c r="E201" s="617"/>
      <c r="F201" s="617"/>
      <c r="G201" s="617"/>
      <c r="H201" s="466">
        <v>0</v>
      </c>
      <c r="I201" s="617"/>
      <c r="J201" s="617"/>
      <c r="K201" s="1685">
        <f>SUM(H201)</f>
        <v>0</v>
      </c>
      <c r="L201" s="466">
        <v>0</v>
      </c>
    </row>
    <row r="202" spans="1:14" x14ac:dyDescent="0.2">
      <c r="A202" s="1518" t="s">
        <v>91</v>
      </c>
      <c r="B202" s="615" t="s">
        <v>610</v>
      </c>
      <c r="C202" s="617"/>
      <c r="D202" s="617"/>
      <c r="E202" s="617"/>
      <c r="F202" s="617"/>
      <c r="G202" s="617"/>
      <c r="H202" s="466">
        <v>0</v>
      </c>
      <c r="I202" s="617"/>
      <c r="J202" s="617"/>
      <c r="K202" s="1685">
        <f>SUM(H202)</f>
        <v>0</v>
      </c>
      <c r="L202" s="466">
        <v>0</v>
      </c>
    </row>
    <row r="203" spans="1:14" x14ac:dyDescent="0.2">
      <c r="A203" s="1530" t="s">
        <v>640</v>
      </c>
      <c r="B203" s="615" t="s">
        <v>639</v>
      </c>
      <c r="C203" s="617"/>
      <c r="D203" s="617"/>
      <c r="E203" s="617"/>
      <c r="F203" s="617"/>
      <c r="G203" s="617"/>
      <c r="H203" s="471">
        <v>0</v>
      </c>
      <c r="I203" s="617"/>
      <c r="J203" s="617"/>
      <c r="K203" s="1685">
        <f>SUM(H203)</f>
        <v>0</v>
      </c>
      <c r="L203" s="471">
        <v>0</v>
      </c>
    </row>
    <row r="204" spans="1:14" ht="13.5" thickBot="1" x14ac:dyDescent="0.25">
      <c r="A204" s="1682" t="s">
        <v>294</v>
      </c>
      <c r="B204" s="1683" t="s">
        <v>742</v>
      </c>
      <c r="C204" s="617"/>
      <c r="D204" s="617"/>
      <c r="E204" s="617"/>
      <c r="F204" s="617"/>
      <c r="G204" s="617"/>
      <c r="H204" s="1684">
        <f>SUM(H199:H203)</f>
        <v>0</v>
      </c>
      <c r="I204" s="617"/>
      <c r="J204" s="617"/>
      <c r="K204" s="1684">
        <f>SUM(K199:K203)</f>
        <v>0</v>
      </c>
      <c r="L204" s="1684">
        <f>SUM(L199:L203)</f>
        <v>0</v>
      </c>
    </row>
    <row r="205" spans="1:14" ht="15.75" customHeight="1" thickTop="1" x14ac:dyDescent="0.2">
      <c r="A205" s="680" t="s">
        <v>85</v>
      </c>
      <c r="B205" s="681" t="s">
        <v>38</v>
      </c>
      <c r="C205" s="617"/>
      <c r="D205" s="617"/>
      <c r="E205" s="617"/>
      <c r="F205" s="617"/>
      <c r="G205" s="617"/>
      <c r="H205" s="535">
        <v>6870</v>
      </c>
      <c r="I205" s="617"/>
      <c r="J205" s="617"/>
      <c r="K205" s="1699">
        <f>SUM(H205)</f>
        <v>6870</v>
      </c>
      <c r="L205" s="535">
        <v>0</v>
      </c>
    </row>
    <row r="206" spans="1:14" ht="30" customHeight="1" x14ac:dyDescent="0.2">
      <c r="A206" s="682" t="s">
        <v>1770</v>
      </c>
      <c r="B206" s="673" t="s">
        <v>31</v>
      </c>
      <c r="C206" s="617"/>
      <c r="D206" s="617"/>
      <c r="E206" s="617"/>
      <c r="F206" s="617"/>
      <c r="G206" s="617"/>
      <c r="H206" s="466">
        <v>42834</v>
      </c>
      <c r="I206" s="617"/>
      <c r="J206" s="617"/>
      <c r="K206" s="1685">
        <f>SUM(H206)</f>
        <v>42834</v>
      </c>
      <c r="L206" s="466">
        <v>0</v>
      </c>
    </row>
    <row r="207" spans="1:14" ht="15.75" customHeight="1" x14ac:dyDescent="0.2">
      <c r="A207" s="622" t="s">
        <v>790</v>
      </c>
      <c r="B207" s="673" t="s">
        <v>86</v>
      </c>
      <c r="C207" s="617"/>
      <c r="D207" s="617"/>
      <c r="E207" s="617"/>
      <c r="F207" s="617"/>
      <c r="G207" s="617"/>
      <c r="H207" s="467">
        <v>0</v>
      </c>
      <c r="I207" s="617"/>
      <c r="J207" s="617"/>
      <c r="K207" s="1685">
        <f>H207</f>
        <v>0</v>
      </c>
      <c r="L207" s="466">
        <v>0</v>
      </c>
    </row>
    <row r="208" spans="1:14" ht="12.75" customHeight="1" thickBot="1" x14ac:dyDescent="0.25">
      <c r="A208" s="1700" t="s">
        <v>659</v>
      </c>
      <c r="B208" s="1701" t="s">
        <v>513</v>
      </c>
      <c r="C208" s="617"/>
      <c r="D208" s="617"/>
      <c r="E208" s="617"/>
      <c r="F208" s="617"/>
      <c r="G208" s="617"/>
      <c r="H208" s="1691">
        <f>SUM(H204,H205,H206,H207)</f>
        <v>49704</v>
      </c>
      <c r="I208" s="617"/>
      <c r="J208" s="617"/>
      <c r="K208" s="1691">
        <f>SUM(K204,K205,K206,K207)</f>
        <v>49704</v>
      </c>
      <c r="L208" s="1691">
        <f>SUM(L204,L205,L206,L207)</f>
        <v>0</v>
      </c>
    </row>
    <row r="209" spans="1:14" ht="15.75" customHeight="1" thickTop="1" thickBot="1" x14ac:dyDescent="0.25">
      <c r="A209" s="1620" t="s">
        <v>927</v>
      </c>
      <c r="B209" s="1627" t="s">
        <v>916</v>
      </c>
      <c r="C209" s="624"/>
      <c r="D209" s="624"/>
      <c r="E209" s="624"/>
      <c r="F209" s="624"/>
      <c r="G209" s="624"/>
      <c r="H209" s="624"/>
      <c r="I209" s="617"/>
      <c r="J209" s="617"/>
      <c r="K209" s="624"/>
      <c r="L209" s="576">
        <v>0</v>
      </c>
    </row>
    <row r="210" spans="1:14" ht="12.75" customHeight="1" thickTop="1" thickBot="1" x14ac:dyDescent="0.25">
      <c r="A210" s="1706" t="s">
        <v>295</v>
      </c>
      <c r="B210" s="1707"/>
      <c r="C210" s="1684">
        <f>SUM(C184,C185)</f>
        <v>0</v>
      </c>
      <c r="D210" s="1684">
        <f>SUM(D184,D185)</f>
        <v>0</v>
      </c>
      <c r="E210" s="1684">
        <f>SUM(E184,E185,E196)</f>
        <v>1969060</v>
      </c>
      <c r="F210" s="1684">
        <f>SUM(F184,F185)</f>
        <v>0</v>
      </c>
      <c r="G210" s="1684">
        <f>SUM(G184,G185)</f>
        <v>0</v>
      </c>
      <c r="H210" s="1684">
        <f>SUM(H184,H185,H196,H208,H209)</f>
        <v>50070</v>
      </c>
      <c r="I210" s="1684">
        <f>SUM(I184,I185)</f>
        <v>0</v>
      </c>
      <c r="J210" s="1684">
        <f>SUM(J184,J185)</f>
        <v>0</v>
      </c>
      <c r="K210" s="1685">
        <f>SUM(K184,K185,K196,K208,K209)</f>
        <v>2019130</v>
      </c>
      <c r="L210" s="1684">
        <f>SUM(L184,L185,L196,L208,L209)</f>
        <v>2127751</v>
      </c>
    </row>
    <row r="211" spans="1:14" ht="13.5" thickTop="1" x14ac:dyDescent="0.2">
      <c r="A211" s="2216" t="s">
        <v>1053</v>
      </c>
      <c r="B211" s="2217"/>
      <c r="C211" s="619"/>
      <c r="D211" s="619"/>
      <c r="E211" s="619"/>
      <c r="F211" s="619"/>
      <c r="G211" s="619"/>
      <c r="H211" s="619"/>
      <c r="I211" s="617"/>
      <c r="J211" s="617"/>
      <c r="K211" s="1698">
        <f>'Revenues 9-14'!F275-'Expenditures 15-22'!K210</f>
        <v>170213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1" t="s">
        <v>1022</v>
      </c>
      <c r="B213" s="2212"/>
      <c r="C213" s="1565"/>
      <c r="D213" s="1566"/>
      <c r="E213" s="1566"/>
      <c r="F213" s="1566"/>
      <c r="G213" s="1566"/>
      <c r="H213" s="1566"/>
      <c r="I213" s="1566"/>
      <c r="J213" s="1566"/>
      <c r="K213" s="1566"/>
      <c r="L213" s="1567"/>
      <c r="M213" s="610"/>
      <c r="N213" s="610"/>
    </row>
    <row r="214" spans="1:14" s="675" customFormat="1" ht="15.75" customHeight="1" x14ac:dyDescent="0.2">
      <c r="A214" s="1637" t="s">
        <v>928</v>
      </c>
      <c r="B214" s="1629" t="s">
        <v>591</v>
      </c>
      <c r="C214" s="617"/>
      <c r="D214" s="624"/>
      <c r="E214" s="617"/>
      <c r="F214" s="617"/>
      <c r="G214" s="617"/>
      <c r="H214" s="617"/>
      <c r="I214" s="617"/>
      <c r="J214" s="617"/>
      <c r="K214" s="624"/>
      <c r="L214" s="624"/>
      <c r="M214" s="666"/>
      <c r="N214" s="666"/>
    </row>
    <row r="215" spans="1:14" x14ac:dyDescent="0.2">
      <c r="A215" s="1518" t="s">
        <v>1018</v>
      </c>
      <c r="B215" s="615">
        <v>1100</v>
      </c>
      <c r="C215" s="617"/>
      <c r="D215" s="466">
        <v>189373</v>
      </c>
      <c r="E215" s="617"/>
      <c r="F215" s="617"/>
      <c r="G215" s="617"/>
      <c r="H215" s="617"/>
      <c r="I215" s="617"/>
      <c r="J215" s="617"/>
      <c r="K215" s="1685">
        <f>D215</f>
        <v>189373</v>
      </c>
      <c r="L215" s="466">
        <v>188535</v>
      </c>
    </row>
    <row r="216" spans="1:14" x14ac:dyDescent="0.2">
      <c r="A216" s="1518" t="s">
        <v>165</v>
      </c>
      <c r="B216" s="615" t="s">
        <v>1024</v>
      </c>
      <c r="C216" s="617"/>
      <c r="D216" s="467">
        <v>0</v>
      </c>
      <c r="E216" s="617"/>
      <c r="F216" s="617"/>
      <c r="G216" s="617"/>
      <c r="H216" s="617"/>
      <c r="I216" s="617"/>
      <c r="J216" s="617"/>
      <c r="K216" s="1685">
        <f t="shared" ref="K216:K228" si="19">D216</f>
        <v>0</v>
      </c>
      <c r="L216" s="466">
        <v>0</v>
      </c>
    </row>
    <row r="217" spans="1:14" x14ac:dyDescent="0.2">
      <c r="A217" s="1518" t="s">
        <v>166</v>
      </c>
      <c r="B217" s="615">
        <v>1200</v>
      </c>
      <c r="C217" s="617"/>
      <c r="D217" s="466">
        <v>120206</v>
      </c>
      <c r="E217" s="617"/>
      <c r="F217" s="617"/>
      <c r="G217" s="617"/>
      <c r="H217" s="617"/>
      <c r="I217" s="617"/>
      <c r="J217" s="617"/>
      <c r="K217" s="1685">
        <f t="shared" si="19"/>
        <v>120206</v>
      </c>
      <c r="L217" s="466">
        <v>127542</v>
      </c>
    </row>
    <row r="218" spans="1:14" x14ac:dyDescent="0.2">
      <c r="A218" s="1518" t="s">
        <v>296</v>
      </c>
      <c r="B218" s="615" t="s">
        <v>1025</v>
      </c>
      <c r="C218" s="617"/>
      <c r="D218" s="467">
        <v>0</v>
      </c>
      <c r="E218" s="617"/>
      <c r="F218" s="617"/>
      <c r="G218" s="617"/>
      <c r="H218" s="617"/>
      <c r="I218" s="617"/>
      <c r="J218" s="617"/>
      <c r="K218" s="1685">
        <f t="shared" si="19"/>
        <v>0</v>
      </c>
      <c r="L218" s="466">
        <v>0</v>
      </c>
    </row>
    <row r="219" spans="1:14" x14ac:dyDescent="0.2">
      <c r="A219" s="1518" t="s">
        <v>297</v>
      </c>
      <c r="B219" s="615">
        <v>1250</v>
      </c>
      <c r="C219" s="617"/>
      <c r="D219" s="466">
        <v>27761</v>
      </c>
      <c r="E219" s="617"/>
      <c r="F219" s="617"/>
      <c r="G219" s="617"/>
      <c r="H219" s="617"/>
      <c r="I219" s="617"/>
      <c r="J219" s="617"/>
      <c r="K219" s="1685">
        <f t="shared" si="19"/>
        <v>27761</v>
      </c>
      <c r="L219" s="466">
        <v>35568</v>
      </c>
    </row>
    <row r="220" spans="1:14" x14ac:dyDescent="0.2">
      <c r="A220" s="1518" t="s">
        <v>298</v>
      </c>
      <c r="B220" s="615" t="s">
        <v>163</v>
      </c>
      <c r="C220" s="617"/>
      <c r="D220" s="467">
        <v>0</v>
      </c>
      <c r="E220" s="617"/>
      <c r="F220" s="617"/>
      <c r="G220" s="617"/>
      <c r="H220" s="617"/>
      <c r="I220" s="617"/>
      <c r="J220" s="617"/>
      <c r="K220" s="1685">
        <f t="shared" si="19"/>
        <v>0</v>
      </c>
      <c r="L220" s="466">
        <v>0</v>
      </c>
    </row>
    <row r="221" spans="1:14" x14ac:dyDescent="0.2">
      <c r="A221" s="1518" t="s">
        <v>1019</v>
      </c>
      <c r="B221" s="615">
        <v>1300</v>
      </c>
      <c r="C221" s="617"/>
      <c r="D221" s="466">
        <v>0</v>
      </c>
      <c r="E221" s="617"/>
      <c r="F221" s="617"/>
      <c r="G221" s="617"/>
      <c r="H221" s="617"/>
      <c r="I221" s="617"/>
      <c r="J221" s="617"/>
      <c r="K221" s="1685">
        <f t="shared" si="19"/>
        <v>0</v>
      </c>
      <c r="L221" s="466">
        <v>0</v>
      </c>
    </row>
    <row r="222" spans="1:14" x14ac:dyDescent="0.2">
      <c r="A222" s="1518" t="s">
        <v>747</v>
      </c>
      <c r="B222" s="615">
        <v>1400</v>
      </c>
      <c r="C222" s="617"/>
      <c r="D222" s="466">
        <v>19434</v>
      </c>
      <c r="E222" s="617"/>
      <c r="F222" s="617"/>
      <c r="G222" s="617"/>
      <c r="H222" s="617"/>
      <c r="I222" s="617"/>
      <c r="J222" s="617"/>
      <c r="K222" s="1685">
        <f t="shared" si="19"/>
        <v>19434</v>
      </c>
      <c r="L222" s="466">
        <v>19143</v>
      </c>
    </row>
    <row r="223" spans="1:14" x14ac:dyDescent="0.2">
      <c r="A223" s="1518" t="s">
        <v>1020</v>
      </c>
      <c r="B223" s="615">
        <v>1500</v>
      </c>
      <c r="C223" s="617"/>
      <c r="D223" s="466">
        <v>61353</v>
      </c>
      <c r="E223" s="617"/>
      <c r="F223" s="617"/>
      <c r="G223" s="617"/>
      <c r="H223" s="617"/>
      <c r="I223" s="617"/>
      <c r="J223" s="617"/>
      <c r="K223" s="1685">
        <f t="shared" si="19"/>
        <v>61353</v>
      </c>
      <c r="L223" s="466">
        <v>62426</v>
      </c>
    </row>
    <row r="224" spans="1:14" x14ac:dyDescent="0.2">
      <c r="A224" s="1518" t="s">
        <v>1021</v>
      </c>
      <c r="B224" s="615">
        <v>1600</v>
      </c>
      <c r="C224" s="617"/>
      <c r="D224" s="466">
        <v>811</v>
      </c>
      <c r="E224" s="617"/>
      <c r="F224" s="617"/>
      <c r="G224" s="617"/>
      <c r="H224" s="617"/>
      <c r="I224" s="617"/>
      <c r="J224" s="617"/>
      <c r="K224" s="1685">
        <f t="shared" si="19"/>
        <v>811</v>
      </c>
      <c r="L224" s="466">
        <v>1369</v>
      </c>
    </row>
    <row r="225" spans="1:12" x14ac:dyDescent="0.2">
      <c r="A225" s="1518" t="s">
        <v>1044</v>
      </c>
      <c r="B225" s="615">
        <v>1650</v>
      </c>
      <c r="C225" s="617"/>
      <c r="D225" s="466">
        <v>0</v>
      </c>
      <c r="E225" s="617"/>
      <c r="F225" s="617"/>
      <c r="G225" s="617"/>
      <c r="H225" s="617"/>
      <c r="I225" s="617"/>
      <c r="J225" s="617"/>
      <c r="K225" s="1685">
        <f t="shared" si="19"/>
        <v>0</v>
      </c>
      <c r="L225" s="466">
        <v>0</v>
      </c>
    </row>
    <row r="226" spans="1:12" x14ac:dyDescent="0.2">
      <c r="A226" s="1518" t="s">
        <v>748</v>
      </c>
      <c r="B226" s="615" t="s">
        <v>164</v>
      </c>
      <c r="C226" s="617"/>
      <c r="D226" s="467">
        <v>4270</v>
      </c>
      <c r="E226" s="617"/>
      <c r="F226" s="617"/>
      <c r="G226" s="617"/>
      <c r="H226" s="617"/>
      <c r="I226" s="617"/>
      <c r="J226" s="617"/>
      <c r="K226" s="1685">
        <f t="shared" si="19"/>
        <v>4270</v>
      </c>
      <c r="L226" s="466">
        <v>4261</v>
      </c>
    </row>
    <row r="227" spans="1:12" x14ac:dyDescent="0.2">
      <c r="A227" s="1518" t="s">
        <v>1148</v>
      </c>
      <c r="B227" s="615">
        <v>1800</v>
      </c>
      <c r="C227" s="617"/>
      <c r="D227" s="466">
        <v>3993</v>
      </c>
      <c r="E227" s="617"/>
      <c r="F227" s="617"/>
      <c r="G227" s="617"/>
      <c r="H227" s="617"/>
      <c r="I227" s="617"/>
      <c r="J227" s="617"/>
      <c r="K227" s="1685">
        <f t="shared" si="19"/>
        <v>3993</v>
      </c>
      <c r="L227" s="466">
        <v>3072</v>
      </c>
    </row>
    <row r="228" spans="1:12" x14ac:dyDescent="0.2">
      <c r="A228" s="1518" t="s">
        <v>1149</v>
      </c>
      <c r="B228" s="615">
        <v>1900</v>
      </c>
      <c r="C228" s="617"/>
      <c r="D228" s="466">
        <v>0</v>
      </c>
      <c r="E228" s="617"/>
      <c r="F228" s="617"/>
      <c r="G228" s="617"/>
      <c r="H228" s="617"/>
      <c r="I228" s="617"/>
      <c r="J228" s="617"/>
      <c r="K228" s="1685">
        <f t="shared" si="19"/>
        <v>0</v>
      </c>
      <c r="L228" s="466">
        <v>0</v>
      </c>
    </row>
    <row r="229" spans="1:12" ht="12.75" customHeight="1" thickBot="1" x14ac:dyDescent="0.25">
      <c r="A229" s="1682" t="s">
        <v>739</v>
      </c>
      <c r="B229" s="1689" t="s">
        <v>591</v>
      </c>
      <c r="C229" s="617"/>
      <c r="D229" s="1684">
        <f>SUM(D215:D228)</f>
        <v>427201</v>
      </c>
      <c r="E229" s="617"/>
      <c r="F229" s="617"/>
      <c r="G229" s="617"/>
      <c r="H229" s="617"/>
      <c r="I229" s="617"/>
      <c r="J229" s="617"/>
      <c r="K229" s="1684">
        <f>SUM(K215:K228)</f>
        <v>427201</v>
      </c>
      <c r="L229" s="1684">
        <f>SUM(L215:L228)</f>
        <v>441916</v>
      </c>
    </row>
    <row r="230" spans="1:12" ht="15.75" customHeight="1" thickTop="1" x14ac:dyDescent="0.2">
      <c r="A230" s="1626" t="s">
        <v>929</v>
      </c>
      <c r="B230" s="1627"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8" t="s">
        <v>1150</v>
      </c>
      <c r="B232" s="615">
        <v>2110</v>
      </c>
      <c r="C232" s="617"/>
      <c r="D232" s="466">
        <v>56528</v>
      </c>
      <c r="E232" s="617"/>
      <c r="F232" s="617"/>
      <c r="G232" s="617"/>
      <c r="H232" s="617"/>
      <c r="I232" s="617"/>
      <c r="J232" s="617"/>
      <c r="K232" s="1685">
        <f t="shared" ref="K232:K237" si="20">D232</f>
        <v>56528</v>
      </c>
      <c r="L232" s="466">
        <v>58461</v>
      </c>
    </row>
    <row r="233" spans="1:12" x14ac:dyDescent="0.2">
      <c r="A233" s="1518" t="s">
        <v>1151</v>
      </c>
      <c r="B233" s="615">
        <v>2120</v>
      </c>
      <c r="C233" s="617"/>
      <c r="D233" s="466">
        <v>62486</v>
      </c>
      <c r="E233" s="617"/>
      <c r="F233" s="617"/>
      <c r="G233" s="617"/>
      <c r="H233" s="617"/>
      <c r="I233" s="617"/>
      <c r="J233" s="617"/>
      <c r="K233" s="1685">
        <f t="shared" si="20"/>
        <v>62486</v>
      </c>
      <c r="L233" s="466">
        <v>62563</v>
      </c>
    </row>
    <row r="234" spans="1:12" x14ac:dyDescent="0.2">
      <c r="A234" s="1518" t="s">
        <v>207</v>
      </c>
      <c r="B234" s="615">
        <v>2130</v>
      </c>
      <c r="C234" s="617"/>
      <c r="D234" s="466">
        <v>12322</v>
      </c>
      <c r="E234" s="617"/>
      <c r="F234" s="617"/>
      <c r="G234" s="617"/>
      <c r="H234" s="617"/>
      <c r="I234" s="617"/>
      <c r="J234" s="617"/>
      <c r="K234" s="1685">
        <f t="shared" si="20"/>
        <v>12322</v>
      </c>
      <c r="L234" s="466">
        <v>12904</v>
      </c>
    </row>
    <row r="235" spans="1:12" x14ac:dyDescent="0.2">
      <c r="A235" s="1518" t="s">
        <v>208</v>
      </c>
      <c r="B235" s="615">
        <v>2140</v>
      </c>
      <c r="C235" s="617"/>
      <c r="D235" s="466">
        <v>2212</v>
      </c>
      <c r="E235" s="617"/>
      <c r="F235" s="617"/>
      <c r="G235" s="617"/>
      <c r="H235" s="617"/>
      <c r="I235" s="617"/>
      <c r="J235" s="617"/>
      <c r="K235" s="1685">
        <f t="shared" si="20"/>
        <v>2212</v>
      </c>
      <c r="L235" s="466">
        <v>2099</v>
      </c>
    </row>
    <row r="236" spans="1:12" x14ac:dyDescent="0.2">
      <c r="A236" s="1518" t="s">
        <v>209</v>
      </c>
      <c r="B236" s="615">
        <v>2150</v>
      </c>
      <c r="C236" s="617"/>
      <c r="D236" s="466">
        <v>1162</v>
      </c>
      <c r="E236" s="617"/>
      <c r="F236" s="617"/>
      <c r="G236" s="617"/>
      <c r="H236" s="617"/>
      <c r="I236" s="617"/>
      <c r="J236" s="617"/>
      <c r="K236" s="1685">
        <f t="shared" si="20"/>
        <v>1162</v>
      </c>
      <c r="L236" s="466">
        <v>1116</v>
      </c>
    </row>
    <row r="237" spans="1:12" x14ac:dyDescent="0.2">
      <c r="A237" s="1518" t="s">
        <v>167</v>
      </c>
      <c r="B237" s="615">
        <v>2190</v>
      </c>
      <c r="C237" s="617"/>
      <c r="D237" s="466">
        <v>1726</v>
      </c>
      <c r="E237" s="617"/>
      <c r="F237" s="617"/>
      <c r="G237" s="617"/>
      <c r="H237" s="617"/>
      <c r="I237" s="617"/>
      <c r="J237" s="617"/>
      <c r="K237" s="1685">
        <f t="shared" si="20"/>
        <v>1726</v>
      </c>
      <c r="L237" s="466">
        <v>1959</v>
      </c>
    </row>
    <row r="238" spans="1:12" ht="12.75" customHeight="1" thickBot="1" x14ac:dyDescent="0.25">
      <c r="A238" s="1682" t="s">
        <v>581</v>
      </c>
      <c r="B238" s="1689" t="s">
        <v>740</v>
      </c>
      <c r="C238" s="617"/>
      <c r="D238" s="1684">
        <f>SUM(D232:D237)</f>
        <v>136436</v>
      </c>
      <c r="E238" s="617"/>
      <c r="F238" s="617"/>
      <c r="G238" s="617"/>
      <c r="H238" s="617"/>
      <c r="I238" s="617"/>
      <c r="J238" s="617"/>
      <c r="K238" s="1684">
        <f>SUM(K232:K237)</f>
        <v>136436</v>
      </c>
      <c r="L238" s="1684">
        <f>SUM(L232:L237)</f>
        <v>139102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8" t="s">
        <v>868</v>
      </c>
      <c r="B240" s="615">
        <v>2210</v>
      </c>
      <c r="C240" s="617"/>
      <c r="D240" s="481">
        <v>11217</v>
      </c>
      <c r="E240" s="617"/>
      <c r="F240" s="617"/>
      <c r="G240" s="617"/>
      <c r="H240" s="617"/>
      <c r="I240" s="617"/>
      <c r="J240" s="617"/>
      <c r="K240" s="1686">
        <f>D240</f>
        <v>11217</v>
      </c>
      <c r="L240" s="481">
        <v>11724</v>
      </c>
    </row>
    <row r="241" spans="1:12" x14ac:dyDescent="0.2">
      <c r="A241" s="1518" t="s">
        <v>869</v>
      </c>
      <c r="B241" s="615">
        <v>2220</v>
      </c>
      <c r="C241" s="617"/>
      <c r="D241" s="466">
        <v>98313</v>
      </c>
      <c r="E241" s="617"/>
      <c r="F241" s="617"/>
      <c r="G241" s="617"/>
      <c r="H241" s="617"/>
      <c r="I241" s="617"/>
      <c r="J241" s="617"/>
      <c r="K241" s="1686">
        <f>D241</f>
        <v>98313</v>
      </c>
      <c r="L241" s="466">
        <v>130072</v>
      </c>
    </row>
    <row r="242" spans="1:12" x14ac:dyDescent="0.2">
      <c r="A242" s="1518" t="s">
        <v>870</v>
      </c>
      <c r="B242" s="615">
        <v>2230</v>
      </c>
      <c r="C242" s="617"/>
      <c r="D242" s="466">
        <v>1082</v>
      </c>
      <c r="E242" s="617"/>
      <c r="F242" s="617"/>
      <c r="G242" s="617"/>
      <c r="H242" s="617"/>
      <c r="I242" s="617"/>
      <c r="J242" s="617"/>
      <c r="K242" s="1686">
        <f>D242</f>
        <v>1082</v>
      </c>
      <c r="L242" s="466">
        <v>1774</v>
      </c>
    </row>
    <row r="243" spans="1:12" ht="12.75" customHeight="1" thickBot="1" x14ac:dyDescent="0.25">
      <c r="A243" s="1708" t="s">
        <v>582</v>
      </c>
      <c r="B243" s="1709">
        <v>2200</v>
      </c>
      <c r="C243" s="617"/>
      <c r="D243" s="1684">
        <f>SUM(D240:D242)</f>
        <v>110612</v>
      </c>
      <c r="E243" s="617"/>
      <c r="F243" s="617"/>
      <c r="G243" s="617"/>
      <c r="H243" s="617"/>
      <c r="I243" s="617"/>
      <c r="J243" s="617"/>
      <c r="K243" s="1684">
        <f>SUM(K240:K242)</f>
        <v>110612</v>
      </c>
      <c r="L243" s="1684">
        <f>SUM(L240:L242)</f>
        <v>143570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8" t="s">
        <v>871</v>
      </c>
      <c r="B245" s="615">
        <v>2310</v>
      </c>
      <c r="C245" s="617"/>
      <c r="D245" s="481">
        <v>0</v>
      </c>
      <c r="E245" s="617"/>
      <c r="F245" s="617"/>
      <c r="G245" s="617"/>
      <c r="H245" s="617"/>
      <c r="I245" s="617"/>
      <c r="J245" s="617"/>
      <c r="K245" s="1686">
        <f>D245</f>
        <v>0</v>
      </c>
      <c r="L245" s="481">
        <v>0</v>
      </c>
    </row>
    <row r="246" spans="1:12" x14ac:dyDescent="0.2">
      <c r="A246" s="1518" t="s">
        <v>872</v>
      </c>
      <c r="B246" s="615">
        <v>2320</v>
      </c>
      <c r="C246" s="617"/>
      <c r="D246" s="466">
        <v>42825</v>
      </c>
      <c r="E246" s="617"/>
      <c r="F246" s="617"/>
      <c r="G246" s="617"/>
      <c r="H246" s="617"/>
      <c r="I246" s="617"/>
      <c r="J246" s="617"/>
      <c r="K246" s="1686">
        <f t="shared" ref="K246:K256" si="21">D246</f>
        <v>42825</v>
      </c>
      <c r="L246" s="466">
        <v>32527</v>
      </c>
    </row>
    <row r="247" spans="1:12" x14ac:dyDescent="0.2">
      <c r="A247" s="1518" t="s">
        <v>873</v>
      </c>
      <c r="B247" s="615">
        <v>2330</v>
      </c>
      <c r="C247" s="617"/>
      <c r="D247" s="466">
        <v>560</v>
      </c>
      <c r="E247" s="617"/>
      <c r="F247" s="617"/>
      <c r="G247" s="617"/>
      <c r="H247" s="617"/>
      <c r="I247" s="617"/>
      <c r="J247" s="617"/>
      <c r="K247" s="1686">
        <f t="shared" si="21"/>
        <v>560</v>
      </c>
      <c r="L247" s="466">
        <v>560</v>
      </c>
    </row>
    <row r="248" spans="1:12" x14ac:dyDescent="0.2">
      <c r="A248" s="1519" t="s">
        <v>317</v>
      </c>
      <c r="B248" s="603" t="s">
        <v>299</v>
      </c>
      <c r="C248" s="617"/>
      <c r="D248" s="474">
        <v>0</v>
      </c>
      <c r="E248" s="617"/>
      <c r="F248" s="617"/>
      <c r="G248" s="617"/>
      <c r="H248" s="617"/>
      <c r="I248" s="617"/>
      <c r="J248" s="617"/>
      <c r="K248" s="1686">
        <f t="shared" si="21"/>
        <v>0</v>
      </c>
      <c r="L248" s="466">
        <v>0</v>
      </c>
    </row>
    <row r="249" spans="1:12" x14ac:dyDescent="0.2">
      <c r="A249" s="1520" t="s">
        <v>1905</v>
      </c>
      <c r="B249" s="684" t="s">
        <v>300</v>
      </c>
      <c r="C249" s="617"/>
      <c r="D249" s="474">
        <v>0</v>
      </c>
      <c r="E249" s="617"/>
      <c r="F249" s="617"/>
      <c r="G249" s="617"/>
      <c r="H249" s="617"/>
      <c r="I249" s="617"/>
      <c r="J249" s="617"/>
      <c r="K249" s="1686">
        <f t="shared" si="21"/>
        <v>0</v>
      </c>
      <c r="L249" s="466">
        <v>0</v>
      </c>
    </row>
    <row r="250" spans="1:12" x14ac:dyDescent="0.2">
      <c r="A250" s="1519" t="s">
        <v>1906</v>
      </c>
      <c r="B250" s="603" t="s">
        <v>301</v>
      </c>
      <c r="C250" s="617"/>
      <c r="D250" s="474">
        <v>0</v>
      </c>
      <c r="E250" s="617"/>
      <c r="F250" s="617"/>
      <c r="G250" s="617"/>
      <c r="H250" s="617"/>
      <c r="I250" s="617"/>
      <c r="J250" s="617"/>
      <c r="K250" s="1686">
        <f t="shared" si="21"/>
        <v>0</v>
      </c>
      <c r="L250" s="466">
        <v>0</v>
      </c>
    </row>
    <row r="251" spans="1:12" x14ac:dyDescent="0.2">
      <c r="A251" s="1519" t="s">
        <v>256</v>
      </c>
      <c r="B251" s="603" t="s">
        <v>302</v>
      </c>
      <c r="C251" s="617"/>
      <c r="D251" s="474">
        <v>0</v>
      </c>
      <c r="E251" s="617"/>
      <c r="F251" s="617"/>
      <c r="G251" s="617"/>
      <c r="H251" s="617"/>
      <c r="I251" s="617"/>
      <c r="J251" s="617"/>
      <c r="K251" s="1686">
        <f t="shared" si="21"/>
        <v>0</v>
      </c>
      <c r="L251" s="466">
        <v>0</v>
      </c>
    </row>
    <row r="252" spans="1:12" x14ac:dyDescent="0.2">
      <c r="A252" s="1519" t="s">
        <v>726</v>
      </c>
      <c r="B252" s="603" t="s">
        <v>303</v>
      </c>
      <c r="C252" s="617"/>
      <c r="D252" s="474">
        <v>0</v>
      </c>
      <c r="E252" s="617"/>
      <c r="F252" s="617"/>
      <c r="G252" s="617"/>
      <c r="H252" s="617"/>
      <c r="I252" s="617"/>
      <c r="J252" s="617"/>
      <c r="K252" s="1686">
        <f t="shared" si="21"/>
        <v>0</v>
      </c>
      <c r="L252" s="466">
        <v>0</v>
      </c>
    </row>
    <row r="253" spans="1:12" x14ac:dyDescent="0.2">
      <c r="A253" s="1519" t="s">
        <v>257</v>
      </c>
      <c r="B253" s="603" t="s">
        <v>304</v>
      </c>
      <c r="C253" s="617"/>
      <c r="D253" s="474">
        <v>0</v>
      </c>
      <c r="E253" s="617"/>
      <c r="F253" s="617"/>
      <c r="G253" s="617"/>
      <c r="H253" s="617"/>
      <c r="I253" s="617"/>
      <c r="J253" s="617"/>
      <c r="K253" s="1686">
        <f t="shared" si="21"/>
        <v>0</v>
      </c>
      <c r="L253" s="466">
        <v>0</v>
      </c>
    </row>
    <row r="254" spans="1:12" ht="22.5" x14ac:dyDescent="0.2">
      <c r="A254" s="1519" t="s">
        <v>1087</v>
      </c>
      <c r="B254" s="684" t="s">
        <v>305</v>
      </c>
      <c r="C254" s="617"/>
      <c r="D254" s="474">
        <v>0</v>
      </c>
      <c r="E254" s="617"/>
      <c r="F254" s="617"/>
      <c r="G254" s="617"/>
      <c r="H254" s="617"/>
      <c r="I254" s="617"/>
      <c r="J254" s="617"/>
      <c r="K254" s="1686">
        <f t="shared" si="21"/>
        <v>0</v>
      </c>
      <c r="L254" s="466">
        <v>0</v>
      </c>
    </row>
    <row r="255" spans="1:12" x14ac:dyDescent="0.2">
      <c r="A255" s="1519" t="s">
        <v>1088</v>
      </c>
      <c r="B255" s="603" t="s">
        <v>306</v>
      </c>
      <c r="C255" s="617"/>
      <c r="D255" s="474">
        <v>0</v>
      </c>
      <c r="E255" s="617"/>
      <c r="F255" s="617"/>
      <c r="G255" s="617"/>
      <c r="H255" s="617"/>
      <c r="I255" s="617"/>
      <c r="J255" s="617"/>
      <c r="K255" s="1686">
        <f t="shared" si="21"/>
        <v>0</v>
      </c>
      <c r="L255" s="466">
        <v>0</v>
      </c>
    </row>
    <row r="256" spans="1:12" x14ac:dyDescent="0.2">
      <c r="A256" s="1519" t="s">
        <v>1028</v>
      </c>
      <c r="B256" s="615" t="s">
        <v>307</v>
      </c>
      <c r="C256" s="617"/>
      <c r="D256" s="474">
        <v>0</v>
      </c>
      <c r="E256" s="617"/>
      <c r="F256" s="617"/>
      <c r="G256" s="617"/>
      <c r="H256" s="617"/>
      <c r="I256" s="617"/>
      <c r="J256" s="617"/>
      <c r="K256" s="1686">
        <f t="shared" si="21"/>
        <v>0</v>
      </c>
      <c r="L256" s="466">
        <v>0</v>
      </c>
    </row>
    <row r="257" spans="1:14" ht="12.75" customHeight="1" thickBot="1" x14ac:dyDescent="0.25">
      <c r="A257" s="1682" t="s">
        <v>741</v>
      </c>
      <c r="B257" s="1710">
        <v>2300</v>
      </c>
      <c r="C257" s="617"/>
      <c r="D257" s="1684">
        <f>SUM(D245:D256)</f>
        <v>43385</v>
      </c>
      <c r="E257" s="617"/>
      <c r="F257" s="617"/>
      <c r="G257" s="617"/>
      <c r="H257" s="617"/>
      <c r="I257" s="617"/>
      <c r="J257" s="617"/>
      <c r="K257" s="1684">
        <f>SUM(K245:K256)</f>
        <v>43385</v>
      </c>
      <c r="L257" s="1684">
        <f>SUM(L245:L256)</f>
        <v>33087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8" t="s">
        <v>1127</v>
      </c>
      <c r="B259" s="686">
        <v>2410</v>
      </c>
      <c r="C259" s="617"/>
      <c r="D259" s="481">
        <v>68577</v>
      </c>
      <c r="E259" s="617"/>
      <c r="F259" s="617"/>
      <c r="G259" s="617"/>
      <c r="H259" s="617"/>
      <c r="I259" s="617"/>
      <c r="J259" s="617"/>
      <c r="K259" s="1686">
        <f>D259</f>
        <v>68577</v>
      </c>
      <c r="L259" s="481">
        <v>69899</v>
      </c>
    </row>
    <row r="260" spans="1:14" s="598" customFormat="1" x14ac:dyDescent="0.2">
      <c r="A260" s="1536" t="s">
        <v>1904</v>
      </c>
      <c r="B260" s="629">
        <v>2490</v>
      </c>
      <c r="C260" s="617"/>
      <c r="D260" s="466">
        <v>39555</v>
      </c>
      <c r="E260" s="617"/>
      <c r="F260" s="617"/>
      <c r="G260" s="617"/>
      <c r="H260" s="617"/>
      <c r="I260" s="617"/>
      <c r="J260" s="617"/>
      <c r="K260" s="1686">
        <f>D260</f>
        <v>39555</v>
      </c>
      <c r="L260" s="466">
        <v>38403</v>
      </c>
      <c r="M260" s="210"/>
      <c r="N260" s="210"/>
    </row>
    <row r="261" spans="1:14" ht="12.75" customHeight="1" thickBot="1" x14ac:dyDescent="0.25">
      <c r="A261" s="1706" t="s">
        <v>281</v>
      </c>
      <c r="B261" s="1711" t="s">
        <v>34</v>
      </c>
      <c r="C261" s="617"/>
      <c r="D261" s="1684">
        <f>SUM(D259:D260)</f>
        <v>108132</v>
      </c>
      <c r="E261" s="617"/>
      <c r="F261" s="617"/>
      <c r="G261" s="617"/>
      <c r="H261" s="617"/>
      <c r="I261" s="617"/>
      <c r="J261" s="617"/>
      <c r="K261" s="1684">
        <f>SUM(K259:K260)</f>
        <v>108132</v>
      </c>
      <c r="L261" s="1684">
        <f>SUM(L259:L260)</f>
        <v>108302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8" t="s">
        <v>1128</v>
      </c>
      <c r="B263" s="686">
        <v>2510</v>
      </c>
      <c r="C263" s="617"/>
      <c r="D263" s="466">
        <v>17394</v>
      </c>
      <c r="E263" s="617"/>
      <c r="F263" s="617"/>
      <c r="G263" s="617"/>
      <c r="H263" s="617"/>
      <c r="I263" s="617"/>
      <c r="J263" s="617"/>
      <c r="K263" s="1686">
        <f>D263</f>
        <v>17394</v>
      </c>
      <c r="L263" s="481">
        <v>17378</v>
      </c>
    </row>
    <row r="264" spans="1:14" x14ac:dyDescent="0.2">
      <c r="A264" s="1518" t="s">
        <v>483</v>
      </c>
      <c r="B264" s="686">
        <v>2520</v>
      </c>
      <c r="C264" s="617"/>
      <c r="D264" s="466">
        <v>67029</v>
      </c>
      <c r="E264" s="617"/>
      <c r="F264" s="617"/>
      <c r="G264" s="617"/>
      <c r="H264" s="617"/>
      <c r="I264" s="617"/>
      <c r="J264" s="617"/>
      <c r="K264" s="1686">
        <f t="shared" ref="K264:K269" si="22">D264</f>
        <v>67029</v>
      </c>
      <c r="L264" s="466">
        <v>67584</v>
      </c>
    </row>
    <row r="265" spans="1:14" x14ac:dyDescent="0.2">
      <c r="A265" s="1518" t="s">
        <v>4</v>
      </c>
      <c r="B265" s="615">
        <v>2530</v>
      </c>
      <c r="C265" s="617"/>
      <c r="D265" s="466">
        <v>0</v>
      </c>
      <c r="E265" s="617"/>
      <c r="F265" s="617"/>
      <c r="G265" s="617"/>
      <c r="H265" s="617"/>
      <c r="I265" s="617"/>
      <c r="J265" s="617"/>
      <c r="K265" s="1686">
        <f t="shared" si="22"/>
        <v>0</v>
      </c>
      <c r="L265" s="466">
        <v>0</v>
      </c>
    </row>
    <row r="266" spans="1:14" x14ac:dyDescent="0.2">
      <c r="A266" s="1518" t="s">
        <v>206</v>
      </c>
      <c r="B266" s="615">
        <v>2540</v>
      </c>
      <c r="C266" s="617"/>
      <c r="D266" s="466">
        <v>429675</v>
      </c>
      <c r="E266" s="617"/>
      <c r="F266" s="617"/>
      <c r="G266" s="617"/>
      <c r="H266" s="617"/>
      <c r="I266" s="617"/>
      <c r="J266" s="617"/>
      <c r="K266" s="1686">
        <f t="shared" si="22"/>
        <v>429675</v>
      </c>
      <c r="L266" s="466">
        <v>449318</v>
      </c>
    </row>
    <row r="267" spans="1:14" x14ac:dyDescent="0.2">
      <c r="A267" s="1518" t="s">
        <v>1010</v>
      </c>
      <c r="B267" s="615">
        <v>2550</v>
      </c>
      <c r="C267" s="617"/>
      <c r="D267" s="466">
        <v>0</v>
      </c>
      <c r="E267" s="617"/>
      <c r="F267" s="617"/>
      <c r="G267" s="617"/>
      <c r="H267" s="617"/>
      <c r="I267" s="617"/>
      <c r="J267" s="617"/>
      <c r="K267" s="1686">
        <f t="shared" si="22"/>
        <v>0</v>
      </c>
      <c r="L267" s="466">
        <v>0</v>
      </c>
    </row>
    <row r="268" spans="1:14" x14ac:dyDescent="0.2">
      <c r="A268" s="1518" t="s">
        <v>102</v>
      </c>
      <c r="B268" s="615">
        <v>2560</v>
      </c>
      <c r="C268" s="617"/>
      <c r="D268" s="466">
        <v>0</v>
      </c>
      <c r="E268" s="617"/>
      <c r="F268" s="617"/>
      <c r="G268" s="617"/>
      <c r="H268" s="617"/>
      <c r="I268" s="617"/>
      <c r="J268" s="617"/>
      <c r="K268" s="1686">
        <f t="shared" si="22"/>
        <v>0</v>
      </c>
      <c r="L268" s="466">
        <v>0</v>
      </c>
    </row>
    <row r="269" spans="1:14" x14ac:dyDescent="0.2">
      <c r="A269" s="1518" t="s">
        <v>103</v>
      </c>
      <c r="B269" s="615">
        <v>2570</v>
      </c>
      <c r="C269" s="617"/>
      <c r="D269" s="466">
        <v>22407</v>
      </c>
      <c r="E269" s="617"/>
      <c r="F269" s="617"/>
      <c r="G269" s="617"/>
      <c r="H269" s="617"/>
      <c r="I269" s="617"/>
      <c r="J269" s="617"/>
      <c r="K269" s="1686">
        <f t="shared" si="22"/>
        <v>22407</v>
      </c>
      <c r="L269" s="466">
        <v>22484</v>
      </c>
    </row>
    <row r="270" spans="1:14" ht="12.75" customHeight="1" thickBot="1" x14ac:dyDescent="0.25">
      <c r="A270" s="1682" t="s">
        <v>743</v>
      </c>
      <c r="B270" s="1689" t="s">
        <v>35</v>
      </c>
      <c r="C270" s="617"/>
      <c r="D270" s="1684">
        <f>SUM(D263:D269)</f>
        <v>536505</v>
      </c>
      <c r="E270" s="617"/>
      <c r="F270" s="617"/>
      <c r="G270" s="617"/>
      <c r="H270" s="617"/>
      <c r="I270" s="617"/>
      <c r="J270" s="617"/>
      <c r="K270" s="1684">
        <f>SUM(K263:K269)</f>
        <v>536505</v>
      </c>
      <c r="L270" s="1684">
        <f>SUM(L263:L269)</f>
        <v>556764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8" t="s">
        <v>1120</v>
      </c>
      <c r="B272" s="615">
        <v>2610</v>
      </c>
      <c r="C272" s="617"/>
      <c r="D272" s="481">
        <v>0</v>
      </c>
      <c r="E272" s="617"/>
      <c r="F272" s="617"/>
      <c r="G272" s="617"/>
      <c r="H272" s="617"/>
      <c r="I272" s="617"/>
      <c r="J272" s="617"/>
      <c r="K272" s="1686">
        <f>D272</f>
        <v>0</v>
      </c>
      <c r="L272" s="481">
        <v>0</v>
      </c>
    </row>
    <row r="273" spans="1:12" x14ac:dyDescent="0.2">
      <c r="A273" s="1518" t="s">
        <v>628</v>
      </c>
      <c r="B273" s="629">
        <v>2620</v>
      </c>
      <c r="C273" s="617"/>
      <c r="D273" s="466">
        <v>11715</v>
      </c>
      <c r="E273" s="617"/>
      <c r="F273" s="617"/>
      <c r="G273" s="617"/>
      <c r="H273" s="617"/>
      <c r="I273" s="617"/>
      <c r="J273" s="617"/>
      <c r="K273" s="1686">
        <f>D273</f>
        <v>11715</v>
      </c>
      <c r="L273" s="466">
        <v>11942</v>
      </c>
    </row>
    <row r="274" spans="1:12" ht="12" customHeight="1" x14ac:dyDescent="0.2">
      <c r="A274" s="1518" t="s">
        <v>1121</v>
      </c>
      <c r="B274" s="615">
        <v>2630</v>
      </c>
      <c r="C274" s="617"/>
      <c r="D274" s="466">
        <v>25856</v>
      </c>
      <c r="E274" s="617"/>
      <c r="F274" s="617"/>
      <c r="G274" s="617"/>
      <c r="H274" s="617"/>
      <c r="I274" s="617"/>
      <c r="J274" s="617"/>
      <c r="K274" s="1686">
        <f>D274</f>
        <v>25856</v>
      </c>
      <c r="L274" s="466">
        <v>25854</v>
      </c>
    </row>
    <row r="275" spans="1:12" x14ac:dyDescent="0.2">
      <c r="A275" s="1518" t="s">
        <v>423</v>
      </c>
      <c r="B275" s="615">
        <v>2640</v>
      </c>
      <c r="C275" s="617"/>
      <c r="D275" s="466">
        <v>27434</v>
      </c>
      <c r="E275" s="617"/>
      <c r="F275" s="617"/>
      <c r="G275" s="617"/>
      <c r="H275" s="617"/>
      <c r="I275" s="617"/>
      <c r="J275" s="617"/>
      <c r="K275" s="1686">
        <f>D275</f>
        <v>27434</v>
      </c>
      <c r="L275" s="466">
        <v>27699</v>
      </c>
    </row>
    <row r="276" spans="1:12" x14ac:dyDescent="0.2">
      <c r="A276" s="1518" t="s">
        <v>424</v>
      </c>
      <c r="B276" s="615">
        <v>2660</v>
      </c>
      <c r="C276" s="617"/>
      <c r="D276" s="466">
        <v>27908</v>
      </c>
      <c r="E276" s="617"/>
      <c r="F276" s="617"/>
      <c r="G276" s="617"/>
      <c r="H276" s="617"/>
      <c r="I276" s="617"/>
      <c r="J276" s="617"/>
      <c r="K276" s="1686">
        <f>D276</f>
        <v>27908</v>
      </c>
      <c r="L276" s="466">
        <v>27900</v>
      </c>
    </row>
    <row r="277" spans="1:12" ht="12.75" customHeight="1" thickBot="1" x14ac:dyDescent="0.25">
      <c r="A277" s="1705" t="s">
        <v>37</v>
      </c>
      <c r="B277" s="1683" t="s">
        <v>36</v>
      </c>
      <c r="C277" s="617"/>
      <c r="D277" s="1684">
        <f>SUM(D272:D276)</f>
        <v>92913</v>
      </c>
      <c r="E277" s="617"/>
      <c r="F277" s="617"/>
      <c r="G277" s="617"/>
      <c r="H277" s="617"/>
      <c r="I277" s="617"/>
      <c r="J277" s="617"/>
      <c r="K277" s="1684">
        <f>SUM(K272:K276)</f>
        <v>92913</v>
      </c>
      <c r="L277" s="1684">
        <f>SUM(L272:L276)</f>
        <v>93395</v>
      </c>
    </row>
    <row r="278" spans="1:12" ht="13.5" customHeight="1" thickTop="1" x14ac:dyDescent="0.2">
      <c r="A278" s="1524" t="s">
        <v>1037</v>
      </c>
      <c r="B278" s="656" t="s">
        <v>595</v>
      </c>
      <c r="C278" s="617"/>
      <c r="D278" s="657">
        <v>0</v>
      </c>
      <c r="E278" s="617"/>
      <c r="F278" s="617"/>
      <c r="G278" s="617"/>
      <c r="H278" s="617"/>
      <c r="I278" s="617"/>
      <c r="J278" s="617"/>
      <c r="K278" s="1699">
        <f>D278</f>
        <v>0</v>
      </c>
      <c r="L278" s="657">
        <v>0</v>
      </c>
    </row>
    <row r="279" spans="1:12" ht="12.75" customHeight="1" thickBot="1" x14ac:dyDescent="0.25">
      <c r="A279" s="1712" t="s">
        <v>865</v>
      </c>
      <c r="B279" s="1695">
        <v>2000</v>
      </c>
      <c r="C279" s="617"/>
      <c r="D279" s="1691">
        <f>SUM(D238,D243,D257,D261,D270,D277,D278)</f>
        <v>1027983</v>
      </c>
      <c r="E279" s="617"/>
      <c r="F279" s="617"/>
      <c r="G279" s="617"/>
      <c r="H279" s="617"/>
      <c r="I279" s="617"/>
      <c r="J279" s="617"/>
      <c r="K279" s="1691">
        <f>SUM(K238,K243,K257,K261,K270,K277,K278)</f>
        <v>1027983</v>
      </c>
      <c r="L279" s="1691">
        <f>SUM(L238,L243,L257,L261,L270,L277,L278)</f>
        <v>1074220</v>
      </c>
    </row>
    <row r="280" spans="1:12" ht="15.75" customHeight="1" thickTop="1" thickBot="1" x14ac:dyDescent="0.25">
      <c r="A280" s="1638" t="s">
        <v>930</v>
      </c>
      <c r="B280" s="1627">
        <v>3000</v>
      </c>
      <c r="C280" s="617"/>
      <c r="D280" s="576">
        <v>0</v>
      </c>
      <c r="E280" s="617"/>
      <c r="F280" s="617"/>
      <c r="G280" s="617"/>
      <c r="H280" s="617"/>
      <c r="I280" s="617"/>
      <c r="J280" s="617"/>
      <c r="K280" s="1693">
        <f>D280</f>
        <v>0</v>
      </c>
      <c r="L280" s="576">
        <v>0</v>
      </c>
    </row>
    <row r="281" spans="1:12" ht="15.75" customHeight="1" thickTop="1" x14ac:dyDescent="0.2">
      <c r="A281" s="1628" t="s">
        <v>144</v>
      </c>
      <c r="B281" s="1629" t="s">
        <v>915</v>
      </c>
      <c r="C281" s="617"/>
      <c r="D281" s="566"/>
      <c r="E281" s="617"/>
      <c r="F281" s="617"/>
      <c r="G281" s="617"/>
      <c r="H281" s="617"/>
      <c r="I281" s="617"/>
      <c r="J281" s="617"/>
      <c r="K281" s="617"/>
      <c r="L281" s="617"/>
    </row>
    <row r="282" spans="1:12" ht="15.75" customHeight="1" x14ac:dyDescent="0.2">
      <c r="A282" s="1845" t="s">
        <v>517</v>
      </c>
      <c r="B282" s="691" t="s">
        <v>1954</v>
      </c>
      <c r="C282" s="617"/>
      <c r="D282" s="467">
        <v>0</v>
      </c>
      <c r="E282" s="617"/>
      <c r="F282" s="617"/>
      <c r="G282" s="617"/>
      <c r="H282" s="617"/>
      <c r="I282" s="617"/>
      <c r="J282" s="617"/>
      <c r="K282" s="1685">
        <f>D282</f>
        <v>0</v>
      </c>
      <c r="L282" s="467">
        <v>0</v>
      </c>
    </row>
    <row r="283" spans="1:12" x14ac:dyDescent="0.2">
      <c r="A283" s="1518" t="s">
        <v>322</v>
      </c>
      <c r="B283" s="615">
        <v>4120</v>
      </c>
      <c r="C283" s="617"/>
      <c r="D283" s="466">
        <v>0</v>
      </c>
      <c r="E283" s="617"/>
      <c r="F283" s="617"/>
      <c r="G283" s="617"/>
      <c r="H283" s="617"/>
      <c r="I283" s="617"/>
      <c r="J283" s="617"/>
      <c r="K283" s="1685">
        <f>D283</f>
        <v>0</v>
      </c>
      <c r="L283" s="466">
        <v>0</v>
      </c>
    </row>
    <row r="284" spans="1:12" x14ac:dyDescent="0.2">
      <c r="A284" s="1518" t="s">
        <v>721</v>
      </c>
      <c r="B284" s="615">
        <v>4140</v>
      </c>
      <c r="C284" s="617"/>
      <c r="D284" s="467">
        <v>0</v>
      </c>
      <c r="E284" s="617"/>
      <c r="F284" s="617"/>
      <c r="G284" s="617"/>
      <c r="H284" s="617"/>
      <c r="I284" s="617"/>
      <c r="J284" s="617"/>
      <c r="K284" s="1685">
        <f>D284</f>
        <v>0</v>
      </c>
      <c r="L284" s="466">
        <v>0</v>
      </c>
    </row>
    <row r="285" spans="1:12" ht="12.75" customHeight="1" thickBot="1" x14ac:dyDescent="0.25">
      <c r="A285" s="1682" t="s">
        <v>1567</v>
      </c>
      <c r="B285" s="1683" t="s">
        <v>915</v>
      </c>
      <c r="C285" s="617"/>
      <c r="D285" s="1684">
        <f>SUM(D282:D284)</f>
        <v>0</v>
      </c>
      <c r="E285" s="617"/>
      <c r="F285" s="617"/>
      <c r="G285" s="617"/>
      <c r="H285" s="617"/>
      <c r="I285" s="617"/>
      <c r="J285" s="617"/>
      <c r="K285" s="1684">
        <f>SUM(K282:K284)</f>
        <v>0</v>
      </c>
      <c r="L285" s="1684">
        <f>SUM(L282:L284)</f>
        <v>0</v>
      </c>
    </row>
    <row r="286" spans="1:12" ht="15.75" customHeight="1" thickTop="1" x14ac:dyDescent="0.2">
      <c r="A286" s="1626" t="s">
        <v>931</v>
      </c>
      <c r="B286" s="1623"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8" t="s">
        <v>89</v>
      </c>
      <c r="B288" s="615">
        <v>5110</v>
      </c>
      <c r="C288" s="617"/>
      <c r="D288" s="617"/>
      <c r="E288" s="617"/>
      <c r="F288" s="617"/>
      <c r="G288" s="617"/>
      <c r="H288" s="466">
        <v>0</v>
      </c>
      <c r="I288" s="617"/>
      <c r="J288" s="617"/>
      <c r="K288" s="1685">
        <f>H288</f>
        <v>0</v>
      </c>
      <c r="L288" s="466">
        <v>0</v>
      </c>
    </row>
    <row r="289" spans="1:14" x14ac:dyDescent="0.2">
      <c r="A289" s="1518" t="s">
        <v>90</v>
      </c>
      <c r="B289" s="615">
        <v>5120</v>
      </c>
      <c r="C289" s="617"/>
      <c r="D289" s="617"/>
      <c r="E289" s="617"/>
      <c r="F289" s="617"/>
      <c r="G289" s="617"/>
      <c r="H289" s="466">
        <v>0</v>
      </c>
      <c r="I289" s="617"/>
      <c r="J289" s="617"/>
      <c r="K289" s="1685">
        <f>H289</f>
        <v>0</v>
      </c>
      <c r="L289" s="466">
        <v>0</v>
      </c>
    </row>
    <row r="290" spans="1:14" ht="12.75" customHeight="1" x14ac:dyDescent="0.2">
      <c r="A290" s="1518" t="s">
        <v>1232</v>
      </c>
      <c r="B290" s="629" t="s">
        <v>638</v>
      </c>
      <c r="C290" s="617"/>
      <c r="D290" s="617"/>
      <c r="E290" s="617"/>
      <c r="F290" s="617"/>
      <c r="G290" s="617"/>
      <c r="H290" s="466">
        <v>0</v>
      </c>
      <c r="I290" s="617"/>
      <c r="J290" s="617"/>
      <c r="K290" s="1685">
        <f>H290</f>
        <v>0</v>
      </c>
      <c r="L290" s="466">
        <v>0</v>
      </c>
    </row>
    <row r="291" spans="1:14" x14ac:dyDescent="0.2">
      <c r="A291" s="1518" t="s">
        <v>91</v>
      </c>
      <c r="B291" s="615" t="s">
        <v>610</v>
      </c>
      <c r="C291" s="617"/>
      <c r="D291" s="617"/>
      <c r="E291" s="617"/>
      <c r="F291" s="617"/>
      <c r="G291" s="617"/>
      <c r="H291" s="466">
        <v>0</v>
      </c>
      <c r="I291" s="617"/>
      <c r="J291" s="617"/>
      <c r="K291" s="1685">
        <f>H291</f>
        <v>0</v>
      </c>
      <c r="L291" s="466">
        <v>0</v>
      </c>
    </row>
    <row r="292" spans="1:14" x14ac:dyDescent="0.2">
      <c r="A292" s="1518" t="s">
        <v>786</v>
      </c>
      <c r="B292" s="615" t="s">
        <v>639</v>
      </c>
      <c r="C292" s="617"/>
      <c r="D292" s="617"/>
      <c r="E292" s="617"/>
      <c r="F292" s="617"/>
      <c r="G292" s="617"/>
      <c r="H292" s="466">
        <v>0</v>
      </c>
      <c r="I292" s="617"/>
      <c r="J292" s="617"/>
      <c r="K292" s="1685">
        <f>H292</f>
        <v>0</v>
      </c>
      <c r="L292" s="466">
        <v>0</v>
      </c>
    </row>
    <row r="293" spans="1:14" ht="12.75" customHeight="1" thickBot="1" x14ac:dyDescent="0.25">
      <c r="A293" s="1682" t="s">
        <v>505</v>
      </c>
      <c r="B293" s="1683" t="s">
        <v>513</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39" t="s">
        <v>932</v>
      </c>
      <c r="B294" s="1627" t="s">
        <v>916</v>
      </c>
      <c r="C294" s="617"/>
      <c r="D294" s="624"/>
      <c r="E294" s="617"/>
      <c r="F294" s="617"/>
      <c r="G294" s="617"/>
      <c r="H294" s="687"/>
      <c r="I294" s="617"/>
      <c r="J294" s="617"/>
      <c r="K294" s="687"/>
      <c r="L294" s="578">
        <v>50000</v>
      </c>
    </row>
    <row r="295" spans="1:14" ht="12.75" customHeight="1" thickTop="1" thickBot="1" x14ac:dyDescent="0.25">
      <c r="A295" s="2207" t="s">
        <v>526</v>
      </c>
      <c r="B295" s="2208"/>
      <c r="C295" s="617"/>
      <c r="D295" s="1684">
        <f>SUM(D229,D279,D280,D285)</f>
        <v>1455184</v>
      </c>
      <c r="E295" s="617"/>
      <c r="F295" s="617"/>
      <c r="G295" s="617"/>
      <c r="H295" s="1684">
        <f>H293</f>
        <v>0</v>
      </c>
      <c r="I295" s="617"/>
      <c r="J295" s="617"/>
      <c r="K295" s="1684">
        <f>SUM(K229,K279,K280,K285,K293,K294)</f>
        <v>1455184</v>
      </c>
      <c r="L295" s="1684">
        <f>SUM(L229,L279,L280,L285,L293,L294)</f>
        <v>1566136</v>
      </c>
    </row>
    <row r="296" spans="1:14" ht="13.5" thickTop="1" x14ac:dyDescent="0.2">
      <c r="A296" s="2216" t="s">
        <v>1053</v>
      </c>
      <c r="B296" s="2217"/>
      <c r="C296" s="617"/>
      <c r="D296" s="619"/>
      <c r="E296" s="617"/>
      <c r="F296" s="617"/>
      <c r="G296" s="617"/>
      <c r="H296" s="688"/>
      <c r="I296" s="617"/>
      <c r="J296" s="617"/>
      <c r="K296" s="1698">
        <f>'Revenues 9-14'!G275-'Expenditures 15-22'!K295</f>
        <v>81308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9" t="s">
        <v>145</v>
      </c>
      <c r="B298" s="2193"/>
      <c r="C298" s="1565"/>
      <c r="D298" s="1566"/>
      <c r="E298" s="1566"/>
      <c r="F298" s="1566"/>
      <c r="G298" s="1566"/>
      <c r="H298" s="1566"/>
      <c r="I298" s="1566"/>
      <c r="J298" s="1566"/>
      <c r="K298" s="1566"/>
      <c r="L298" s="1567"/>
    </row>
    <row r="299" spans="1:14" ht="15.75" customHeight="1" x14ac:dyDescent="0.2">
      <c r="A299" s="1626" t="s">
        <v>146</v>
      </c>
      <c r="B299" s="1629"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1" t="s">
        <v>629</v>
      </c>
      <c r="B301" s="690">
        <v>2530</v>
      </c>
      <c r="C301" s="466">
        <v>0</v>
      </c>
      <c r="D301" s="466">
        <v>0</v>
      </c>
      <c r="E301" s="466">
        <v>58287</v>
      </c>
      <c r="F301" s="466">
        <v>0</v>
      </c>
      <c r="G301" s="466">
        <v>790170</v>
      </c>
      <c r="H301" s="466">
        <v>0</v>
      </c>
      <c r="I301" s="467">
        <v>0</v>
      </c>
      <c r="J301" s="467">
        <v>0</v>
      </c>
      <c r="K301" s="1685">
        <f>SUM(C301:J301)</f>
        <v>848457</v>
      </c>
      <c r="L301" s="467">
        <v>568286</v>
      </c>
    </row>
    <row r="302" spans="1:14" ht="13.5" customHeight="1" x14ac:dyDescent="0.2">
      <c r="A302" s="1531" t="s">
        <v>1037</v>
      </c>
      <c r="B302" s="615" t="s">
        <v>595</v>
      </c>
      <c r="C302" s="466">
        <v>0</v>
      </c>
      <c r="D302" s="466">
        <v>0</v>
      </c>
      <c r="E302" s="466">
        <v>0</v>
      </c>
      <c r="F302" s="466">
        <v>0</v>
      </c>
      <c r="G302" s="466">
        <v>0</v>
      </c>
      <c r="H302" s="466">
        <v>0</v>
      </c>
      <c r="I302" s="467">
        <v>0</v>
      </c>
      <c r="J302" s="467">
        <v>0</v>
      </c>
      <c r="K302" s="1685">
        <f>SUM(C302:J302)</f>
        <v>0</v>
      </c>
      <c r="L302" s="466">
        <v>0</v>
      </c>
    </row>
    <row r="303" spans="1:14" ht="12.75" customHeight="1" thickBot="1" x14ac:dyDescent="0.25">
      <c r="A303" s="1682" t="s">
        <v>865</v>
      </c>
      <c r="B303" s="1683" t="s">
        <v>590</v>
      </c>
      <c r="C303" s="1691">
        <f>SUM(C301:C302)</f>
        <v>0</v>
      </c>
      <c r="D303" s="1691">
        <f t="shared" ref="D303:L303" si="23">SUM(D301:D302)</f>
        <v>0</v>
      </c>
      <c r="E303" s="1691">
        <f t="shared" si="23"/>
        <v>58287</v>
      </c>
      <c r="F303" s="1691">
        <f t="shared" si="23"/>
        <v>0</v>
      </c>
      <c r="G303" s="1691">
        <f t="shared" si="23"/>
        <v>790170</v>
      </c>
      <c r="H303" s="1691">
        <f t="shared" si="23"/>
        <v>0</v>
      </c>
      <c r="I303" s="1691">
        <f t="shared" si="23"/>
        <v>0</v>
      </c>
      <c r="J303" s="1691">
        <f t="shared" si="23"/>
        <v>0</v>
      </c>
      <c r="K303" s="1691">
        <f t="shared" si="23"/>
        <v>848457</v>
      </c>
      <c r="L303" s="1691">
        <f t="shared" si="23"/>
        <v>568286</v>
      </c>
    </row>
    <row r="304" spans="1:14" ht="15.75" customHeight="1" thickTop="1" x14ac:dyDescent="0.2">
      <c r="A304" s="1626" t="s">
        <v>147</v>
      </c>
      <c r="B304" s="1627"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2" t="s">
        <v>1959</v>
      </c>
      <c r="B306" s="691" t="s">
        <v>1954</v>
      </c>
      <c r="C306" s="617"/>
      <c r="D306" s="617"/>
      <c r="E306" s="467">
        <v>0</v>
      </c>
      <c r="F306" s="617"/>
      <c r="G306" s="617"/>
      <c r="H306" s="467">
        <v>0</v>
      </c>
      <c r="I306" s="617"/>
      <c r="J306" s="617"/>
      <c r="K306" s="1685">
        <f>SUM(E306,H306)</f>
        <v>0</v>
      </c>
      <c r="L306" s="467">
        <v>0</v>
      </c>
    </row>
    <row r="307" spans="1:14" x14ac:dyDescent="0.2">
      <c r="A307" s="1518" t="s">
        <v>322</v>
      </c>
      <c r="B307" s="615">
        <v>4120</v>
      </c>
      <c r="C307" s="617"/>
      <c r="D307" s="617"/>
      <c r="E307" s="467">
        <v>0</v>
      </c>
      <c r="F307" s="617"/>
      <c r="G307" s="617"/>
      <c r="H307" s="467">
        <v>0</v>
      </c>
      <c r="I307" s="477"/>
      <c r="J307" s="617"/>
      <c r="K307" s="1685">
        <f>SUM(E307,H307)</f>
        <v>0</v>
      </c>
      <c r="L307" s="466">
        <v>0</v>
      </c>
    </row>
    <row r="308" spans="1:14" x14ac:dyDescent="0.2">
      <c r="A308" s="1518" t="s">
        <v>721</v>
      </c>
      <c r="B308" s="615">
        <v>4140</v>
      </c>
      <c r="C308" s="617"/>
      <c r="D308" s="617"/>
      <c r="E308" s="467">
        <v>0</v>
      </c>
      <c r="F308" s="617"/>
      <c r="G308" s="617"/>
      <c r="H308" s="467">
        <v>0</v>
      </c>
      <c r="I308" s="477"/>
      <c r="J308" s="617"/>
      <c r="K308" s="1685">
        <f>SUM(E308,H308)</f>
        <v>0</v>
      </c>
      <c r="L308" s="466">
        <v>0</v>
      </c>
    </row>
    <row r="309" spans="1:14" ht="12.75" customHeight="1" x14ac:dyDescent="0.2">
      <c r="A309" s="1522" t="s">
        <v>722</v>
      </c>
      <c r="B309" s="629">
        <v>4190</v>
      </c>
      <c r="C309" s="617"/>
      <c r="D309" s="617"/>
      <c r="E309" s="467">
        <v>0</v>
      </c>
      <c r="F309" s="617"/>
      <c r="G309" s="617"/>
      <c r="H309" s="467">
        <v>0</v>
      </c>
      <c r="I309" s="477"/>
      <c r="J309" s="617"/>
      <c r="K309" s="1685">
        <f>SUM(E309,H309)</f>
        <v>0</v>
      </c>
      <c r="L309" s="466">
        <v>0</v>
      </c>
    </row>
    <row r="310" spans="1:14" ht="12.75" customHeight="1" thickBot="1" x14ac:dyDescent="0.25">
      <c r="A310" s="1682" t="s">
        <v>1567</v>
      </c>
      <c r="B310" s="1689" t="s">
        <v>915</v>
      </c>
      <c r="C310" s="617"/>
      <c r="D310" s="617"/>
      <c r="E310" s="1684">
        <f>SUM(E306:E309)</f>
        <v>0</v>
      </c>
      <c r="F310" s="617"/>
      <c r="G310" s="617"/>
      <c r="H310" s="1684">
        <f>SUM(H306:H309)</f>
        <v>0</v>
      </c>
      <c r="I310" s="477"/>
      <c r="J310" s="617"/>
      <c r="K310" s="1684">
        <f>SUM(K306:K309)</f>
        <v>0</v>
      </c>
      <c r="L310" s="1691">
        <f>SUM(L306:L309)</f>
        <v>0</v>
      </c>
    </row>
    <row r="311" spans="1:14" ht="15.75" customHeight="1" thickTop="1" thickBot="1" x14ac:dyDescent="0.25">
      <c r="A311" s="1633" t="s">
        <v>951</v>
      </c>
      <c r="B311" s="1625" t="s">
        <v>916</v>
      </c>
      <c r="C311" s="624"/>
      <c r="D311" s="624"/>
      <c r="E311" s="624"/>
      <c r="F311" s="624"/>
      <c r="G311" s="624"/>
      <c r="H311" s="624"/>
      <c r="I311" s="624"/>
      <c r="J311" s="617"/>
      <c r="K311" s="624"/>
      <c r="L311" s="576">
        <v>0</v>
      </c>
    </row>
    <row r="312" spans="1:14" s="675" customFormat="1" ht="12.75" customHeight="1" thickTop="1" thickBot="1" x14ac:dyDescent="0.25">
      <c r="A312" s="2204" t="s">
        <v>295</v>
      </c>
      <c r="B312" s="2205"/>
      <c r="C312" s="1684">
        <f>SUM(C303)</f>
        <v>0</v>
      </c>
      <c r="D312" s="1684">
        <f>SUM(D303)</f>
        <v>0</v>
      </c>
      <c r="E312" s="1684">
        <f>SUM(E303,E310)</f>
        <v>58287</v>
      </c>
      <c r="F312" s="1684">
        <f>SUM(F303)</f>
        <v>0</v>
      </c>
      <c r="G312" s="1684">
        <f>SUM(G303)</f>
        <v>790170</v>
      </c>
      <c r="H312" s="1684">
        <f>SUM(H303,H310)</f>
        <v>0</v>
      </c>
      <c r="I312" s="1684">
        <f>SUM(I303)</f>
        <v>0</v>
      </c>
      <c r="J312" s="1684">
        <f>SUM(J303)</f>
        <v>0</v>
      </c>
      <c r="K312" s="1684">
        <f>SUM(K303,K310,K311)</f>
        <v>848457</v>
      </c>
      <c r="L312" s="1684">
        <f>SUM(L303,L310,L311)</f>
        <v>568286</v>
      </c>
      <c r="M312" s="666"/>
      <c r="N312" s="666"/>
    </row>
    <row r="313" spans="1:14" ht="13.5" thickTop="1" x14ac:dyDescent="0.2">
      <c r="A313" s="2200" t="s">
        <v>1053</v>
      </c>
      <c r="B313" s="2201"/>
      <c r="C313" s="627"/>
      <c r="D313" s="627"/>
      <c r="E313" s="627"/>
      <c r="F313" s="627"/>
      <c r="G313" s="627"/>
      <c r="H313" s="627"/>
      <c r="I313" s="627"/>
      <c r="J313" s="627"/>
      <c r="K313" s="1699">
        <f>'Revenues 9-14'!H275-'Expenditures 15-22'!K312</f>
        <v>628174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3" t="s">
        <v>151</v>
      </c>
      <c r="B315" s="2214"/>
      <c r="C315" s="1570"/>
      <c r="D315" s="1571"/>
      <c r="E315" s="1571"/>
      <c r="F315" s="1571"/>
      <c r="G315" s="1571"/>
      <c r="H315" s="1571"/>
      <c r="I315" s="1571"/>
      <c r="J315" s="1571"/>
      <c r="K315" s="1571"/>
      <c r="L315" s="1572"/>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5" t="s">
        <v>954</v>
      </c>
      <c r="B317" s="2214"/>
      <c r="C317" s="1570"/>
      <c r="D317" s="1571"/>
      <c r="E317" s="1571"/>
      <c r="F317" s="1571"/>
      <c r="G317" s="1571"/>
      <c r="H317" s="1571"/>
      <c r="I317" s="1571"/>
      <c r="J317" s="1571"/>
      <c r="K317" s="1571"/>
      <c r="L317" s="1572"/>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3" t="s">
        <v>317</v>
      </c>
      <c r="B319" s="698" t="s">
        <v>299</v>
      </c>
      <c r="C319" s="467">
        <v>0</v>
      </c>
      <c r="D319" s="467">
        <v>0</v>
      </c>
      <c r="E319" s="467">
        <v>0</v>
      </c>
      <c r="F319" s="467">
        <v>0</v>
      </c>
      <c r="G319" s="467">
        <v>0</v>
      </c>
      <c r="H319" s="467">
        <v>0</v>
      </c>
      <c r="I319" s="467">
        <v>0</v>
      </c>
      <c r="J319" s="467">
        <v>0</v>
      </c>
      <c r="K319" s="1685">
        <f>SUM(C319:J319)</f>
        <v>0</v>
      </c>
      <c r="L319" s="467">
        <v>0</v>
      </c>
      <c r="M319" s="666"/>
      <c r="N319" s="666"/>
    </row>
    <row r="320" spans="1:14" s="675" customFormat="1" x14ac:dyDescent="0.2">
      <c r="A320" s="1537" t="s">
        <v>1905</v>
      </c>
      <c r="B320" s="699" t="s">
        <v>300</v>
      </c>
      <c r="C320" s="467">
        <v>0</v>
      </c>
      <c r="D320" s="467">
        <v>0</v>
      </c>
      <c r="E320" s="467">
        <v>0</v>
      </c>
      <c r="F320" s="467">
        <v>0</v>
      </c>
      <c r="G320" s="467">
        <v>0</v>
      </c>
      <c r="H320" s="467">
        <v>0</v>
      </c>
      <c r="I320" s="467">
        <v>0</v>
      </c>
      <c r="J320" s="467">
        <v>0</v>
      </c>
      <c r="K320" s="1685">
        <f t="shared" ref="K320:K327" si="24">SUM(C320:J320)</f>
        <v>0</v>
      </c>
      <c r="L320" s="467">
        <v>0</v>
      </c>
      <c r="M320" s="666"/>
      <c r="N320" s="666"/>
    </row>
    <row r="321" spans="1:14" s="675" customFormat="1" x14ac:dyDescent="0.2">
      <c r="A321" s="1533" t="s">
        <v>318</v>
      </c>
      <c r="B321" s="698" t="s">
        <v>301</v>
      </c>
      <c r="C321" s="467">
        <v>0</v>
      </c>
      <c r="D321" s="467">
        <v>0</v>
      </c>
      <c r="E321" s="467">
        <v>0</v>
      </c>
      <c r="F321" s="467">
        <v>0</v>
      </c>
      <c r="G321" s="467">
        <v>0</v>
      </c>
      <c r="H321" s="467">
        <v>0</v>
      </c>
      <c r="I321" s="467">
        <v>0</v>
      </c>
      <c r="J321" s="467">
        <v>0</v>
      </c>
      <c r="K321" s="1685">
        <f t="shared" si="24"/>
        <v>0</v>
      </c>
      <c r="L321" s="467">
        <v>0</v>
      </c>
      <c r="M321" s="666"/>
      <c r="N321" s="666"/>
    </row>
    <row r="322" spans="1:14" s="675" customFormat="1" x14ac:dyDescent="0.2">
      <c r="A322" s="1533" t="s">
        <v>256</v>
      </c>
      <c r="B322" s="698" t="s">
        <v>302</v>
      </c>
      <c r="C322" s="467">
        <v>0</v>
      </c>
      <c r="D322" s="467">
        <v>0</v>
      </c>
      <c r="E322" s="467">
        <v>0</v>
      </c>
      <c r="F322" s="467">
        <v>0</v>
      </c>
      <c r="G322" s="467">
        <v>0</v>
      </c>
      <c r="H322" s="467">
        <v>0</v>
      </c>
      <c r="I322" s="467">
        <v>0</v>
      </c>
      <c r="J322" s="467">
        <v>0</v>
      </c>
      <c r="K322" s="1685">
        <f t="shared" si="24"/>
        <v>0</v>
      </c>
      <c r="L322" s="467">
        <v>0</v>
      </c>
      <c r="M322" s="666"/>
      <c r="N322" s="666"/>
    </row>
    <row r="323" spans="1:14" s="675" customFormat="1" x14ac:dyDescent="0.2">
      <c r="A323" s="1533" t="s">
        <v>726</v>
      </c>
      <c r="B323" s="698" t="s">
        <v>303</v>
      </c>
      <c r="C323" s="467">
        <v>0</v>
      </c>
      <c r="D323" s="467">
        <v>0</v>
      </c>
      <c r="E323" s="467">
        <v>0</v>
      </c>
      <c r="F323" s="467">
        <v>0</v>
      </c>
      <c r="G323" s="467">
        <v>0</v>
      </c>
      <c r="H323" s="467">
        <v>0</v>
      </c>
      <c r="I323" s="467">
        <v>0</v>
      </c>
      <c r="J323" s="467">
        <v>0</v>
      </c>
      <c r="K323" s="1685">
        <f t="shared" si="24"/>
        <v>0</v>
      </c>
      <c r="L323" s="467">
        <v>0</v>
      </c>
      <c r="M323" s="666"/>
      <c r="N323" s="666"/>
    </row>
    <row r="324" spans="1:14" s="675" customFormat="1" x14ac:dyDescent="0.2">
      <c r="A324" s="1533" t="s">
        <v>257</v>
      </c>
      <c r="B324" s="698" t="s">
        <v>304</v>
      </c>
      <c r="C324" s="467">
        <v>0</v>
      </c>
      <c r="D324" s="467">
        <v>0</v>
      </c>
      <c r="E324" s="467">
        <v>0</v>
      </c>
      <c r="F324" s="467">
        <v>0</v>
      </c>
      <c r="G324" s="467">
        <v>0</v>
      </c>
      <c r="H324" s="467">
        <v>0</v>
      </c>
      <c r="I324" s="467">
        <v>0</v>
      </c>
      <c r="J324" s="467">
        <v>0</v>
      </c>
      <c r="K324" s="1685">
        <f t="shared" si="24"/>
        <v>0</v>
      </c>
      <c r="L324" s="467">
        <v>0</v>
      </c>
      <c r="M324" s="666"/>
      <c r="N324" s="666"/>
    </row>
    <row r="325" spans="1:14" s="675" customFormat="1" ht="22.5" x14ac:dyDescent="0.2">
      <c r="A325" s="1533" t="s">
        <v>1087</v>
      </c>
      <c r="B325" s="699" t="s">
        <v>305</v>
      </c>
      <c r="C325" s="467">
        <v>0</v>
      </c>
      <c r="D325" s="467">
        <v>0</v>
      </c>
      <c r="E325" s="467">
        <v>0</v>
      </c>
      <c r="F325" s="467">
        <v>0</v>
      </c>
      <c r="G325" s="467">
        <v>0</v>
      </c>
      <c r="H325" s="467">
        <v>0</v>
      </c>
      <c r="I325" s="467">
        <v>0</v>
      </c>
      <c r="J325" s="467">
        <v>0</v>
      </c>
      <c r="K325" s="1685">
        <f t="shared" si="24"/>
        <v>0</v>
      </c>
      <c r="L325" s="467">
        <v>0</v>
      </c>
      <c r="M325" s="666"/>
      <c r="N325" s="666"/>
    </row>
    <row r="326" spans="1:14" s="675" customFormat="1" x14ac:dyDescent="0.2">
      <c r="A326" s="1533" t="s">
        <v>1088</v>
      </c>
      <c r="B326" s="698" t="s">
        <v>306</v>
      </c>
      <c r="C326" s="467">
        <v>0</v>
      </c>
      <c r="D326" s="467">
        <v>0</v>
      </c>
      <c r="E326" s="467">
        <v>0</v>
      </c>
      <c r="F326" s="467">
        <v>0</v>
      </c>
      <c r="G326" s="467">
        <v>0</v>
      </c>
      <c r="H326" s="467">
        <v>0</v>
      </c>
      <c r="I326" s="467">
        <v>0</v>
      </c>
      <c r="J326" s="467">
        <v>0</v>
      </c>
      <c r="K326" s="1685">
        <f t="shared" si="24"/>
        <v>0</v>
      </c>
      <c r="L326" s="467">
        <v>0</v>
      </c>
      <c r="M326" s="666"/>
      <c r="N326" s="666"/>
    </row>
    <row r="327" spans="1:14" s="675" customFormat="1" x14ac:dyDescent="0.2">
      <c r="A327" s="1533" t="s">
        <v>1028</v>
      </c>
      <c r="B327" s="698" t="s">
        <v>307</v>
      </c>
      <c r="C327" s="467">
        <v>0</v>
      </c>
      <c r="D327" s="467">
        <v>0</v>
      </c>
      <c r="E327" s="467">
        <v>0</v>
      </c>
      <c r="F327" s="467">
        <v>0</v>
      </c>
      <c r="G327" s="467">
        <v>0</v>
      </c>
      <c r="H327" s="467">
        <v>0</v>
      </c>
      <c r="I327" s="467">
        <v>0</v>
      </c>
      <c r="J327" s="467">
        <v>0</v>
      </c>
      <c r="K327" s="1685">
        <f t="shared" si="24"/>
        <v>0</v>
      </c>
      <c r="L327" s="467">
        <v>0</v>
      </c>
      <c r="M327" s="666"/>
      <c r="N327" s="666"/>
    </row>
    <row r="328" spans="1:14" s="675" customFormat="1" x14ac:dyDescent="0.2">
      <c r="A328" s="1534" t="s">
        <v>492</v>
      </c>
      <c r="B328" s="691" t="s">
        <v>1194</v>
      </c>
      <c r="C328" s="474">
        <v>0</v>
      </c>
      <c r="D328" s="474">
        <v>0</v>
      </c>
      <c r="E328" s="474">
        <v>0</v>
      </c>
      <c r="F328" s="474">
        <v>0</v>
      </c>
      <c r="G328" s="474">
        <v>0</v>
      </c>
      <c r="H328" s="474">
        <v>0</v>
      </c>
      <c r="I328" s="474">
        <v>0</v>
      </c>
      <c r="J328" s="474">
        <v>0</v>
      </c>
      <c r="K328" s="1713">
        <f>SUM(C328:J328)</f>
        <v>0</v>
      </c>
      <c r="L328" s="474">
        <v>0</v>
      </c>
      <c r="M328" s="666"/>
      <c r="N328" s="666"/>
    </row>
    <row r="329" spans="1:14" s="675" customFormat="1" x14ac:dyDescent="0.2">
      <c r="A329" s="1534" t="s">
        <v>1195</v>
      </c>
      <c r="B329" s="691" t="s">
        <v>1196</v>
      </c>
      <c r="C329" s="474">
        <v>0</v>
      </c>
      <c r="D329" s="474">
        <v>0</v>
      </c>
      <c r="E329" s="474">
        <v>0</v>
      </c>
      <c r="F329" s="474">
        <v>0</v>
      </c>
      <c r="G329" s="474">
        <v>0</v>
      </c>
      <c r="H329" s="474">
        <v>0</v>
      </c>
      <c r="I329" s="474">
        <v>0</v>
      </c>
      <c r="J329" s="474">
        <v>0</v>
      </c>
      <c r="K329" s="1713">
        <f>SUM(C329:J329)</f>
        <v>0</v>
      </c>
      <c r="L329" s="474">
        <v>0</v>
      </c>
      <c r="M329" s="666"/>
      <c r="N329" s="666"/>
    </row>
    <row r="330" spans="1:14" s="675" customFormat="1" ht="12.75" customHeight="1" thickBot="1" x14ac:dyDescent="0.25">
      <c r="A330" s="1714" t="s">
        <v>741</v>
      </c>
      <c r="B330" s="1683" t="s">
        <v>590</v>
      </c>
      <c r="C330" s="1684">
        <f>SUM(C319:C329)</f>
        <v>0</v>
      </c>
      <c r="D330" s="1684">
        <f t="shared" ref="D330:J330" si="25">SUM(D319:D329)</f>
        <v>0</v>
      </c>
      <c r="E330" s="1684">
        <f t="shared" si="25"/>
        <v>0</v>
      </c>
      <c r="F330" s="1684">
        <f t="shared" si="25"/>
        <v>0</v>
      </c>
      <c r="G330" s="1684">
        <f t="shared" si="25"/>
        <v>0</v>
      </c>
      <c r="H330" s="1684">
        <f t="shared" si="25"/>
        <v>0</v>
      </c>
      <c r="I330" s="1684">
        <f t="shared" si="25"/>
        <v>0</v>
      </c>
      <c r="J330" s="1684">
        <f t="shared" si="25"/>
        <v>0</v>
      </c>
      <c r="K330" s="1684">
        <f>SUM(K319:K329)</f>
        <v>0</v>
      </c>
      <c r="L330" s="1684">
        <f>SUM(L319:L329)</f>
        <v>0</v>
      </c>
      <c r="M330" s="666"/>
      <c r="N330" s="666"/>
    </row>
    <row r="331" spans="1:14" s="675" customFormat="1" ht="12.75" customHeight="1" thickTop="1" x14ac:dyDescent="0.2">
      <c r="A331" s="1846" t="s">
        <v>1960</v>
      </c>
      <c r="B331" s="648" t="s">
        <v>915</v>
      </c>
      <c r="C331" s="1848"/>
      <c r="D331" s="1848"/>
      <c r="E331" s="1848"/>
      <c r="F331" s="1848"/>
      <c r="G331" s="1848"/>
      <c r="H331" s="1848"/>
      <c r="I331" s="1848"/>
      <c r="J331" s="1848"/>
      <c r="K331" s="1848"/>
      <c r="L331" s="1848"/>
      <c r="M331" s="666"/>
      <c r="N331" s="666"/>
    </row>
    <row r="332" spans="1:14" s="675" customFormat="1" ht="12.75" customHeight="1" x14ac:dyDescent="0.2">
      <c r="A332" s="1847" t="s">
        <v>517</v>
      </c>
      <c r="B332" s="1842" t="s">
        <v>1954</v>
      </c>
      <c r="C332" s="1848"/>
      <c r="D332" s="1848"/>
      <c r="E332" s="1848"/>
      <c r="F332" s="1848"/>
      <c r="G332" s="1848"/>
      <c r="H332" s="467">
        <v>0</v>
      </c>
      <c r="I332" s="1848"/>
      <c r="J332" s="1848"/>
      <c r="K332" s="1685">
        <f>H332</f>
        <v>0</v>
      </c>
      <c r="L332" s="467">
        <v>0</v>
      </c>
      <c r="M332" s="666"/>
      <c r="N332" s="666"/>
    </row>
    <row r="333" spans="1:14" s="675" customFormat="1" ht="12.75" customHeight="1" x14ac:dyDescent="0.2">
      <c r="A333" s="1847" t="s">
        <v>322</v>
      </c>
      <c r="B333" s="1842" t="s">
        <v>1956</v>
      </c>
      <c r="C333" s="1848"/>
      <c r="D333" s="1848"/>
      <c r="E333" s="1848"/>
      <c r="F333" s="1848"/>
      <c r="G333" s="1848"/>
      <c r="H333" s="467">
        <v>0</v>
      </c>
      <c r="I333" s="1848"/>
      <c r="J333" s="1848"/>
      <c r="K333" s="1685">
        <f>H333</f>
        <v>0</v>
      </c>
      <c r="L333" s="467">
        <v>0</v>
      </c>
      <c r="M333" s="666"/>
      <c r="N333" s="666"/>
    </row>
    <row r="334" spans="1:14" s="675" customFormat="1" ht="12.75" customHeight="1" thickBot="1" x14ac:dyDescent="0.25">
      <c r="A334" s="1847" t="s">
        <v>1961</v>
      </c>
      <c r="B334" s="1842" t="s">
        <v>915</v>
      </c>
      <c r="C334" s="1848"/>
      <c r="D334" s="1848"/>
      <c r="E334" s="1848"/>
      <c r="F334" s="1848"/>
      <c r="G334" s="1848"/>
      <c r="H334" s="1684">
        <f>SUM(H332:H333)</f>
        <v>0</v>
      </c>
      <c r="I334" s="1848"/>
      <c r="J334" s="1848"/>
      <c r="K334" s="1684">
        <f>SUM(K332:K333)</f>
        <v>0</v>
      </c>
      <c r="L334" s="1684">
        <f>SUM(L332:L333)</f>
        <v>0</v>
      </c>
      <c r="M334" s="666"/>
      <c r="N334" s="666"/>
    </row>
    <row r="335" spans="1:14" ht="15.75" customHeight="1" thickTop="1" x14ac:dyDescent="0.2">
      <c r="A335" s="1630" t="s">
        <v>955</v>
      </c>
      <c r="B335" s="1621"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2" t="s">
        <v>89</v>
      </c>
      <c r="B337" s="691" t="s">
        <v>956</v>
      </c>
      <c r="C337" s="639"/>
      <c r="D337" s="639"/>
      <c r="E337" s="639"/>
      <c r="F337" s="639"/>
      <c r="G337" s="639"/>
      <c r="H337" s="478">
        <v>0</v>
      </c>
      <c r="I337" s="639"/>
      <c r="J337" s="639"/>
      <c r="K337" s="1685">
        <f>H337</f>
        <v>0</v>
      </c>
      <c r="L337" s="478">
        <v>0</v>
      </c>
    </row>
    <row r="338" spans="1:14" ht="12.75" customHeight="1" x14ac:dyDescent="0.2">
      <c r="A338" s="1532" t="s">
        <v>1232</v>
      </c>
      <c r="B338" s="691" t="s">
        <v>638</v>
      </c>
      <c r="C338" s="639"/>
      <c r="D338" s="639"/>
      <c r="E338" s="639"/>
      <c r="F338" s="639"/>
      <c r="G338" s="639"/>
      <c r="H338" s="478">
        <v>0</v>
      </c>
      <c r="I338" s="639"/>
      <c r="J338" s="639"/>
      <c r="K338" s="1685">
        <f>H338</f>
        <v>0</v>
      </c>
      <c r="L338" s="478">
        <v>0</v>
      </c>
    </row>
    <row r="339" spans="1:14" x14ac:dyDescent="0.2">
      <c r="A339" s="1518" t="s">
        <v>957</v>
      </c>
      <c r="B339" s="629">
        <v>5150</v>
      </c>
      <c r="C339" s="639"/>
      <c r="D339" s="639"/>
      <c r="E339" s="639"/>
      <c r="F339" s="639"/>
      <c r="G339" s="639"/>
      <c r="H339" s="467">
        <v>0</v>
      </c>
      <c r="I339" s="639"/>
      <c r="J339" s="639"/>
      <c r="K339" s="1685">
        <f>H339</f>
        <v>0</v>
      </c>
      <c r="L339" s="467">
        <v>0</v>
      </c>
    </row>
    <row r="340" spans="1:14" ht="13.5" thickBot="1" x14ac:dyDescent="0.25">
      <c r="A340" s="1708" t="s">
        <v>958</v>
      </c>
      <c r="B340" s="1683" t="s">
        <v>513</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33" t="s">
        <v>959</v>
      </c>
      <c r="B341" s="1625" t="s">
        <v>916</v>
      </c>
      <c r="C341" s="617"/>
      <c r="D341" s="617"/>
      <c r="E341" s="477"/>
      <c r="F341" s="468"/>
      <c r="G341" s="468"/>
      <c r="H341" s="477"/>
      <c r="I341" s="477"/>
      <c r="J341" s="468"/>
      <c r="K341" s="477"/>
      <c r="L341" s="576">
        <v>0</v>
      </c>
    </row>
    <row r="342" spans="1:14" ht="12.75" customHeight="1" thickTop="1" thickBot="1" x14ac:dyDescent="0.25">
      <c r="A342" s="1700" t="s">
        <v>526</v>
      </c>
      <c r="B342" s="1715"/>
      <c r="C342" s="1684">
        <f>SUM(C330)</f>
        <v>0</v>
      </c>
      <c r="D342" s="1684">
        <f>SUM(D330)</f>
        <v>0</v>
      </c>
      <c r="E342" s="1684">
        <f>SUM(E330)</f>
        <v>0</v>
      </c>
      <c r="F342" s="1684">
        <f>SUM(F330)</f>
        <v>0</v>
      </c>
      <c r="G342" s="1684">
        <f>SUM(G330)</f>
        <v>0</v>
      </c>
      <c r="H342" s="1684">
        <f>SUM(H330,H334,H340)</f>
        <v>0</v>
      </c>
      <c r="I342" s="1684">
        <f>SUM(I330)</f>
        <v>0</v>
      </c>
      <c r="J342" s="1684">
        <f>SUM(J330)</f>
        <v>0</v>
      </c>
      <c r="K342" s="1684">
        <f>SUM(K330,K334,K340)</f>
        <v>0</v>
      </c>
      <c r="L342" s="1691">
        <f>SUM(L330,L340,L341)</f>
        <v>0</v>
      </c>
    </row>
    <row r="343" spans="1:14" ht="12.75" customHeight="1" thickTop="1" x14ac:dyDescent="0.2">
      <c r="A343" s="2202" t="s">
        <v>1053</v>
      </c>
      <c r="B343" s="2203"/>
      <c r="C343" s="617"/>
      <c r="D343" s="617"/>
      <c r="E343" s="617"/>
      <c r="F343" s="617"/>
      <c r="G343" s="617"/>
      <c r="H343" s="617"/>
      <c r="I343" s="617"/>
      <c r="J343" s="617"/>
      <c r="K343" s="169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2" t="s">
        <v>1023</v>
      </c>
      <c r="B345" s="2193"/>
      <c r="C345" s="1565"/>
      <c r="D345" s="1566"/>
      <c r="E345" s="1566"/>
      <c r="F345" s="1566"/>
      <c r="G345" s="1566"/>
      <c r="H345" s="1566"/>
      <c r="I345" s="1566"/>
      <c r="J345" s="1566"/>
      <c r="K345" s="1566"/>
      <c r="L345" s="1567"/>
      <c r="M345" s="668"/>
      <c r="N345" s="668"/>
    </row>
    <row r="346" spans="1:14" s="343" customFormat="1" ht="15.75" customHeight="1" x14ac:dyDescent="0.2">
      <c r="A346" s="1637" t="s">
        <v>899</v>
      </c>
      <c r="B346" s="1629"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8" t="s">
        <v>4</v>
      </c>
      <c r="B348" s="615">
        <v>2530</v>
      </c>
      <c r="C348" s="466">
        <v>0</v>
      </c>
      <c r="D348" s="466">
        <v>0</v>
      </c>
      <c r="E348" s="466">
        <v>0</v>
      </c>
      <c r="F348" s="466">
        <v>0</v>
      </c>
      <c r="G348" s="466">
        <v>0</v>
      </c>
      <c r="H348" s="466">
        <v>0</v>
      </c>
      <c r="I348" s="467">
        <v>0</v>
      </c>
      <c r="J348" s="467">
        <v>0</v>
      </c>
      <c r="K348" s="1685">
        <f>SUM(C348:J348)</f>
        <v>0</v>
      </c>
      <c r="L348" s="466">
        <v>0</v>
      </c>
    </row>
    <row r="349" spans="1:14" x14ac:dyDescent="0.2">
      <c r="A349" s="1518" t="s">
        <v>206</v>
      </c>
      <c r="B349" s="615">
        <v>2540</v>
      </c>
      <c r="C349" s="466">
        <v>0</v>
      </c>
      <c r="D349" s="466">
        <v>0</v>
      </c>
      <c r="E349" s="466">
        <v>0</v>
      </c>
      <c r="F349" s="466">
        <v>0</v>
      </c>
      <c r="G349" s="466">
        <v>0</v>
      </c>
      <c r="H349" s="466">
        <v>0</v>
      </c>
      <c r="I349" s="467">
        <v>0</v>
      </c>
      <c r="J349" s="467">
        <v>0</v>
      </c>
      <c r="K349" s="1685">
        <f>SUM(C349:J349)</f>
        <v>0</v>
      </c>
      <c r="L349" s="466">
        <v>0</v>
      </c>
    </row>
    <row r="350" spans="1:14" ht="12.75" customHeight="1" thickBot="1" x14ac:dyDescent="0.25">
      <c r="A350" s="1682" t="s">
        <v>743</v>
      </c>
      <c r="B350" s="1683" t="s">
        <v>35</v>
      </c>
      <c r="C350" s="1684">
        <f>SUM(C348:C349)</f>
        <v>0</v>
      </c>
      <c r="D350" s="1684">
        <f t="shared" ref="D350:L350" si="26">SUM(D348:D349)</f>
        <v>0</v>
      </c>
      <c r="E350" s="1684">
        <f t="shared" si="26"/>
        <v>0</v>
      </c>
      <c r="F350" s="1684">
        <f t="shared" si="26"/>
        <v>0</v>
      </c>
      <c r="G350" s="1684">
        <f t="shared" si="26"/>
        <v>0</v>
      </c>
      <c r="H350" s="1684">
        <f t="shared" si="26"/>
        <v>0</v>
      </c>
      <c r="I350" s="1684">
        <f t="shared" si="26"/>
        <v>0</v>
      </c>
      <c r="J350" s="1684">
        <f t="shared" si="26"/>
        <v>0</v>
      </c>
      <c r="K350" s="1684">
        <f t="shared" si="26"/>
        <v>0</v>
      </c>
      <c r="L350" s="1684">
        <f t="shared" si="26"/>
        <v>0</v>
      </c>
    </row>
    <row r="351" spans="1:14" ht="12.75" customHeight="1" thickTop="1" x14ac:dyDescent="0.2">
      <c r="A351" s="1524"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2" t="s">
        <v>645</v>
      </c>
      <c r="B352" s="1689" t="s">
        <v>590</v>
      </c>
      <c r="C352" s="1684">
        <f>SUM(C350:C351)</f>
        <v>0</v>
      </c>
      <c r="D352" s="1684">
        <f t="shared" ref="D352:L352" si="27">SUM(D350:D351)</f>
        <v>0</v>
      </c>
      <c r="E352" s="1684">
        <f t="shared" si="27"/>
        <v>0</v>
      </c>
      <c r="F352" s="1684">
        <f t="shared" si="27"/>
        <v>0</v>
      </c>
      <c r="G352" s="1684">
        <f t="shared" si="27"/>
        <v>0</v>
      </c>
      <c r="H352" s="1684">
        <f t="shared" si="27"/>
        <v>0</v>
      </c>
      <c r="I352" s="1684">
        <f t="shared" si="27"/>
        <v>0</v>
      </c>
      <c r="J352" s="1684">
        <f t="shared" si="27"/>
        <v>0</v>
      </c>
      <c r="K352" s="1684">
        <f t="shared" si="27"/>
        <v>0</v>
      </c>
      <c r="L352" s="1684">
        <f t="shared" si="27"/>
        <v>0</v>
      </c>
    </row>
    <row r="353" spans="1:14" s="343" customFormat="1" ht="15.75" customHeight="1" thickTop="1" x14ac:dyDescent="0.2">
      <c r="A353" s="1626" t="s">
        <v>646</v>
      </c>
      <c r="B353" s="1623" t="s">
        <v>915</v>
      </c>
      <c r="C353" s="617"/>
      <c r="D353" s="617"/>
      <c r="E353" s="617"/>
      <c r="F353" s="617"/>
      <c r="G353" s="617"/>
      <c r="H353" s="617"/>
      <c r="I353" s="617"/>
      <c r="J353" s="617"/>
      <c r="K353" s="617"/>
      <c r="L353" s="617"/>
      <c r="M353" s="610"/>
      <c r="N353" s="610"/>
    </row>
    <row r="354" spans="1:14" x14ac:dyDescent="0.2">
      <c r="A354" s="1849" t="s">
        <v>1962</v>
      </c>
      <c r="B354" s="684" t="s">
        <v>1954</v>
      </c>
      <c r="C354" s="617"/>
      <c r="D354" s="617"/>
      <c r="E354" s="617"/>
      <c r="F354" s="617"/>
      <c r="G354" s="617"/>
      <c r="H354" s="474">
        <v>0</v>
      </c>
      <c r="I354" s="702"/>
      <c r="J354" s="617"/>
      <c r="K354" s="1713">
        <f>H354</f>
        <v>0</v>
      </c>
      <c r="L354" s="471">
        <v>0</v>
      </c>
    </row>
    <row r="355" spans="1:14" ht="12.75" customHeight="1" x14ac:dyDescent="0.2">
      <c r="A355" s="1527" t="s">
        <v>1963</v>
      </c>
      <c r="B355" s="691" t="s">
        <v>1956</v>
      </c>
      <c r="C355" s="617"/>
      <c r="D355" s="617"/>
      <c r="E355" s="617"/>
      <c r="F355" s="617"/>
      <c r="G355" s="617"/>
      <c r="H355" s="467">
        <v>0</v>
      </c>
      <c r="I355" s="702"/>
      <c r="J355" s="617"/>
      <c r="K355" s="1757">
        <f>H355</f>
        <v>0</v>
      </c>
      <c r="L355" s="467">
        <v>0</v>
      </c>
    </row>
    <row r="356" spans="1:14" ht="12.75" customHeight="1" x14ac:dyDescent="0.2">
      <c r="A356" s="1849" t="s">
        <v>722</v>
      </c>
      <c r="B356" s="684" t="s">
        <v>579</v>
      </c>
      <c r="C356" s="617"/>
      <c r="D356" s="617"/>
      <c r="E356" s="617"/>
      <c r="F356" s="617"/>
      <c r="G356" s="617"/>
      <c r="H356" s="479">
        <v>0</v>
      </c>
      <c r="I356" s="702"/>
      <c r="J356" s="617"/>
      <c r="K356" s="1754">
        <f>H356</f>
        <v>0</v>
      </c>
      <c r="L356" s="479">
        <v>0</v>
      </c>
    </row>
    <row r="357" spans="1:14" ht="12.75" customHeight="1" thickBot="1" x14ac:dyDescent="0.25">
      <c r="A357" s="1682" t="s">
        <v>1567</v>
      </c>
      <c r="B357" s="1683" t="s">
        <v>915</v>
      </c>
      <c r="C357" s="617"/>
      <c r="D357" s="617"/>
      <c r="E357" s="617"/>
      <c r="F357" s="617"/>
      <c r="G357" s="617"/>
      <c r="H357" s="1702">
        <f>SUM(H354:H356)</f>
        <v>0</v>
      </c>
      <c r="I357" s="702"/>
      <c r="J357" s="617"/>
      <c r="K357" s="1702">
        <f>SUM(K354:K356)</f>
        <v>0</v>
      </c>
      <c r="L357" s="1702">
        <f>SUM(L354:L356)</f>
        <v>0</v>
      </c>
    </row>
    <row r="358" spans="1:14" s="343" customFormat="1" ht="15.75" customHeight="1" thickTop="1" x14ac:dyDescent="0.2">
      <c r="A358" s="1626" t="s">
        <v>1005</v>
      </c>
      <c r="B358" s="1623"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8" t="s">
        <v>89</v>
      </c>
      <c r="B360" s="615">
        <v>5110</v>
      </c>
      <c r="C360" s="617"/>
      <c r="D360" s="617"/>
      <c r="E360" s="617"/>
      <c r="F360" s="617"/>
      <c r="G360" s="617"/>
      <c r="H360" s="467">
        <v>0</v>
      </c>
      <c r="I360" s="617"/>
      <c r="J360" s="617"/>
      <c r="K360" s="1685">
        <f>SUM(C360:J360)</f>
        <v>0</v>
      </c>
      <c r="L360" s="466">
        <v>0</v>
      </c>
    </row>
    <row r="361" spans="1:14" ht="12.75" customHeight="1" x14ac:dyDescent="0.2">
      <c r="A361" s="1519" t="s">
        <v>640</v>
      </c>
      <c r="B361" s="603" t="s">
        <v>639</v>
      </c>
      <c r="C361" s="617"/>
      <c r="D361" s="617"/>
      <c r="E361" s="617"/>
      <c r="F361" s="617"/>
      <c r="G361" s="617"/>
      <c r="H361" s="467">
        <v>0</v>
      </c>
      <c r="I361" s="617"/>
      <c r="J361" s="617"/>
      <c r="K361" s="1685">
        <f>SUM(C361:J361)</f>
        <v>0</v>
      </c>
      <c r="L361" s="466">
        <v>0</v>
      </c>
    </row>
    <row r="362" spans="1:14" ht="12.75" customHeight="1" thickBot="1" x14ac:dyDescent="0.25">
      <c r="A362" s="1682" t="s">
        <v>647</v>
      </c>
      <c r="B362" s="1683" t="s">
        <v>742</v>
      </c>
      <c r="C362" s="617"/>
      <c r="D362" s="617"/>
      <c r="E362" s="617"/>
      <c r="F362" s="617"/>
      <c r="G362" s="617"/>
      <c r="H362" s="1717">
        <f>SUM(H360:H361)</f>
        <v>0</v>
      </c>
      <c r="I362" s="617"/>
      <c r="J362" s="617"/>
      <c r="K362" s="1717">
        <f>SUM(K360:K361)</f>
        <v>0</v>
      </c>
      <c r="L362" s="1717">
        <f>SUM(L360:L361)</f>
        <v>0</v>
      </c>
    </row>
    <row r="363" spans="1:14" s="675" customFormat="1" ht="15.75" customHeight="1" thickTop="1" x14ac:dyDescent="0.2">
      <c r="A363" s="661" t="s">
        <v>85</v>
      </c>
      <c r="B363" s="662" t="s">
        <v>38</v>
      </c>
      <c r="C363" s="639"/>
      <c r="D363" s="639"/>
      <c r="E363" s="639"/>
      <c r="F363" s="639"/>
      <c r="G363" s="639"/>
      <c r="H363" s="479">
        <v>0</v>
      </c>
      <c r="I363" s="639"/>
      <c r="J363" s="639"/>
      <c r="K363" s="1713">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5">
        <f>SUM(C364:J364)</f>
        <v>0</v>
      </c>
      <c r="L364" s="708">
        <v>0</v>
      </c>
    </row>
    <row r="365" spans="1:14" s="675" customFormat="1" ht="12.75" customHeight="1" thickBot="1" x14ac:dyDescent="0.25">
      <c r="A365" s="1535" t="s">
        <v>611</v>
      </c>
      <c r="B365" s="660" t="s">
        <v>513</v>
      </c>
      <c r="C365" s="639"/>
      <c r="D365" s="639"/>
      <c r="E365" s="639"/>
      <c r="F365" s="639"/>
      <c r="G365" s="639"/>
      <c r="H365" s="1717">
        <f>SUM(H362,H363,H364)</f>
        <v>0</v>
      </c>
      <c r="I365" s="639"/>
      <c r="J365" s="639"/>
      <c r="K365" s="1717">
        <f>SUM(K362,K363,K364)</f>
        <v>0</v>
      </c>
      <c r="L365" s="1717">
        <f>SUM(L362,L363,L364)</f>
        <v>0</v>
      </c>
      <c r="M365" s="666"/>
      <c r="N365" s="666"/>
    </row>
    <row r="366" spans="1:14" s="343" customFormat="1" ht="15.75" customHeight="1" thickTop="1" thickBot="1" x14ac:dyDescent="0.25">
      <c r="A366" s="1620" t="s">
        <v>1006</v>
      </c>
      <c r="B366" s="1627" t="s">
        <v>916</v>
      </c>
      <c r="C366" s="624"/>
      <c r="D366" s="624"/>
      <c r="E366" s="624"/>
      <c r="F366" s="624"/>
      <c r="G366" s="624"/>
      <c r="H366" s="624"/>
      <c r="I366" s="624"/>
      <c r="J366" s="617"/>
      <c r="K366" s="624"/>
      <c r="L366" s="573">
        <v>0</v>
      </c>
      <c r="M366" s="610"/>
      <c r="N366" s="610"/>
    </row>
    <row r="367" spans="1:14" ht="12.75" customHeight="1" thickTop="1" thickBot="1" x14ac:dyDescent="0.25">
      <c r="A367" s="1706" t="s">
        <v>526</v>
      </c>
      <c r="B367" s="1718"/>
      <c r="C367" s="1684">
        <f t="shared" ref="C367:L367" si="28">SUM(C352,C357,C365,C366)</f>
        <v>0</v>
      </c>
      <c r="D367" s="1684">
        <f t="shared" si="28"/>
        <v>0</v>
      </c>
      <c r="E367" s="1684">
        <f t="shared" si="28"/>
        <v>0</v>
      </c>
      <c r="F367" s="1684">
        <f t="shared" si="28"/>
        <v>0</v>
      </c>
      <c r="G367" s="1684">
        <f t="shared" si="28"/>
        <v>0</v>
      </c>
      <c r="H367" s="1684">
        <f t="shared" si="28"/>
        <v>0</v>
      </c>
      <c r="I367" s="1684">
        <f t="shared" si="28"/>
        <v>0</v>
      </c>
      <c r="J367" s="1684">
        <f t="shared" si="28"/>
        <v>0</v>
      </c>
      <c r="K367" s="1684">
        <f t="shared" si="28"/>
        <v>0</v>
      </c>
      <c r="L367" s="1684">
        <f t="shared" si="28"/>
        <v>0</v>
      </c>
    </row>
    <row r="368" spans="1:14" ht="13.5" thickTop="1" x14ac:dyDescent="0.2">
      <c r="A368" s="2216" t="s">
        <v>1053</v>
      </c>
      <c r="B368" s="2217"/>
      <c r="C368" s="655"/>
      <c r="D368" s="655"/>
      <c r="E368" s="627"/>
      <c r="F368" s="627"/>
      <c r="G368" s="627"/>
      <c r="H368" s="627"/>
      <c r="I368" s="627"/>
      <c r="J368" s="624"/>
      <c r="K368" s="1685">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d21dc803-237d-4c68-8692-8d731fd29118"/>
    <ds:schemaRef ds:uri="http://schemas.microsoft.com/sharepoint/v3"/>
    <ds:schemaRef ds:uri="http://schemas.microsoft.com/office/infopath/2007/PartnerControls"/>
    <ds:schemaRef ds:uri="http://schemas.openxmlformats.org/package/2006/metadata/core-properties"/>
    <ds:schemaRef ds:uri="http://purl.org/dc/dcmitype/"/>
    <ds:schemaRef ds:uri="6ce3111e-7420-4802-b50a-75d4e9a0b980"/>
    <ds:schemaRef ds:uri="4d435f69-8686-490b-bd6d-b153bf22ab50"/>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2018-10-11T20:15:47Z</cp:lastPrinted>
  <dcterms:created xsi:type="dcterms:W3CDTF">2003-10-29T19:06:34Z</dcterms:created>
  <dcterms:modified xsi:type="dcterms:W3CDTF">2018-10-12T17:24:21Z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