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1320" windowWidth="23040" windowHeight="84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SEFA'!$B$1:$M$62</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G40" i="174" l="1"/>
  <c r="G39" i="174"/>
  <c r="G38" i="174"/>
  <c r="C33" i="173"/>
  <c r="M19" i="3"/>
  <c r="M17" i="3"/>
  <c r="M16" i="3"/>
  <c r="N21" i="3"/>
  <c r="L38" i="179" l="1"/>
  <c r="L33" i="179"/>
  <c r="L32" i="179"/>
  <c r="L31" i="179"/>
  <c r="K34" i="179"/>
  <c r="J34" i="179"/>
  <c r="I34" i="179"/>
  <c r="H34" i="179"/>
  <c r="E34" i="179"/>
  <c r="G34" i="179"/>
  <c r="L34" i="179" s="1"/>
  <c r="F34" i="179"/>
  <c r="L28" i="179"/>
  <c r="K19" i="179"/>
  <c r="J19" i="179"/>
  <c r="I19" i="179"/>
  <c r="H19" i="179"/>
  <c r="G19" i="179"/>
  <c r="F19" i="179"/>
  <c r="E19" i="179"/>
  <c r="F40" i="179" l="1"/>
  <c r="E10" i="108" l="1"/>
  <c r="H22" i="29"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D7765" i="106" s="1"/>
  <c r="B7764" i="106"/>
  <c r="D7764" i="106" s="1"/>
  <c r="J85" i="28"/>
  <c r="B7758" i="106" s="1"/>
  <c r="D7758" i="106" s="1"/>
  <c r="J88" i="28"/>
  <c r="K6" i="29"/>
  <c r="B7763" i="106" s="1"/>
  <c r="B7762" i="106"/>
  <c r="K12" i="12"/>
  <c r="K23" i="12"/>
  <c r="K24" i="12" s="1"/>
  <c r="B7733" i="106" s="1"/>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B5304" i="106" s="1"/>
  <c r="D5304" i="106" s="1"/>
  <c r="C259" i="5"/>
  <c r="B6833" i="106" s="1"/>
  <c r="D6833" i="106" s="1"/>
  <c r="B7761" i="106"/>
  <c r="L127" i="29"/>
  <c r="L129" i="29" s="1"/>
  <c r="L139" i="29"/>
  <c r="L149" i="29"/>
  <c r="I7" i="145"/>
  <c r="I6" i="145"/>
  <c r="D78" i="36"/>
  <c r="K75" i="29"/>
  <c r="K130" i="29"/>
  <c r="F56" i="34" s="1"/>
  <c r="K185" i="29"/>
  <c r="B2836" i="106" s="1"/>
  <c r="D2836"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I33" i="8"/>
  <c r="J33" i="8" s="1"/>
  <c r="I34" i="8"/>
  <c r="J34" i="8" s="1"/>
  <c r="I35" i="8"/>
  <c r="J35" i="8" s="1"/>
  <c r="I36" i="8"/>
  <c r="J36" i="8" s="1"/>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E27" i="108"/>
  <c r="G27" i="108"/>
  <c r="G28"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D7" i="118"/>
  <c r="D8" i="118"/>
  <c r="D9" i="118"/>
  <c r="H14" i="118"/>
  <c r="H19" i="118"/>
  <c r="H24" i="118"/>
  <c r="H28" i="118"/>
  <c r="D22" i="37"/>
  <c r="J22" i="37"/>
  <c r="L22" i="37"/>
  <c r="D24" i="37"/>
  <c r="B4270" i="106" s="1"/>
  <c r="D4270" i="106" s="1"/>
  <c r="L5" i="11"/>
  <c r="B2056" i="106" s="1"/>
  <c r="D2056" i="106" s="1"/>
  <c r="G15" i="145" l="1"/>
  <c r="G26" i="108"/>
  <c r="J49" i="8"/>
  <c r="B4172" i="106" s="1"/>
  <c r="D4172" i="106" s="1"/>
  <c r="F21" i="8"/>
  <c r="B279" i="106"/>
  <c r="D279" i="106" s="1"/>
  <c r="M40" i="3"/>
  <c r="L13" i="11"/>
  <c r="B2060" i="106" s="1"/>
  <c r="D2060" i="106" s="1"/>
  <c r="K26" i="12"/>
  <c r="B7743" i="106" s="1"/>
  <c r="D7743" i="106" s="1"/>
  <c r="I24" i="12"/>
  <c r="D69" i="36"/>
  <c r="F19" i="7"/>
  <c r="B1807" i="106" s="1"/>
  <c r="D1807" i="106" s="1"/>
  <c r="F69" i="34"/>
  <c r="B6995" i="106"/>
  <c r="D6995" i="106" s="1"/>
  <c r="F27" i="108"/>
  <c r="B4211" i="106"/>
  <c r="D4211" i="106" s="1"/>
  <c r="H76" i="4"/>
  <c r="B3298" i="106" s="1"/>
  <c r="D3298" i="106" s="1"/>
  <c r="G14" i="4"/>
  <c r="B2609" i="106" s="1"/>
  <c r="D2609" i="106" s="1"/>
  <c r="B1274" i="106"/>
  <c r="D1274" i="106" s="1"/>
  <c r="F45" i="34"/>
  <c r="F36" i="34"/>
  <c r="D36" i="108"/>
  <c r="F44" i="34"/>
  <c r="D31" i="108"/>
  <c r="J352" i="29"/>
  <c r="J367" i="29" s="1"/>
  <c r="B7245" i="106" s="1"/>
  <c r="D7245" i="106" s="1"/>
  <c r="D11" i="7"/>
  <c r="B1768" i="106" s="1"/>
  <c r="D1768" i="106" s="1"/>
  <c r="D15" i="7"/>
  <c r="B1772" i="106" s="1"/>
  <c r="D1772" i="106" s="1"/>
  <c r="G29" i="108"/>
  <c r="B7076" i="106"/>
  <c r="D7076" i="106" s="1"/>
  <c r="G39" i="108"/>
  <c r="C14" i="4"/>
  <c r="B2558" i="106" s="1"/>
  <c r="D2558" i="106" s="1"/>
  <c r="F52" i="34"/>
  <c r="G38" i="108"/>
  <c r="K350" i="29"/>
  <c r="B3670" i="106" s="1"/>
  <c r="D3670" i="106" s="1"/>
  <c r="J274" i="5"/>
  <c r="B7054" i="106" s="1"/>
  <c r="D7054" i="106" s="1"/>
  <c r="D13" i="7"/>
  <c r="B3726" i="106" s="1"/>
  <c r="D3726" i="106" s="1"/>
  <c r="B7235" i="106"/>
  <c r="D7235" i="106" s="1"/>
  <c r="B3647" i="106"/>
  <c r="D3647" i="106" s="1"/>
  <c r="K184" i="29"/>
  <c r="F13" i="4" s="1"/>
  <c r="B2596" i="106" s="1"/>
  <c r="D2596" i="106" s="1"/>
  <c r="G210" i="29"/>
  <c r="B1365" i="106" s="1"/>
  <c r="D1365" i="106" s="1"/>
  <c r="L312" i="29"/>
  <c r="I342" i="29"/>
  <c r="B7222" i="106" s="1"/>
  <c r="D7222" i="106" s="1"/>
  <c r="J210" i="29"/>
  <c r="B7072" i="106" s="1"/>
  <c r="D7072" i="106" s="1"/>
  <c r="F50" i="34"/>
  <c r="F36" i="108"/>
  <c r="H342" i="29"/>
  <c r="B7221" i="106" s="1"/>
  <c r="D7221" i="106" s="1"/>
  <c r="I210" i="29"/>
  <c r="F34" i="34"/>
  <c r="E38" i="108"/>
  <c r="B4087" i="106"/>
  <c r="D4087" i="106" s="1"/>
  <c r="F67" i="34"/>
  <c r="F65" i="34"/>
  <c r="F42" i="34"/>
  <c r="E35" i="108"/>
  <c r="G30" i="108"/>
  <c r="F46" i="34"/>
  <c r="F38" i="34"/>
  <c r="G34" i="108"/>
  <c r="E30" i="108"/>
  <c r="J41" i="3"/>
  <c r="B6216" i="106" s="1"/>
  <c r="D6216" i="106" s="1"/>
  <c r="K41" i="3"/>
  <c r="B3568" i="106" s="1"/>
  <c r="D3568" i="106" s="1"/>
  <c r="F37" i="34"/>
  <c r="E29" i="108"/>
  <c r="F26" i="108"/>
  <c r="D14" i="4"/>
  <c r="B2570" i="106" s="1"/>
  <c r="D2570" i="106" s="1"/>
  <c r="F62" i="34"/>
  <c r="F49" i="34"/>
  <c r="F28" i="108"/>
  <c r="B3619" i="106"/>
  <c r="D3619" i="106" s="1"/>
  <c r="B2805" i="106"/>
  <c r="D2805" i="106" s="1"/>
  <c r="B2724" i="106"/>
  <c r="D2724" i="106" s="1"/>
  <c r="E174" i="29"/>
  <c r="B1309" i="106" s="1"/>
  <c r="D1309" i="106" s="1"/>
  <c r="F14" i="4"/>
  <c r="B2597" i="106" s="1"/>
  <c r="D2597" i="106" s="1"/>
  <c r="F71" i="34"/>
  <c r="F41" i="34"/>
  <c r="F35" i="34"/>
  <c r="G35" i="108"/>
  <c r="D37" i="108"/>
  <c r="F37" i="108"/>
  <c r="E28" i="108"/>
  <c r="D26" i="108"/>
  <c r="B7047" i="106"/>
  <c r="D7047" i="106" s="1"/>
  <c r="H112" i="29"/>
  <c r="B7018" i="106" s="1"/>
  <c r="D7018" i="106" s="1"/>
  <c r="B1329" i="106"/>
  <c r="D1329" i="106" s="1"/>
  <c r="F61" i="34"/>
  <c r="B1223" i="106"/>
  <c r="D1223" i="106" s="1"/>
  <c r="B1126" i="106"/>
  <c r="D1126" i="106" s="1"/>
  <c r="G5" i="4"/>
  <c r="B3409" i="106" s="1"/>
  <c r="D3409" i="106" s="1"/>
  <c r="F127" i="34"/>
  <c r="D7" i="7"/>
  <c r="B1763" i="106" s="1"/>
  <c r="D1763" i="106" s="1"/>
  <c r="B5425" i="106"/>
  <c r="D5425" i="106" s="1"/>
  <c r="J77" i="4"/>
  <c r="B6262" i="106" s="1"/>
  <c r="D6262" i="106" s="1"/>
  <c r="B3621" i="106"/>
  <c r="D3621" i="106" s="1"/>
  <c r="C367" i="29"/>
  <c r="B3622" i="106" s="1"/>
  <c r="D3622" i="106" s="1"/>
  <c r="B3649" i="106"/>
  <c r="D3649" i="106" s="1"/>
  <c r="G367" i="29"/>
  <c r="B3650" i="106" s="1"/>
  <c r="D3650" i="106" s="1"/>
  <c r="L367" i="29"/>
  <c r="C342" i="29"/>
  <c r="B7216" i="106" s="1"/>
  <c r="D7216" i="106" s="1"/>
  <c r="K285" i="29"/>
  <c r="B1410" i="106"/>
  <c r="D1410" i="106" s="1"/>
  <c r="L342" i="29"/>
  <c r="K352" i="29"/>
  <c r="K13" i="4" s="1"/>
  <c r="B3572" i="106" s="1"/>
  <c r="D3572" i="106" s="1"/>
  <c r="H365" i="29"/>
  <c r="B7242" i="106" s="1"/>
  <c r="D7242" i="106" s="1"/>
  <c r="B1746" i="106"/>
  <c r="D1746" i="106" s="1"/>
  <c r="F111" i="34"/>
  <c r="B4373" i="106"/>
  <c r="D4373" i="106" s="1"/>
  <c r="K173" i="5"/>
  <c r="K6" i="4" s="1"/>
  <c r="B3570" i="106" s="1"/>
  <c r="D3570" i="106" s="1"/>
  <c r="F128" i="34"/>
  <c r="F131" i="34"/>
  <c r="F136" i="34"/>
  <c r="C109" i="5"/>
  <c r="B5121" i="106" s="1"/>
  <c r="D5121" i="106" s="1"/>
  <c r="D12" i="7"/>
  <c r="B1769" i="106" s="1"/>
  <c r="D1769" i="106" s="1"/>
  <c r="D109" i="5"/>
  <c r="D4" i="7"/>
  <c r="B1760" i="106" s="1"/>
  <c r="D1760" i="106" s="1"/>
  <c r="D5" i="4"/>
  <c r="B3406" i="106" s="1"/>
  <c r="D3406" i="106" s="1"/>
  <c r="H109" i="5"/>
  <c r="B5096" i="106"/>
  <c r="D5096" i="106" s="1"/>
  <c r="F106" i="34"/>
  <c r="D5" i="7"/>
  <c r="B1761" i="106" s="1"/>
  <c r="D1761" i="106" s="1"/>
  <c r="D17" i="7"/>
  <c r="B4104" i="106" s="1"/>
  <c r="D4104" i="106" s="1"/>
  <c r="H173" i="5"/>
  <c r="F130" i="34"/>
  <c r="D9" i="7"/>
  <c r="B1767" i="106" s="1"/>
  <c r="D1767" i="106" s="1"/>
  <c r="G172" i="5"/>
  <c r="F172" i="5"/>
  <c r="B5644" i="106" s="1"/>
  <c r="D5644" i="106" s="1"/>
  <c r="B6289" i="106"/>
  <c r="D6289" i="106" s="1"/>
  <c r="I173" i="5"/>
  <c r="B4216" i="106" s="1"/>
  <c r="D4216" i="106" s="1"/>
  <c r="G109" i="5"/>
  <c r="K274" i="5"/>
  <c r="K7" i="4" s="1"/>
  <c r="B3718" i="106" s="1"/>
  <c r="D3718" i="106" s="1"/>
  <c r="C172" i="5"/>
  <c r="B7041" i="106"/>
  <c r="D7041" i="106" s="1"/>
  <c r="E109" i="5"/>
  <c r="E4" i="4" s="1"/>
  <c r="B2630" i="106" s="1"/>
  <c r="D2630" i="106" s="1"/>
  <c r="F77" i="4"/>
  <c r="B3255" i="106" s="1"/>
  <c r="D3255" i="106" s="1"/>
  <c r="K76" i="4"/>
  <c r="B3586" i="106" s="1"/>
  <c r="D3586" i="106" s="1"/>
  <c r="H29" i="118"/>
  <c r="K28" i="118" s="1"/>
  <c r="O27" i="118" s="1"/>
  <c r="O29" i="118" s="1"/>
  <c r="D11" i="37"/>
  <c r="D31" i="36"/>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2031" i="106"/>
  <c r="D2031" i="106" s="1"/>
  <c r="L16" i="11"/>
  <c r="B2061" i="106" s="1"/>
  <c r="D2061"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N22" i="3" l="1"/>
  <c r="B1879" i="106"/>
  <c r="D1879" i="106" s="1"/>
  <c r="H22" i="37"/>
  <c r="M41" i="3"/>
  <c r="B280" i="106"/>
  <c r="D280" i="106" s="1"/>
  <c r="I26" i="12"/>
  <c r="B7741" i="106" s="1"/>
  <c r="D7741" i="106" s="1"/>
  <c r="B1996" i="106"/>
  <c r="D1996" i="106" s="1"/>
  <c r="B1266" i="106"/>
  <c r="D1266" i="106" s="1"/>
  <c r="B3672" i="106"/>
  <c r="D3672" i="106" s="1"/>
  <c r="D51" i="36"/>
  <c r="B1381" i="106"/>
  <c r="D1381" i="106" s="1"/>
  <c r="D41" i="108"/>
  <c r="E43" i="108" s="1"/>
  <c r="J16" i="4"/>
  <c r="B6226" i="106" s="1"/>
  <c r="D6226" i="106" s="1"/>
  <c r="J7" i="4"/>
  <c r="B6222" i="106" s="1"/>
  <c r="D6222" i="106" s="1"/>
  <c r="B6022" i="106"/>
  <c r="D6022" i="106" s="1"/>
  <c r="B6014" i="106"/>
  <c r="D6014" i="106" s="1"/>
  <c r="B5914" i="106"/>
  <c r="D5914" i="106" s="1"/>
  <c r="C4" i="4"/>
  <c r="B2551" i="106" s="1"/>
  <c r="D2551" i="106" s="1"/>
  <c r="F173" i="5"/>
  <c r="B5653" i="106" s="1"/>
  <c r="D5653" i="106" s="1"/>
  <c r="B3628" i="106"/>
  <c r="D3628" i="106" s="1"/>
  <c r="F41" i="108"/>
  <c r="G43" i="108" s="1"/>
  <c r="B7071" i="106"/>
  <c r="D7071" i="106" s="1"/>
  <c r="F66" i="34"/>
  <c r="D52" i="36"/>
  <c r="D44" i="36"/>
  <c r="B1317" i="106"/>
  <c r="D1317" i="106" s="1"/>
  <c r="L114" i="29"/>
  <c r="F73" i="34"/>
  <c r="G15" i="4"/>
  <c r="B6032" i="106" s="1"/>
  <c r="D6032" i="106" s="1"/>
  <c r="B1328" i="106"/>
  <c r="D1328" i="106" s="1"/>
  <c r="K342" i="29"/>
  <c r="F13" i="34" s="1"/>
  <c r="H367" i="29"/>
  <c r="B3660" i="106" s="1"/>
  <c r="D3660" i="106" s="1"/>
  <c r="K365" i="29"/>
  <c r="K367" i="29" s="1"/>
  <c r="C114" i="29"/>
  <c r="B757" i="106" s="1"/>
  <c r="D757" i="106" s="1"/>
  <c r="B5527" i="106"/>
  <c r="D5527" i="106" s="1"/>
  <c r="D274" i="5"/>
  <c r="B5507" i="106" s="1"/>
  <c r="D5507" i="106" s="1"/>
  <c r="G173" i="5"/>
  <c r="B5770" i="106"/>
  <c r="D5770" i="106" s="1"/>
  <c r="B6025" i="106"/>
  <c r="D6025" i="106" s="1"/>
  <c r="H4" i="4"/>
  <c r="H275" i="5"/>
  <c r="B5915" i="106" s="1"/>
  <c r="D5915" i="106" s="1"/>
  <c r="I6" i="4"/>
  <c r="B5011" i="106" s="1"/>
  <c r="D5011" i="106" s="1"/>
  <c r="B5906" i="106"/>
  <c r="D5906" i="106" s="1"/>
  <c r="H6" i="4"/>
  <c r="B2656" i="106" s="1"/>
  <c r="D2656" i="106" s="1"/>
  <c r="B5356" i="106"/>
  <c r="D5356" i="106" s="1"/>
  <c r="D4" i="4"/>
  <c r="B2564" i="106" s="1"/>
  <c r="D2564" i="106" s="1"/>
  <c r="B6024" i="106"/>
  <c r="D6024" i="106" s="1"/>
  <c r="G4" i="4"/>
  <c r="B2603" i="106" s="1"/>
  <c r="D2603" i="106" s="1"/>
  <c r="K77" i="4"/>
  <c r="B3587" i="106" s="1"/>
  <c r="D3587" i="106" s="1"/>
  <c r="B5214" i="106"/>
  <c r="D5214" i="106" s="1"/>
  <c r="C173" i="5"/>
  <c r="F274" i="5"/>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83" i="106" l="1"/>
  <c r="D283" i="106" s="1"/>
  <c r="N23" i="3"/>
  <c r="B284" i="106" s="1"/>
  <c r="D284" i="106" s="1"/>
  <c r="B281" i="106"/>
  <c r="D281" i="106" s="1"/>
  <c r="D54" i="36"/>
  <c r="K16" i="4"/>
  <c r="D7" i="4"/>
  <c r="F275" i="5"/>
  <c r="B5720" i="106" s="1"/>
  <c r="D5720" i="106" s="1"/>
  <c r="F6" i="4"/>
  <c r="B2593" i="106" s="1"/>
  <c r="D2593" i="106" s="1"/>
  <c r="D275" i="5"/>
  <c r="B5508" i="106" s="1"/>
  <c r="D5508" i="106" s="1"/>
  <c r="E41" i="108"/>
  <c r="E44" i="108" s="1"/>
  <c r="E45" i="108" s="1"/>
  <c r="B7243" i="106"/>
  <c r="D7243" i="106" s="1"/>
  <c r="G41" i="108"/>
  <c r="G44" i="108" s="1"/>
  <c r="G45" i="108" s="1"/>
  <c r="B7224" i="106"/>
  <c r="D7224" i="106" s="1"/>
  <c r="J17" i="4"/>
  <c r="J19" i="4" s="1"/>
  <c r="B6229" i="106" s="1"/>
  <c r="D6229" i="106" s="1"/>
  <c r="B5719" i="106"/>
  <c r="D5719" i="106" s="1"/>
  <c r="B5778" i="106"/>
  <c r="D5778" i="106" s="1"/>
  <c r="G6" i="4"/>
  <c r="B2604" i="106" s="1"/>
  <c r="D2604" i="106" s="1"/>
  <c r="B2655" i="106"/>
  <c r="D2655" i="106" s="1"/>
  <c r="H8" i="4"/>
  <c r="B5223" i="106"/>
  <c r="D5223" i="106" s="1"/>
  <c r="C6" i="4"/>
  <c r="B2553" i="106" s="1"/>
  <c r="D2553" i="106" s="1"/>
  <c r="J8" i="4"/>
  <c r="J10" i="4" s="1"/>
  <c r="B6225" i="106" s="1"/>
  <c r="D6225" i="106" s="1"/>
  <c r="F7"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6" i="34" l="1"/>
  <c r="B6227" i="106"/>
  <c r="D6227" i="106" s="1"/>
  <c r="J20" i="4"/>
  <c r="B6230" i="106" s="1"/>
  <c r="D6230" i="106" s="1"/>
  <c r="B6223" i="106"/>
  <c r="D6223" i="106" s="1"/>
  <c r="H10" i="4"/>
  <c r="B4127" i="106" s="1"/>
  <c r="D4127" i="106" s="1"/>
  <c r="B2658" i="106"/>
  <c r="D2658" i="106" s="1"/>
  <c r="B2594" i="106"/>
  <c r="D2594" i="106" s="1"/>
  <c r="F8" i="4"/>
  <c r="D8" i="4"/>
  <c r="C8" i="14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68" i="106" l="1"/>
  <c r="D2568" i="106" s="1"/>
  <c r="J78" i="4"/>
  <c r="B6263" i="106" s="1"/>
  <c r="D6263" i="106" s="1"/>
  <c r="H13" i="118"/>
  <c r="D10" i="4"/>
  <c r="B4123" i="106" s="1"/>
  <c r="D4123" i="106" s="1"/>
  <c r="D20" i="4"/>
  <c r="B2574" i="106" s="1"/>
  <c r="D2574" i="106" s="1"/>
  <c r="F10" i="4"/>
  <c r="B4125" i="106" s="1"/>
  <c r="D4125" i="106" s="1"/>
  <c r="D8" i="146"/>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10" i="146" l="1"/>
  <c r="F179" i="34"/>
  <c r="F79" i="34"/>
  <c r="D78" i="4"/>
  <c r="D81" i="4" s="1"/>
  <c r="J81" i="4"/>
  <c r="J82" i="4" s="1"/>
  <c r="F8"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64" i="36"/>
  <c r="F10" i="146" l="1"/>
  <c r="B3239" i="106"/>
  <c r="D3239" i="106" s="1"/>
  <c r="B6266" i="106"/>
  <c r="D6266"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<sst xmlns="http://schemas.openxmlformats.org/spreadsheetml/2006/main" count="5241" uniqueCount="2194">
  <si>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</si>
  <si>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</si>
  <si>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</si>
  <si>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</si>
  <si>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</si>
  <si>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</si>
  <si>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</si>
  <si>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</si>
  <si>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</si>
  <si>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</si>
  <si>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</si>
  <si>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</si>
  <si>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</si>
  <si>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</si>
  <si>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</si>
  <si>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</si>
  <si>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</si>
  <si>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</si>
  <si>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</si>
  <si>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</si>
  <si>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</si>
  <si>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</si>
  <si>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</si>
  <si>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</si>
  <si>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</si>
  <si>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</si>
  <si>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</si>
  <si>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</si>
  <si>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</si>
  <si>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</si>
  <si>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</si>
  <si>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</si>
  <si>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</si>
  <si>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</si>
  <si>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</si>
  <si>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</si>
  <si>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</si>
  <si>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</si>
  <si>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</si>
  <si>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</si>
  <si>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</si>
  <si>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</si>
  <si>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</si>
  <si>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</si>
  <si>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</si>
  <si>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</si>
  <si>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</si>
  <si>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</si>
  <si>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</si>
  <si>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</si>
  <si>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</si>
  <si>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</si>
  <si>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</si>
  <si>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</si>
  <si>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</si>
  <si>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</si>
  <si>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</si>
  <si>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</si>
  <si>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</si>
  <si>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</si>
  <si>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</si>
  <si>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</si>
  <si>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</si>
  <si>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</si>
  <si>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</si>
  <si>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</si>
  <si>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</si>
  <si>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</si>
  <si>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</si>
  <si>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</si>
  <si>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</si>
  <si>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</si>
  <si>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</si>
  <si>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</si>
  <si>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</si>
  <si>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</si>
  <si>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</si>
  <si>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</si>
  <si>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</si>
  <si>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</si>
  <si>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</si>
  <si>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</si>
  <si>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</si>
  <si>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</si>
  <si>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</si>
  <si>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</si>
  <si>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</si>
  <si>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</si>
  <si>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</si>
  <si>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</si>
  <si>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</si>
  <si>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</si>
  <si>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</si>
  <si>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</si>
  <si>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</si>
  <si>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</si>
  <si>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</si>
  <si>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</si>
  <si>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</si>
  <si>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</si>
  <si>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</si>
  <si>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</si>
  <si>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</si>
  <si>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</si>
  <si>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</si>
  <si>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</si>
  <si>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</si>
  <si>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</si>
  <si>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</si>
  <si>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</si>
  <si>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</si>
  <si>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</si>
  <si>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</si>
  <si>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</si>
  <si>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</si>
  <si>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</si>
  <si>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</si>
  <si>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</si>
  <si>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</si>
  <si>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</si>
  <si>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</si>
  <si>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</si>
  <si>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</si>
  <si>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</si>
  <si>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</si>
  <si>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</si>
  <si>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</si>
  <si>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</si>
  <si>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</si>
  <si>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</si>
  <si>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</si>
  <si>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</si>
  <si>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</si>
  <si>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</si>
  <si>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</si>
  <si>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</si>
  <si>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</si>
  <si>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</si>
  <si>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</si>
  <si>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</si>
  <si>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</si>
  <si>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</si>
  <si>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</si>
  <si>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</si>
  <si>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</si>
  <si>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</si>
  <si>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</si>
  <si>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</si>
  <si>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</si>
  <si>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</si>
  <si>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</si>
  <si>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</si>
  <si>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</si>
  <si>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</si>
  <si>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</si>
  <si>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</si>
  <si>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</si>
  <si>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</si>
  <si>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</si>
  <si>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</si>
  <si>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</si>
  <si>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</si>
  <si>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</si>
  <si>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</si>
  <si>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</si>
  <si>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</si>
  <si>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</si>
  <si>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</si>
  <si>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</si>
  <si>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</si>
  <si>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</si>
  <si>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</si>
  <si>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</si>
  <si>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</si>
  <si>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</si>
  <si>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</si>
  <si>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</si>
  <si>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</si>
  <si>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</si>
  <si>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</si>
  <si>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</si>
  <si>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</si>
  <si>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</si>
  <si>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</si>
  <si>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</si>
  <si>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</si>
  <si>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</si>
  <si>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</si>
  <si>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</si>
  <si>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</si>
  <si>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</si>
  <si>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</si>
  <si>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</si>
  <si>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</si>
  <si>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</si>
  <si>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</si>
  <si>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</si>
  <si>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</si>
  <si>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</si>
  <si>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</si>
  <si>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</si>
  <si>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</si>
  <si>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</si>
  <si>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</si>
  <si>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</si>
  <si>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</si>
  <si>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</si>
  <si>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</si>
  <si>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</si>
  <si>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</si>
  <si>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</si>
  <si>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</si>
  <si>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</si>
  <si>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</si>
  <si>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</si>
  <si>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</si>
  <si>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</si>
  <si>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</si>
  <si>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</si>
  <si>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</si>
  <si>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</si>
  <si>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</si>
  <si>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</si>
  <si>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</si>
  <si>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</si>
  <si>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</si>
  <si>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</si>
  <si>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</si>
  <si>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</si>
  <si>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</si>
  <si>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</si>
  <si>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</si>
  <si>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</si>
  <si>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</si>
  <si>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</si>
  <si>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</si>
  <si>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</si>
  <si>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</si>
  <si>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</si>
  <si>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</si>
  <si>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</si>
  <si>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</si>
  <si>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</si>
  <si>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</si>
  <si>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</si>
  <si>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</si>
  <si>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</si>
  <si>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</si>
  <si>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</si>
  <si>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</si>
  <si>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</si>
  <si>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</si>
  <si>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</si>
  <si>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</si>
  <si>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</si>
  <si>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</si>
  <si>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</si>
  <si>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</si>
  <si>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</si>
  <si>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</si>
  <si>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</si>
  <si>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</si>
  <si>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</si>
  <si>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</si>
  <si>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</si>
  <si>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</si>
  <si>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</si>
  <si>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</si>
  <si>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</si>
  <si>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</si>
  <si>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</si>
  <si>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</si>
  <si>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</si>
  <si>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</si>
  <si>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</si>
  <si>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</si>
  <si>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</si>
  <si>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</si>
  <si>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</si>
  <si>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</si>
  <si>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</si>
  <si>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</si>
  <si>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</si>
  <si>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</si>
  <si>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</si>
  <si>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</si>
  <si>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</si>
  <si>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</si>
  <si>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</si>
  <si>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</si>
  <si>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</si>
  <si>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</si>
  <si>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</si>
  <si>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</si>
  <si>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</si>
  <si>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</si>
  <si>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</si>
  <si>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</si>
  <si>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</si>
  <si>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</si>
  <si>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</si>
  <si>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</si>
  <si>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</si>
  <si>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</si>
  <si>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</si>
  <si>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</si>
  <si>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</si>
  <si>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</si>
  <si>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</si>
  <si>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</si>
  <si>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</si>
  <si>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</si>
  <si>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</si>
  <si>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</si>
  <si>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</si>
  <si>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</si>
  <si>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</si>
  <si>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</si>
  <si>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</si>
  <si>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</si>
  <si>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</si>
  <si>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</si>
  <si>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</si>
  <si>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</si>
  <si>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</si>
  <si>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</si>
  <si>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</si>
  <si>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</si>
  <si>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</si>
  <si>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</si>
  <si>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</si>
  <si>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</si>
  <si>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</si>
  <si>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</si>
  <si>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</si>
  <si>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</si>
  <si>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</si>
  <si>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</si>
  <si>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</si>
  <si>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</si>
  <si>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</si>
  <si>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</si>
  <si>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</si>
  <si>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</si>
  <si>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</si>
  <si>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</si>
  <si>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</si>
  <si>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</si>
  <si>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</si>
  <si>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</si>
  <si>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</si>
  <si>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</si>
  <si>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</si>
  <si>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</si>
  <si>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</si>
  <si>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</si>
  <si>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</si>
  <si>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</si>
  <si>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</si>
  <si>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</si>
  <si>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</si>
  <si>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</si>
  <si>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</si>
  <si>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</si>
  <si>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</si>
  <si>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</si>
  <si>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</si>
  <si>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</si>
  <si>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</si>
  <si>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</si>
  <si>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</si>
  <si>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</si>
  <si>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</si>
  <si>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</si>
  <si>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</si>
  <si>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</si>
  <si>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</si>
  <si>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</si>
  <si>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</si>
  <si>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</si>
  <si>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</si>
  <si>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</si>
  <si>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</si>
  <si>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</si>
  <si>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</si>
  <si>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</si>
  <si>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</si>
  <si>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</si>
  <si>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</si>
  <si>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</si>
  <si>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</si>
  <si>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</si>
  <si>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</si>
  <si>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</si>
  <si>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</si>
  <si>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</si>
  <si>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</si>
  <si>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</si>
  <si>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</si>
  <si>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</si>
  <si>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</si>
  <si>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</si>
  <si>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</si>
  <si>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</si>
  <si>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</si>
  <si>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</si>
  <si>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</si>
  <si>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</si>
  <si>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</si>
  <si>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</si>
  <si>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</si>
  <si>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</si>
  <si>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</si>
  <si>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</si>
  <si>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</si>
  <si>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</si>
  <si>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</si>
  <si>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</si>
  <si>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</si>
  <si>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</si>
  <si>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</si>
  <si>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</si>
  <si>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</si>
  <si>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</si>
  <si>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</si>
  <si>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</si>
  <si>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</si>
  <si>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</si>
  <si>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</si>
  <si>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</si>
  <si>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</si>
  <si>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</si>
  <si>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</si>
  <si>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</si>
  <si>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</si>
  <si>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</si>
  <si>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</si>
  <si>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</si>
  <si>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</si>
  <si>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</si>
  <si>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</si>
  <si>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</si>
  <si>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</si>
  <si>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</si>
  <si>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</si>
  <si>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</si>
  <si>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</si>
  <si>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</si>
  <si>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</si>
  <si>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</si>
  <si>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</si>
  <si>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</si>
  <si>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</si>
  <si>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</si>
  <si>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</si>
  <si>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</si>
  <si>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</si>
  <si>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</si>
  <si>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</si>
  <si>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</si>
  <si>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</si>
  <si>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</si>
  <si>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</si>
  <si>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</si>
  <si>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</si>
  <si>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</si>
  <si>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</si>
  <si>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</si>
  <si>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</si>
  <si>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</si>
  <si>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</si>
  <si>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</si>
  <si>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</si>
  <si>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</si>
  <si>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</si>
  <si>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</si>
  <si>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</si>
  <si>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</si>
  <si>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</si>
  <si>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</si>
  <si>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</si>
  <si>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</si>
  <si>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</si>
  <si>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</si>
  <si>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</si>
  <si>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</si>
  <si>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</si>
  <si>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</si>
  <si>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</si>
  <si>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</si>
  <si>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</si>
  <si>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</si>
  <si>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</si>
  <si>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</si>
  <si>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</si>
  <si>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</si>
  <si>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</si>
  <si>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</si>
  <si>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</si>
  <si>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</si>
  <si>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</si>
  <si>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</si>
  <si>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</si>
  <si>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</si>
  <si>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</si>
  <si>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</si>
  <si>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</si>
  <si>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</si>
  <si>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</si>
  <si>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</si>
  <si>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</si>
  <si>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</si>
  <si>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</si>
  <si>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</si>
  <si>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</si>
  <si>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</si>
  <si>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</si>
  <si>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</si>
  <si>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</si>
  <si>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</si>
  <si>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</si>
  <si>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</si>
  <si>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</si>
  <si>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</si>
  <si>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</si>
  <si>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</si>
  <si>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</si>
  <si>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</si>
  <si>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</si>
  <si>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</si>
  <si>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</si>
  <si>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</si>
  <si>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</si>
  <si>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</si>
  <si>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</si>
  <si>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</si>
  <si>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</si>
  <si>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</si>
  <si>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</si>
  <si>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</si>
  <si>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</si>
  <si>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</si>
  <si>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</si>
  <si>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</si>
  <si>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</si>
  <si>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</si>
  <si>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</si>
  <si>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</si>
  <si>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</si>
  <si>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</si>
  <si>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</si>
  <si>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</si>
  <si>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</si>
  <si>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</si>
  <si>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</si>
  <si>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</si>
  <si>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</si>
  <si>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</si>
  <si>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</si>
  <si>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</si>
  <si>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</si>
  <si>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</si>
  <si>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</si>
  <si>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</si>
  <si>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</si>
  <si>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</si>
  <si>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</si>
  <si>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</si>
  <si>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</si>
  <si>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</si>
  <si>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</si>
  <si>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</si>
  <si>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</si>
  <si>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</si>
  <si>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</si>
  <si>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</si>
  <si>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</si>
  <si>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</si>
  <si>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</si>
  <si>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</si>
  <si>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</si>
  <si>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</si>
  <si>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</si>
  <si>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</si>
  <si>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</si>
  <si>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</si>
  <si>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</si>
  <si>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</si>
  <si>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</si>
  <si>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</si>
  <si>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</si>
  <si>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</si>
  <si>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</si>
  <si>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</si>
  <si>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</si>
  <si>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</si>
  <si>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</si>
  <si>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</si>
  <si>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</si>
  <si>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</si>
  <si>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</si>
  <si>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</si>
  <si>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</si>
  <si>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</si>
  <si>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</si>
  <si>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</si>
  <si>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</si>
  <si>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</si>
  <si>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</si>
  <si>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</si>
  <si>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</si>
  <si>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</si>
  <si>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</si>
  <si>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</si>
  <si>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</si>
  <si>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</si>
  <si>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</si>
  <si>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</si>
  <si>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</si>
  <si>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</si>
  <si>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</si>
  <si>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</si>
  <si>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</si>
  <si>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</si>
  <si>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</si>
  <si>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</si>
  <si>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</si>
  <si>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</si>
  <si>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</si>
  <si>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</si>
  <si>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</si>
  <si>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</si>
  <si>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</si>
  <si>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</si>
  <si>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</si>
  <si>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</si>
  <si>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</si>
  <si>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</si>
  <si>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</si>
  <si>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</si>
  <si>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</si>
  <si>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</si>
  <si>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</si>
  <si>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</si>
  <si>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</si>
  <si>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</si>
  <si>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</si>
  <si>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</si>
  <si>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</si>
  <si>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</si>
  <si>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</si>
  <si>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</si>
  <si>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</si>
  <si>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</si>
  <si>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</si>
  <si>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</si>
  <si>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</si>
  <si>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</si>
  <si>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</si>
  <si>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</si>
  <si>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</si>
  <si>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</si>
  <si>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</si>
  <si>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</si>
  <si>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</si>
  <si>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</si>
  <si>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</si>
  <si>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</si>
  <si>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</si>
  <si>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</si>
  <si>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</si>
  <si>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</si>
  <si>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</si>
  <si>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</si>
  <si>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</si>
  <si>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</si>
  <si>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</si>
  <si>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</si>
  <si>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</si>
  <si>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</si>
  <si>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</si>
  <si>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</si>
  <si>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</si>
  <si>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</si>
  <si>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</si>
  <si>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</si>
  <si>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</si>
  <si>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</si>
  <si>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</si>
  <si>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</si>
  <si>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</si>
  <si>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</si>
  <si>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</si>
  <si>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</si>
  <si>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</si>
  <si>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</si>
  <si>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</si>
  <si>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</si>
  <si>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</si>
  <si>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</si>
  <si>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</si>
  <si>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</si>
  <si>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</si>
  <si>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</si>
  <si>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</si>
  <si>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</si>
  <si>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</si>
  <si>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</si>
  <si>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</si>
  <si>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</si>
  <si>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</si>
  <si>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</si>
  <si>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</si>
  <si>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</si>
  <si>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</si>
  <si>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</si>
  <si>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</si>
  <si>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</si>
  <si>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</si>
  <si>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</si>
  <si>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</si>
  <si>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</si>
  <si>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</si>
  <si>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</si>
  <si>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</si>
  <si>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</si>
  <si>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</si>
  <si>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</si>
  <si>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</si>
  <si>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</si>
  <si>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</si>
  <si>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</si>
  <si>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</si>
  <si>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</si>
  <si>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</si>
  <si>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</si>
  <si>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</si>
  <si>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</si>
  <si>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</si>
  <si>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</si>
  <si>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</si>
  <si>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</si>
  <si>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</si>
  <si>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</si>
  <si>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</si>
  <si>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</si>
  <si>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</si>
  <si>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</si>
  <si>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</si>
  <si>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</si>
  <si>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</si>
  <si>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</si>
  <si>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</si>
  <si>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</si>
  <si>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</si>
  <si>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</si>
  <si>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</si>
  <si>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</si>
  <si>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</si>
  <si>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</si>
  <si>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</si>
  <si>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</si>
  <si>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</si>
  <si>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</si>
  <si>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</si>
  <si>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</si>
  <si>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</si>
  <si>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</si>
  <si>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</si>
  <si>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</si>
  <si>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</si>
  <si>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</si>
  <si>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</si>
  <si>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</si>
  <si>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</si>
  <si>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</si>
  <si>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</si>
  <si>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</si>
  <si>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</si>
  <si>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</si>
  <si>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</si>
  <si>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</si>
  <si>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</si>
  <si>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</si>
  <si>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</si>
  <si>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</si>
  <si>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</si>
  <si>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</si>
  <si>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</si>
  <si>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</si>
  <si>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</si>
  <si>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</si>
  <si>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</si>
  <si>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</si>
  <si>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</si>
  <si>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</si>
  <si>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</si>
  <si>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</si>
  <si>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</si>
  <si>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</si>
  <si>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</si>
  <si>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</si>
  <si>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</si>
  <si>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</si>
  <si>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</si>
  <si>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</si>
  <si>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</si>
  <si>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</si>
  <si>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</si>
  <si>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</si>
  <si>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</si>
  <si>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</si>
  <si>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</si>
  <si>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</si>
  <si>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</si>
  <si>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</si>
  <si>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</si>
  <si>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</si>
  <si>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</si>
  <si>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</si>
  <si>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</si>
  <si>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</si>
  <si>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</si>
  <si>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</si>
  <si>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</si>
  <si>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</si>
  <si>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</si>
  <si>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</si>
  <si>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</si>
  <si>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</si>
  <si>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</si>
  <si>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</si>
  <si>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</si>
  <si>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</si>
  <si>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</si>
  <si>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</si>
  <si>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</si>
  <si>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</si>
  <si>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</si>
  <si>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</si>
  <si>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</si>
  <si>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</si>
  <si>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</si>
  <si>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</si>
  <si>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</si>
  <si>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</si>
  <si>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</si>
  <si>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</si>
  <si>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</si>
  <si>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</si>
  <si>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</si>
  <si>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</si>
  <si>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</si>
  <si>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</si>
  <si>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</si>
  <si>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</si>
  <si>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</si>
  <si>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</si>
  <si>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</si>
  <si>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</si>
  <si>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</si>
  <si>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</si>
  <si>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</si>
  <si>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</si>
  <si>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</si>
  <si>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</si>
  <si>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</si>
  <si>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</si>
  <si>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</si>
  <si>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</si>
  <si>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</si>
  <si>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</si>
  <si>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</si>
  <si>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</si>
  <si>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</si>
  <si>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</si>
  <si>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</si>
  <si>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</si>
  <si>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</si>
  <si>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</si>
  <si>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</si>
  <si>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</si>
  <si>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</si>
  <si>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</si>
  <si>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</si>
  <si>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</si>
  <si>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</si>
  <si>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</si>
  <si>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</si>
  <si>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</si>
  <si>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</si>
  <si>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</si>
  <si>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</si>
  <si>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</si>
  <si>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</si>
  <si>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</si>
  <si>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</si>
  <si>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</si>
  <si>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</si>
  <si>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</si>
  <si>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</si>
  <si>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</si>
  <si>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</si>
  <si>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</si>
  <si>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</si>
  <si>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</si>
  <si>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</si>
  <si>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</si>
  <si>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</si>
  <si>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</si>
  <si>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</si>
  <si>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</si>
  <si>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</si>
  <si>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</si>
  <si>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</si>
  <si>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</si>
  <si>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</si>
  <si>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</si>
  <si>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</si>
  <si>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</si>
  <si>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</si>
  <si>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</si>
  <si>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</si>
  <si>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</si>
  <si>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</si>
  <si>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</si>
  <si>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</si>
  <si>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</si>
  <si>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</si>
  <si>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</si>
  <si>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</si>
  <si>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</si>
  <si>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</si>
  <si>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</si>
  <si>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</si>
  <si>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</si>
  <si>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</si>
  <si>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</si>
  <si>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</si>
  <si>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</si>
  <si>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</si>
  <si>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</si>
  <si>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</si>
  <si>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</si>
  <si>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</si>
  <si>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</si>
  <si>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</si>
  <si>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</si>
  <si>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</si>
  <si>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</si>
  <si>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</si>
  <si>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</si>
  <si>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</si>
  <si>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</si>
  <si>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</si>
  <si>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</si>
  <si>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</si>
  <si>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</si>
  <si>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</si>
  <si>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</si>
  <si>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</si>
  <si>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</si>
  <si>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</si>
  <si>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</si>
  <si>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</si>
  <si>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</si>
  <si>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</si>
  <si>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</si>
  <si>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</si>
  <si>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</si>
  <si>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</si>
  <si>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</si>
  <si>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</si>
  <si>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</si>
  <si>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</si>
  <si>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</si>
  <si>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</si>
  <si>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</si>
  <si>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</si>
  <si>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</si>
  <si>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</si>
  <si>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</si>
  <si>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</si>
  <si>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</si>
  <si>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</si>
  <si>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</si>
  <si>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</si>
  <si>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</si>
  <si>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</si>
  <si>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</si>
  <si>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</si>
  <si>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</si>
  <si>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</si>
  <si>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</si>
  <si>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</si>
  <si>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</si>
  <si>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</si>
  <si>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</si>
  <si>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</si>
  <si>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</si>
  <si>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</si>
  <si>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</si>
  <si>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</si>
  <si>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</si>
  <si>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</si>
  <si>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</si>
  <si>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</si>
  <si>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</si>
  <si>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</si>
  <si>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</si>
  <si>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</si>
  <si>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</si>
  <si>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</si>
  <si>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</si>
  <si>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</si>
  <si>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</si>
  <si>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</si>
  <si>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</si>
  <si>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</si>
  <si>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</si>
  <si>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</si>
  <si>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</si>
  <si>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</si>
  <si>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</si>
  <si>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</si>
  <si>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</si>
  <si>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</si>
  <si>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</si>
  <si>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</si>
  <si>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</si>
  <si>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</si>
  <si>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</si>
  <si>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</si>
  <si>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</si>
  <si>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</si>
  <si>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</si>
  <si>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</si>
  <si>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</si>
  <si>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</si>
  <si>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</si>
  <si>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</si>
  <si>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</si>
  <si>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</si>
  <si>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</si>
  <si>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</si>
  <si>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</si>
  <si>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</si>
  <si>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</si>
  <si>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</si>
  <si>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</si>
  <si>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</si>
  <si>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</si>
  <si>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</si>
  <si>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</si>
  <si>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</si>
  <si>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</si>
  <si>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</si>
  <si>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</si>
  <si>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</si>
  <si>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</si>
  <si>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</si>
  <si>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</si>
  <si>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</si>
  <si>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</si>
  <si>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</si>
  <si>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</si>
  <si>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</si>
  <si>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</si>
  <si>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</si>
  <si>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</si>
  <si>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</si>
  <si>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</si>
  <si>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</si>
  <si>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</si>
  <si>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</si>
  <si>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</si>
  <si>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</si>
  <si>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</si>
  <si>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</si>
  <si>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</si>
  <si>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</si>
  <si>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</si>
  <si>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</si>
  <si>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</si>
  <si>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</si>
  <si>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</si>
  <si>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</si>
  <si>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</si>
  <si>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</si>
  <si>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</si>
  <si>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</si>
  <si>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</si>
  <si>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</si>
  <si>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</si>
  <si>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</si>
  <si>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</si>
  <si>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</si>
  <si>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</si>
  <si>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</si>
  <si>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</si>
  <si>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</si>
  <si>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</si>
  <si>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</si>
  <si>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</si>
  <si>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</si>
  <si>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</si>
  <si>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</si>
  <si>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</si>
  <si>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</si>
  <si>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</si>
  <si>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</si>
  <si>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</si>
  <si>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</si>
  <si>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</si>
  <si>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</si>
  <si>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</si>
  <si>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</si>
  <si>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</si>
  <si>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</si>
  <si>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</si>
  <si>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</si>
  <si>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</si>
  <si>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</si>
  <si>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</si>
  <si>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</si>
  <si>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</si>
  <si>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</si>
  <si>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</si>
  <si>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</si>
  <si>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</si>
  <si>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</si>
  <si>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</si>
  <si>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</si>
  <si>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</si>
  <si>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</si>
  <si>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</si>
  <si>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</si>
  <si>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</si>
  <si>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</si>
  <si>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</si>
  <si>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</si>
  <si>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</si>
  <si>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</si>
  <si>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</si>
  <si>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</si>
  <si>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</si>
  <si>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</si>
  <si>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</si>
  <si>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</si>
  <si>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</si>
  <si>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</si>
  <si>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</si>
  <si>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</si>
  <si>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</si>
  <si>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</si>
  <si>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</si>
  <si>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</si>
  <si>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</si>
  <si>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</si>
  <si>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</si>
  <si>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</si>
  <si>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</si>
  <si>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</si>
  <si>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</si>
  <si>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</si>
  <si>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</si>
  <si>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</si>
  <si>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</si>
  <si>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</si>
  <si>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</si>
  <si>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</si>
  <si>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</si>
  <si>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</si>
  <si>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</si>
  <si>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</si>
  <si>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</si>
  <si>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</si>
  <si>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</si>
  <si>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</si>
  <si>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</si>
  <si>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</si>
  <si>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</si>
  <si>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</si>
  <si>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</si>
  <si>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</si>
  <si>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</si>
  <si>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</si>
  <si>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</si>
  <si>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</si>
  <si>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</si>
  <si>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</si>
  <si>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</si>
  <si>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</si>
  <si>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</si>
  <si>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</si>
  <si>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</si>
  <si>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</si>
  <si>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</si>
  <si>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</si>
  <si>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</si>
  <si>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</si>
  <si>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</si>
  <si>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</si>
  <si>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</si>
  <si>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</si>
  <si>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</si>
  <si>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</si>
  <si>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</si>
  <si>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</si>
  <si>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</si>
  <si>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</si>
  <si>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</si>
  <si>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</si>
  <si>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</si>
  <si>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</si>
  <si>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</si>
  <si>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</si>
  <si>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</si>
  <si>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</si>
  <si>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</si>
  <si>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</si>
  <si>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</si>
  <si>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</si>
  <si>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</si>
  <si>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</si>
  <si>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</si>
  <si>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</si>
  <si>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</si>
  <si>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</si>
  <si>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</si>
  <si>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</si>
  <si>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</si>
  <si>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</si>
  <si>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</si>
  <si>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</si>
  <si>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</si>
  <si>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</si>
  <si>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</si>
  <si>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</si>
  <si>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</si>
  <si>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</si>
  <si>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</si>
  <si>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</si>
  <si>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</si>
  <si>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</si>
  <si>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</si>
  <si>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</si>
  <si>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</si>
  <si>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</si>
  <si>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</si>
  <si>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</si>
  <si>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</si>
  <si>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</si>
  <si>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</si>
  <si>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</si>
  <si>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</si>
  <si>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</si>
  <si>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</si>
  <si>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</si>
  <si>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</si>
  <si>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</si>
  <si>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</si>
  <si>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</si>
  <si>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</si>
  <si>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</si>
  <si>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</si>
  <si>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</si>
  <si>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</si>
  <si>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</si>
  <si>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</si>
  <si>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</si>
  <si>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</si>
  <si>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</si>
  <si>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</si>
  <si>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</si>
  <si>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</si>
  <si>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</si>
  <si>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</si>
  <si>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</si>
  <si>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</si>
  <si>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</si>
  <si>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</si>
  <si>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</si>
  <si>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</si>
  <si>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</si>
  <si>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</si>
  <si>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</si>
  <si>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</si>
  <si>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</si>
  <si>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</si>
  <si>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</si>
  <si>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</si>
  <si>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</si>
  <si>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</si>
  <si>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</si>
  <si>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</si>
  <si>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</si>
  <si>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</si>
  <si>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</si>
  <si>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</si>
  <si>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</si>
  <si>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</si>
  <si>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</si>
  <si>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</si>
  <si>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</si>
  <si>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</si>
  <si>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</si>
  <si>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</si>
  <si>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</si>
  <si>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</si>
  <si>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</si>
  <si>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</si>
  <si>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</si>
  <si>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</si>
  <si>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</si>
  <si>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</si>
  <si>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</si>
  <si>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</si>
  <si>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</si>
  <si>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</si>
  <si>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</si>
  <si>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</si>
  <si>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</si>
  <si>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</si>
  <si>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</si>
  <si>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</si>
  <si>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</si>
  <si>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</si>
  <si>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</si>
  <si>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</si>
  <si>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</si>
  <si>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</si>
  <si>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</si>
  <si>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</si>
  <si>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</si>
  <si>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</si>
  <si>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</si>
  <si>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</si>
  <si>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</si>
  <si>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</si>
  <si>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</si>
  <si>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</si>
  <si>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</si>
  <si>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</si>
  <si>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</si>
  <si>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</si>
  <si>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</si>
  <si>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</si>
  <si>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</si>
  <si>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</si>
  <si>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</si>
  <si>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</si>
  <si>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</si>
  <si>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</si>
  <si>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</si>
  <si>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</si>
  <si>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</si>
  <si>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</si>
  <si>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</si>
  <si>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</si>
  <si>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</si>
  <si>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</si>
  <si>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</si>
  <si>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</si>
  <si>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</si>
  <si>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</si>
  <si>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</si>
  <si>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</si>
  <si>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</si>
  <si>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</si>
  <si>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</si>
  <si>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</si>
  <si>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</si>
  <si>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</si>
  <si>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</si>
  <si>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</si>
  <si>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</si>
  <si>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</si>
  <si>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</si>
  <si>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</si>
  <si>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</si>
  <si>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</si>
  <si>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</si>
  <si>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</si>
  <si>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</si>
  <si>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</si>
  <si>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</si>
  <si>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</si>
  <si>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</si>
  <si>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</si>
  <si>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</si>
  <si>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</si>
  <si>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</si>
  <si>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</si>
  <si>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</si>
  <si>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</si>
  <si>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</si>
  <si>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</si>
  <si>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</si>
  <si>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</si>
  <si>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</si>
  <si>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</si>
  <si>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</si>
  <si>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</si>
  <si>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</si>
  <si>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</si>
  <si>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</si>
  <si>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</si>
  <si>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</si>
  <si>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</si>
  <si>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</si>
  <si>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</si>
  <si>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</si>
  <si>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</si>
  <si>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</si>
  <si>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</si>
  <si>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</si>
  <si>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</si>
  <si>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</si>
  <si>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</si>
  <si>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</si>
  <si>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</si>
  <si>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</si>
  <si>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</si>
  <si>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</si>
  <si>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</si>
  <si>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</si>
  <si>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</si>
  <si>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</si>
  <si>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</si>
  <si>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</si>
  <si>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</si>
  <si>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</si>
  <si>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</si>
  <si>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</si>
  <si>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</si>
  <si>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</si>
  <si>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</si>
  <si>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</si>
  <si>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</si>
  <si>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</si>
  <si>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</si>
  <si>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</si>
  <si>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</si>
  <si>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</si>
  <si>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</si>
  <si>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</si>
  <si>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</si>
  <si>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</si>
  <si>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</si>
  <si>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</si>
  <si>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</si>
  <si>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</si>
  <si>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</si>
  <si>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</si>
  <si>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</si>
  <si>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</si>
  <si>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</si>
  <si>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</si>
  <si>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</si>
  <si>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</si>
  <si>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</si>
  <si>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</si>
  <si>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</si>
  <si>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</si>
  <si>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</si>
  <si>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</si>
  <si>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</si>
  <si>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</si>
  <si>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</si>
  <si>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</si>
  <si>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</si>
  <si>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</si>
  <si>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</si>
  <si>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</si>
  <si>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</si>
  <si>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</si>
  <si>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</si>
  <si>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</si>
  <si>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</si>
  <si>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</si>
  <si>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</si>
  <si>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</si>
  <si>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</si>
  <si>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</si>
  <si>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</si>
  <si>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</si>
  <si>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</si>
  <si>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</si>
  <si>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</si>
  <si>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</si>
  <si>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</si>
  <si>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</si>
  <si>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</si>
  <si>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</si>
  <si>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</si>
  <si>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</si>
  <si>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</si>
  <si>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</si>
  <si>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</si>
  <si>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</si>
  <si>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</si>
  <si>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</si>
  <si>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</si>
  <si>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</si>
  <si>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</si>
  <si>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</si>
  <si>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</si>
  <si>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</si>
  <si>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</si>
  <si>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</si>
  <si>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</si>
  <si>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</si>
  <si>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</si>
  <si>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</si>
  <si>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</si>
  <si>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</si>
  <si>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</si>
  <si>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</si>
  <si>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</si>
  <si>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</si>
  <si>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</si>
  <si>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</si>
  <si>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</si>
  <si>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</si>
  <si>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</si>
  <si>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</si>
  <si>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</si>
  <si>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</si>
  <si>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</si>
  <si>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</si>
  <si>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</si>
  <si>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</si>
  <si>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</si>
  <si>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</si>
  <si>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</si>
  <si>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</si>
  <si>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</si>
  <si>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</si>
  <si>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</si>
  <si>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</si>
  <si>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</si>
  <si>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</si>
  <si>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</si>
  <si>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</si>
  <si>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</si>
  <si>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</si>
  <si>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</si>
  <si>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</si>
  <si>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</si>
  <si>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</si>
  <si>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</si>
  <si>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</si>
  <si>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</si>
  <si>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</si>
  <si>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</si>
  <si>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</si>
  <si>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</si>
  <si>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</si>
  <si>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</si>
  <si>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</si>
  <si>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</si>
  <si>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</si>
  <si>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</si>
  <si>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</si>
  <si>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</si>
  <si>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</si>
  <si>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</si>
  <si>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</si>
  <si>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</si>
  <si>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</si>
  <si>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</si>
  <si>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</si>
  <si>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</si>
  <si>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</si>
  <si>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</si>
  <si>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</si>
  <si>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</si>
  <si>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</si>
  <si>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</si>
  <si>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</si>
  <si>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</si>
  <si>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</si>
  <si>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</si>
  <si>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</si>
  <si>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</si>
  <si>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</si>
  <si>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</si>
  <si>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</si>
  <si>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</si>
  <si>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</si>
  <si>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</si>
  <si>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</si>
  <si>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</si>
  <si>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</si>
  <si>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</si>
  <si>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</si>
  <si>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</si>
  <si>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</si>
  <si>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</si>
  <si>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</si>
  <si>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</si>
  <si>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</si>
  <si>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</si>
  <si>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</si>
  <si>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</si>
  <si>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</si>
  <si>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</si>
  <si>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</si>
  <si>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</si>
  <si>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</si>
  <si>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</si>
  <si>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</si>
  <si>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</si>
  <si>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</si>
  <si>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</si>
  <si>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</si>
  <si>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</si>
  <si>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</si>
  <si>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</si>
  <si>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</si>
  <si>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</si>
  <si>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</si>
  <si>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</si>
  <si>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</si>
  <si>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</si>
  <si>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</si>
  <si>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</si>
  <si>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</si>
  <si>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</si>
  <si>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</si>
  <si>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</si>
  <si>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</si>
  <si>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</si>
  <si>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</si>
  <si>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</si>
  <si>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</si>
  <si>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</si>
  <si>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</si>
  <si>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</si>
  <si>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</si>
  <si>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</si>
  <si>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</si>
  <si>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</si>
  <si>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</si>
  <si>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</si>
  <si>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</si>
  <si>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</si>
  <si>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</si>
  <si>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</si>
  <si>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</si>
  <si>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</si>
  <si>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</si>
  <si>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</si>
  <si>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</si>
  <si>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</si>
  <si>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</si>
  <si>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</si>
  <si>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</si>
  <si>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</si>
  <si>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</si>
  <si>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</si>
  <si>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</si>
  <si>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</si>
  <si>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</si>
  <si>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</si>
  <si>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</si>
  <si>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</si>
  <si>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</si>
  <si>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</si>
  <si>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</si>
  <si>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</si>
  <si>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</si>
  <si>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</si>
  <si>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</si>
  <si>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</si>
  <si>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</si>
  <si>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</si>
  <si>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</si>
  <si>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</si>
  <si>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</si>
  <si>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</si>
  <si>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</si>
  <si>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</si>
  <si>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</si>
  <si>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</si>
  <si>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</si>
  <si>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</si>
  <si>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</si>
  <si>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</si>
  <si>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</si>
  <si>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</si>
  <si>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</si>
  <si>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</si>
  <si>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</si>
  <si>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</si>
  <si>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</si>
  <si>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</si>
  <si>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</si>
  <si>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</si>
  <si>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</si>
  <si>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</si>
  <si>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</si>
  <si>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</si>
  <si>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</si>
  <si>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</si>
  <si>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</si>
  <si>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</si>
  <si>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</si>
  <si>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</si>
  <si>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</si>
  <si>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</si>
  <si>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</si>
  <si>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</si>
  <si>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</si>
  <si>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</si>
  <si>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</si>
  <si>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</si>
  <si>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</si>
  <si>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</si>
  <si>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</si>
  <si>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</si>
  <si>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</si>
  <si>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</si>
  <si>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</si>
  <si>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</si>
  <si>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</si>
  <si>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</si>
  <si>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</si>
  <si>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</si>
  <si>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</si>
  <si>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</si>
  <si>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</si>
  <si>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</si>
  <si>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</si>
  <si>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</si>
  <si>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</si>
  <si>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</si>
  <si>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</si>
  <si>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</si>
  <si>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</si>
  <si>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</si>
  <si>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</si>
  <si>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</si>
  <si>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</si>
  <si>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</si>
  <si>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</si>
  <si>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</si>
  <si>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</si>
  <si>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</si>
  <si>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</si>
  <si>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</si>
  <si>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</si>
  <si>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</si>
  <si>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</si>
  <si>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</si>
  <si>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</si>
  <si>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</si>
  <si>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</si>
  <si>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</si>
  <si>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</si>
  <si>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</si>
  <si>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</si>
  <si>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</si>
  <si>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</si>
  <si>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</si>
  <si>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</si>
  <si>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</si>
  <si>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</si>
  <si>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</si>
  <si>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</si>
  <si>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</si>
  <si>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</si>
  <si>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</si>
  <si>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</si>
  <si>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</si>
  <si>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</si>
  <si>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</si>
  <si>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</si>
  <si>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</si>
  <si>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</si>
  <si>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</si>
  <si>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</si>
  <si>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</si>
  <si>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</si>
  <si>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</si>
  <si>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</si>
  <si>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</si>
  <si>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</si>
  <si>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</si>
  <si>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</si>
  <si>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</si>
  <si>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</si>
  <si>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</si>
  <si>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</si>
  <si>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</si>
  <si>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</si>
  <si>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</si>
  <si>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</si>
  <si>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</si>
  <si>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</si>
  <si>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</si>
  <si>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</si>
  <si>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</si>
  <si>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</si>
  <si>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</si>
  <si>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</si>
  <si>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</si>
  <si>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</si>
  <si>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</si>
  <si>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</si>
  <si>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</si>
  <si>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</si>
  <si>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</si>
  <si>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</si>
  <si>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</si>
  <si>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</si>
  <si>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</si>
  <si>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</si>
  <si>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</si>
  <si>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</si>
  <si>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</si>
  <si>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</si>
  <si>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</si>
  <si>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</si>
  <si>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</si>
  <si>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</si>
  <si>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</si>
  <si>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</si>
  <si>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</si>
  <si>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</si>
  <si>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</si>
  <si>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</si>
  <si>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</si>
  <si>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</si>
  <si>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</si>
  <si>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</si>
  <si>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</si>
  <si>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</si>
  <si>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</si>
  <si>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</si>
  <si>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</si>
  <si>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</si>
  <si>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</si>
  <si>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</si>
  <si>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</si>
  <si>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</si>
  <si>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</si>
  <si>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</si>
  <si>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</si>
  <si>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</si>
  <si>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</si>
  <si>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</si>
  <si>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</si>
  <si>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</si>
  <si>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</si>
  <si>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</si>
  <si>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</si>
  <si>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</si>
  <si>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</si>
  <si>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</si>
  <si>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</si>
  <si>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</si>
  <si>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</si>
  <si>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</si>
  <si>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</si>
  <si>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</si>
  <si>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</si>
  <si>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</si>
  <si>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</si>
  <si>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</si>
  <si>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</si>
  <si>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</si>
  <si>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</si>
  <si>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</si>
  <si>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</si>
  <si>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</si>
  <si>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</si>
  <si>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</si>
  <si>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</si>
  <si>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</si>
  <si>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</si>
  <si>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</si>
  <si>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</si>
  <si>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</si>
  <si>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</si>
  <si>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</si>
  <si>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</si>
  <si>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</si>
  <si>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</si>
  <si>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</si>
  <si>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</si>
  <si>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</si>
  <si>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</si>
  <si>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</si>
  <si>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</si>
  <si>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</si>
  <si>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</si>
  <si>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</si>
  <si>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</si>
  <si>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</si>
  <si>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</si>
  <si>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</si>
  <si>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</si>
  <si>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</si>
  <si>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</si>
  <si>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</si>
  <si>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</si>
  <si>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</si>
  <si>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</si>
  <si>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</si>
  <si>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</si>
  <si>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</si>
  <si>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</si>
  <si>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</si>
  <si>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</si>
  <si>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</si>
  <si>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</si>
  <si>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</si>
  <si>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</si>
  <si>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</si>
  <si>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</si>
  <si>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</si>
  <si>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</si>
  <si>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</si>
  <si>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</si>
  <si>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</si>
  <si>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</si>
  <si>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</si>
  <si>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</si>
  <si>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</si>
  <si>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</si>
  <si>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</si>
  <si>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</si>
  <si>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</si>
  <si>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</si>
  <si>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</si>
  <si>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</si>
  <si>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</si>
  <si>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</si>
  <si>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</si>
  <si>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</si>
  <si>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</si>
  <si>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</si>
  <si>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</si>
  <si>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</si>
  <si>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</si>
  <si>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</si>
  <si>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</si>
  <si>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</si>
  <si>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</si>
  <si>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</si>
  <si>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</si>
  <si>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</si>
  <si>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</si>
  <si>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</si>
  <si>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</si>
  <si>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</si>
  <si>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</si>
  <si>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</si>
  <si>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</si>
  <si>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</si>
  <si>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</si>
  <si>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</si>
  <si>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</si>
  <si>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</si>
  <si>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</si>
  <si>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</si>
  <si>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</si>
  <si>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</si>
  <si>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</si>
  <si>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</si>
  <si>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</si>
  <si>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</si>
  <si>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</si>
  <si>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</si>
  <si>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</si>
  <si>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</si>
  <si>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</si>
  <si>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</si>
  <si>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</si>
  <si>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</si>
  <si>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</si>
  <si>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</si>
  <si>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</si>
  <si>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</si>
  <si>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</si>
  <si>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</si>
  <si>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</si>
  <si>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</si>
  <si>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</si>
  <si>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</si>
  <si>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</si>
  <si>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</si>
  <si>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</si>
  <si>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</si>
  <si>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</si>
  <si>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</si>
  <si>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</si>
  <si>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</si>
  <si>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</si>
  <si>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</si>
  <si>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</si>
  <si>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</si>
  <si>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</si>
  <si>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</si>
  <si>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</si>
  <si>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</si>
  <si>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</si>
  <si>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</si>
  <si>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</si>
  <si>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</si>
  <si>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</si>
  <si>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</si>
  <si>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</si>
  <si>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</si>
  <si>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</si>
  <si>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</si>
  <si>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</si>
  <si>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</si>
  <si>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</si>
  <si>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</si>
  <si>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</si>
  <si>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</si>
  <si>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</si>
  <si>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</si>
  <si>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</si>
  <si>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</si>
  <si>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</si>
  <si>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</si>
  <si>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</si>
  <si>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</si>
  <si>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</si>
  <si>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</si>
  <si>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</si>
  <si>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</si>
  <si>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</si>
  <si>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</si>
  <si>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</si>
  <si>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</si>
  <si>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</si>
  <si>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</si>
  <si>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</si>
  <si>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</si>
  <si>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</si>
  <si>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</si>
  <si>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</si>
  <si>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</si>
  <si>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</si>
  <si>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</si>
  <si>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</si>
  <si>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</si>
  <si>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</si>
  <si>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</si>
  <si>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</si>
  <si>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</si>
  <si>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</si>
  <si>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</si>
  <si>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</si>
  <si>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</si>
  <si>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</si>
  <si>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</si>
  <si>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</si>
  <si>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</si>
  <si>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</si>
  <si>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</si>
  <si>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</si>
  <si>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</si>
  <si>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</si>
  <si>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</si>
  <si>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</si>
  <si>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</si>
  <si>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</si>
  <si>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</si>
  <si>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</si>
  <si>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</si>
  <si>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</si>
  <si>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</si>
  <si>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DuPage</t>
  </si>
  <si>
    <t>255 W. Vermont Street</t>
  </si>
  <si>
    <t>Villa Park</t>
  </si>
  <si>
    <t>pvolling@d45.org</t>
  </si>
  <si>
    <t>Lauterbach and Amen, LLP</t>
  </si>
  <si>
    <t>Matt Beran</t>
  </si>
  <si>
    <t>668 N. River Road</t>
  </si>
  <si>
    <t>Naperville</t>
  </si>
  <si>
    <t>IL</t>
  </si>
  <si>
    <t>630-393-1483</t>
  </si>
  <si>
    <t>630-393-2516</t>
  </si>
  <si>
    <t>065-033233</t>
  </si>
  <si>
    <t>mberan@lauterbachamen.com</t>
  </si>
  <si>
    <t>Mr. Anthony Palmisao</t>
  </si>
  <si>
    <t>apalisano@d45.org</t>
  </si>
  <si>
    <t>630-516-7326</t>
  </si>
  <si>
    <t>630-430-1624</t>
  </si>
  <si>
    <t>Revenues (line 11) Tort Immunity $388,434</t>
  </si>
  <si>
    <t>Expenses (line 171) Payment to Escrow Agent $8,292,886</t>
  </si>
  <si>
    <t>Revenues (line 81) Districtwide $10,268, Graduation $5,757, technology Fees $57,362, Other Pupil Activity $7,926</t>
  </si>
  <si>
    <t>Revenues (line 91) Technology Fees $1,260</t>
  </si>
  <si>
    <t>Revenues (line 107) Miscellaneous Revenues $600, $165, Misc Rev-Districtwide $2,884, Misc Rev-Erate $305,359, Misc Rev $114,982</t>
  </si>
  <si>
    <t>Limited Tax Capital Apprec School Bonds Series 2004</t>
  </si>
  <si>
    <t>General Obligation Limited School Bonds Series 2008</t>
  </si>
  <si>
    <t>General Obligation Limited School Bonds Series 2012</t>
  </si>
  <si>
    <t>General Obligation Limited School Bonds Series 2015</t>
  </si>
  <si>
    <t>General Obligation Limited School Bonds Series 2016</t>
  </si>
  <si>
    <t>6,7</t>
  </si>
  <si>
    <t>1,3,6</t>
  </si>
  <si>
    <t>3,6</t>
  </si>
  <si>
    <t>General Obligation Limited School Bonds Series 2017</t>
  </si>
  <si>
    <t>N/A</t>
  </si>
  <si>
    <t>US Department of Agriculture</t>
  </si>
  <si>
    <t>Illinois State Board of Education</t>
  </si>
  <si>
    <t>2017-4220</t>
  </si>
  <si>
    <t>2018-4220</t>
  </si>
  <si>
    <t>National School Lunch Program (M)</t>
  </si>
  <si>
    <t>2017-4210</t>
  </si>
  <si>
    <t>2018-4210</t>
  </si>
  <si>
    <t>Commodities (Non-Cash)</t>
  </si>
  <si>
    <t>Commodities - DoD F&amp;V (Non-Cash)</t>
  </si>
  <si>
    <t>TOTAL US DEPARTMENT OF AGRICULTURE</t>
  </si>
  <si>
    <t>Department of Education</t>
  </si>
  <si>
    <t>Title I - Low Income (M)</t>
  </si>
  <si>
    <t>2018-4300</t>
  </si>
  <si>
    <t>Title III - Language Instruction</t>
  </si>
  <si>
    <t>2017-4932</t>
  </si>
  <si>
    <t>2017-4905</t>
  </si>
  <si>
    <t>2018-4905</t>
  </si>
  <si>
    <t>2017-4909</t>
  </si>
  <si>
    <t>2018-4909</t>
  </si>
  <si>
    <t>School Associations for Special Education in DuPage County</t>
  </si>
  <si>
    <t>Special Education - Grants to States (IDEA Flow Through)</t>
  </si>
  <si>
    <t>IDEA Room &amp; Board</t>
  </si>
  <si>
    <t>2017-4625</t>
  </si>
  <si>
    <t>Special Education - Preschool Grants (IDEA Preschool)</t>
  </si>
  <si>
    <t>TOTAL DEPARTMENT OF EDUCATION</t>
  </si>
  <si>
    <t>Department of Health and Human Services</t>
  </si>
  <si>
    <t>Illinois Department of Healthcare and Family Services</t>
  </si>
  <si>
    <t>Medical Assistance Program (Medicaid; Title XIX)</t>
  </si>
  <si>
    <t>Total Federal Awards</t>
  </si>
  <si>
    <t>Unmodified</t>
  </si>
  <si>
    <t>Short-Term Long-Term Debt 24 - $8,135,000 refunded by 2017 bonds</t>
  </si>
  <si>
    <t>SD 4, SD 48, SD 88</t>
  </si>
  <si>
    <t>IEC, Vanguard</t>
  </si>
  <si>
    <t>Lombard Park District, Villa Park Recreation</t>
  </si>
  <si>
    <t>CLIC, Accident Fund</t>
  </si>
  <si>
    <t>Illinois School District Liquid Asset Fund Plus</t>
  </si>
  <si>
    <t>SASED</t>
  </si>
  <si>
    <t>Special Education - IDEA Flowthrough (IEDA Cluster)</t>
  </si>
  <si>
    <t>Special Education - IDEA Preschool (IEDA Cluster)</t>
  </si>
  <si>
    <t>Ed - Improvement of Instr - Other</t>
  </si>
  <si>
    <t xml:space="preserve">Ed - Support Services - Other </t>
  </si>
  <si>
    <t>Ed - Food Services - Other</t>
  </si>
  <si>
    <t>Ed - Data Services - Other</t>
  </si>
  <si>
    <t>O&amp;M - Support Services - Other</t>
  </si>
  <si>
    <t>Transp - Pupil Services - Other</t>
  </si>
  <si>
    <t>Tort - Insurance - Other</t>
  </si>
  <si>
    <t>Tort - Unemployment - Other</t>
  </si>
  <si>
    <t>10-2560-370</t>
  </si>
  <si>
    <t>LORA CAREY</t>
  </si>
  <si>
    <t>CONSORTIUM FOR EDUCATIONAL CHANGE</t>
  </si>
  <si>
    <t>THE CENTER</t>
  </si>
  <si>
    <t>HOUGHTON MIFFLIN</t>
  </si>
  <si>
    <t>PROJECT LEAD THE WAY</t>
  </si>
  <si>
    <t>IASB</t>
  </si>
  <si>
    <t>ROBBINS, SCHWARTZ, NICHOLAS &amp; LIFTON LTD</t>
  </si>
  <si>
    <t>TYLER TECHNOLOGIES INC</t>
  </si>
  <si>
    <t>ARBOR MANAGEMENT INC</t>
  </si>
  <si>
    <t>FRONTLINE TECHNOLOGIES INC</t>
  </si>
  <si>
    <t>VILLAGE OF VILLA PARK</t>
  </si>
  <si>
    <t>KONICA MINOLTA BUSINESS SOLUTIONS</t>
  </si>
  <si>
    <t xml:space="preserve">KONICA MINOLTA PREMIER FINANCE </t>
  </si>
  <si>
    <t>PNC EQUIPMENT FINANCE</t>
  </si>
  <si>
    <t>POWER SCHOOL GROUP LLC</t>
  </si>
  <si>
    <t>FGM ARCHITECTS</t>
  </si>
  <si>
    <t>ALL PLUMBING AND SEWER SERVICES INC</t>
  </si>
  <si>
    <t xml:space="preserve">CALL ONE </t>
  </si>
  <si>
    <t>COMCAST</t>
  </si>
  <si>
    <t xml:space="preserve">FIRST STUDENT </t>
  </si>
  <si>
    <t xml:space="preserve">SECURE TRANSPORTATION </t>
  </si>
  <si>
    <t>SEPTRAN</t>
  </si>
  <si>
    <t>UNIVERSAL TAXI DISPATCH, INC</t>
  </si>
  <si>
    <t>IL COUNTIES RISK MGMT TRUST</t>
  </si>
  <si>
    <t xml:space="preserve">ILL. DEPT. OF EMPLOYMENT SECURITY </t>
  </si>
  <si>
    <t>SD 45 DuPage County</t>
  </si>
  <si>
    <t>10-2200-300</t>
  </si>
  <si>
    <t>10-2300-300</t>
  </si>
  <si>
    <t>10-2510-300</t>
  </si>
  <si>
    <t>10-2560-300</t>
  </si>
  <si>
    <t>10-2570-300</t>
  </si>
  <si>
    <t>10-2660-300</t>
  </si>
  <si>
    <t>20-2530-300</t>
  </si>
  <si>
    <t>20-2540-300</t>
  </si>
  <si>
    <t>40-2550-300</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</si>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</sst>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8">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60" fillId="0" borderId="22" xfId="3" applyNumberFormat="1" applyFont="1" applyBorder="1" applyAlignment="1" applyProtection="1">
      <alignment horizontal="left" vertical="center" wrapText="1" indent="1"/>
      <protection locked="0"/>
    </xf>
    <xf numFmtId="3" fontId="60" fillId="0" borderId="22" xfId="3" applyNumberFormat="1" applyFont="1" applyBorder="1" applyAlignment="1" applyProtection="1">
      <alignment horizontal="left" vertical="center" wrapText="1" indent="2"/>
      <protection locked="0"/>
    </xf>
    <xf numFmtId="3" fontId="62" fillId="0" borderId="22" xfId="3" applyNumberFormat="1" applyFont="1" applyBorder="1" applyAlignment="1" applyProtection="1">
      <alignment horizontal="left" vertical="center" wrapText="1"/>
      <protection locked="0"/>
    </xf>
    <xf numFmtId="3" fontId="62" fillId="0" borderId="22" xfId="3" applyNumberFormat="1" applyFont="1" applyBorder="1" applyAlignment="1" applyProtection="1">
      <alignment horizontal="center"/>
      <protection locked="0"/>
    </xf>
    <xf numFmtId="49" fontId="1" fillId="0" borderId="158" xfId="17" applyNumberFormat="1" applyFont="1" applyBorder="1" applyAlignment="1" applyProtection="1">
      <alignment horizontal="center" vertical="top"/>
      <protection locked="0"/>
    </xf>
    <xf numFmtId="49" fontId="1" fillId="0" borderId="158" xfId="17" applyNumberFormat="1" applyFont="1" applyBorder="1" applyAlignment="1" applyProtection="1">
      <alignment horizontal="center" vertic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 fontId="60" fillId="0" borderId="150" xfId="3" applyNumberFormat="1" applyFont="1" applyBorder="1" applyAlignment="1" applyProtection="1">
      <alignment horizontal="left" vertical="center"/>
      <protection locked="0"/>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3E4E9D86-AAF9-4A6D-8598-B95C9DFA0F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881342E5-10E3-4356-994E-F4E88089AFB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885825</xdr:colOff>
          <xdr:row>0</xdr:row>
          <xdr:rowOff>9525</xdr:rowOff>
        </xdr:from>
        <xdr:to>
          <xdr:col>1</xdr:col>
          <xdr:colOff>1800225</xdr:colOff>
          <xdr:row>4</xdr:row>
          <xdr:rowOff>47625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D9EE3A47-B40C-4F2B-998A-86E61C7B92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2926773</xdr:colOff>
          <xdr:row>3</xdr:row>
          <xdr:rowOff>69273</xdr:rowOff>
        </xdr:from>
        <xdr:to>
          <xdr:col>1</xdr:col>
          <xdr:colOff>3838575</xdr:colOff>
          <xdr:row>8</xdr:row>
          <xdr:rowOff>28575</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199159</xdr:colOff>
          <xdr:row>3</xdr:row>
          <xdr:rowOff>77932</xdr:rowOff>
        </xdr:from>
        <xdr:to>
          <xdr:col>3</xdr:col>
          <xdr:colOff>504825</xdr:colOff>
          <xdr:row>8</xdr:row>
          <xdr:rowOff>37234</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3" t="s">
        <v>425</v>
      </c>
      <c r="J1" s="2004"/>
      <c r="K1" s="2004"/>
      <c r="L1" s="2004"/>
      <c r="M1" s="2004"/>
      <c r="N1" s="2004"/>
      <c r="O1" s="2004"/>
      <c r="P1" s="2004"/>
      <c r="Q1" s="2004"/>
      <c r="R1" s="2004"/>
      <c r="S1" s="2004"/>
    </row>
    <row r="2" spans="1:28" ht="12" customHeight="1" x14ac:dyDescent="0.2">
      <c r="A2" s="47" t="s">
        <v>1684</v>
      </c>
      <c r="D2" s="48"/>
      <c r="I2" s="2005" t="s">
        <v>1036</v>
      </c>
      <c r="J2" s="2004"/>
      <c r="K2" s="2004"/>
      <c r="L2" s="2004"/>
      <c r="M2" s="2004"/>
      <c r="N2" s="2004"/>
      <c r="O2" s="2004"/>
      <c r="P2" s="2004"/>
      <c r="Q2" s="2004"/>
      <c r="R2" s="2004"/>
      <c r="S2" s="2004"/>
    </row>
    <row r="3" spans="1:28" ht="12" customHeight="1" x14ac:dyDescent="0.2">
      <c r="A3" s="155" t="s">
        <v>1685</v>
      </c>
      <c r="B3" s="156"/>
      <c r="C3" s="156"/>
      <c r="D3" s="157"/>
      <c r="I3" s="2005" t="s">
        <v>54</v>
      </c>
      <c r="J3" s="2004"/>
      <c r="K3" s="2004"/>
      <c r="L3" s="2004"/>
      <c r="M3" s="2004"/>
      <c r="N3" s="2004"/>
      <c r="O3" s="2004"/>
      <c r="P3" s="2004"/>
      <c r="Q3" s="2004"/>
      <c r="R3" s="2004"/>
      <c r="S3" s="2004"/>
    </row>
    <row r="4" spans="1:28" ht="12" customHeight="1" x14ac:dyDescent="0.2">
      <c r="A4" s="37"/>
      <c r="I4" s="2005" t="s">
        <v>545</v>
      </c>
      <c r="J4" s="2004"/>
      <c r="K4" s="2004"/>
      <c r="L4" s="2004"/>
      <c r="M4" s="2004"/>
      <c r="N4" s="2004"/>
      <c r="O4" s="2004"/>
      <c r="P4" s="2004"/>
      <c r="Q4" s="2004"/>
      <c r="R4" s="2004"/>
      <c r="S4" s="2004"/>
    </row>
    <row r="5" spans="1:28" ht="14.1" customHeight="1" x14ac:dyDescent="0.2">
      <c r="B5" s="104" t="s">
        <v>2077</v>
      </c>
      <c r="C5" s="26" t="s">
        <v>966</v>
      </c>
      <c r="D5" s="84"/>
      <c r="E5" s="84"/>
      <c r="H5" s="38"/>
      <c r="I5" s="2013" t="s">
        <v>701</v>
      </c>
      <c r="J5" s="2012"/>
      <c r="K5" s="2012"/>
      <c r="L5" s="2012"/>
      <c r="M5" s="2012"/>
      <c r="N5" s="2012"/>
      <c r="O5" s="2012"/>
      <c r="P5" s="2012"/>
      <c r="Q5" s="2012"/>
      <c r="R5" s="2012"/>
      <c r="S5" s="2012"/>
    </row>
    <row r="6" spans="1:28" ht="14.1" customHeight="1" x14ac:dyDescent="0.2">
      <c r="B6" s="104"/>
      <c r="C6" s="26" t="s">
        <v>967</v>
      </c>
      <c r="D6" s="84"/>
      <c r="E6" s="84"/>
      <c r="I6" s="2011" t="s">
        <v>938</v>
      </c>
      <c r="J6" s="2012"/>
      <c r="K6" s="2012"/>
      <c r="L6" s="2012"/>
      <c r="M6" s="2012"/>
      <c r="N6" s="2012"/>
      <c r="O6" s="2012"/>
      <c r="P6" s="2012"/>
      <c r="Q6" s="2012"/>
      <c r="R6" s="2012"/>
      <c r="S6" s="2012"/>
    </row>
    <row r="7" spans="1:28" ht="12.2" customHeight="1" x14ac:dyDescent="0.2">
      <c r="I7" s="2006">
        <v>43281</v>
      </c>
      <c r="J7" s="2007"/>
      <c r="K7" s="2007"/>
      <c r="L7" s="2007"/>
      <c r="M7" s="2007"/>
      <c r="N7" s="2007"/>
      <c r="O7" s="2007"/>
      <c r="P7" s="2007"/>
      <c r="Q7" s="2007"/>
      <c r="R7" s="2007"/>
      <c r="S7" s="200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8" t="s">
        <v>695</v>
      </c>
      <c r="J9" s="2009"/>
      <c r="K9" s="2009"/>
      <c r="L9" s="2009"/>
      <c r="M9" s="2009"/>
      <c r="N9" s="2009"/>
      <c r="O9" s="2009"/>
      <c r="P9" s="2009"/>
      <c r="Q9" s="2009"/>
      <c r="R9" s="2009"/>
      <c r="S9" s="2010"/>
      <c r="T9" s="2024" t="s">
        <v>554</v>
      </c>
      <c r="U9" s="2025"/>
      <c r="V9" s="2025"/>
      <c r="W9" s="2025"/>
      <c r="X9" s="2025"/>
      <c r="Y9" s="2025"/>
      <c r="Z9" s="2025"/>
      <c r="AA9" s="2026"/>
    </row>
    <row r="10" spans="1:28" ht="13.5" customHeight="1" x14ac:dyDescent="0.2">
      <c r="A10" s="2031" t="s">
        <v>696</v>
      </c>
      <c r="B10" s="2032"/>
      <c r="C10" s="2032"/>
      <c r="D10" s="2032"/>
      <c r="E10" s="2032"/>
      <c r="F10" s="2032"/>
      <c r="G10" s="2032"/>
      <c r="H10" s="2033"/>
      <c r="I10" s="29"/>
      <c r="J10" s="30"/>
      <c r="K10" s="28"/>
      <c r="R10" s="30"/>
      <c r="S10" s="30"/>
      <c r="T10" s="2027"/>
      <c r="U10" s="2012"/>
      <c r="V10" s="2012"/>
      <c r="W10" s="2012"/>
      <c r="X10" s="2012"/>
      <c r="Y10" s="2012"/>
      <c r="Z10" s="2012"/>
      <c r="AA10" s="2018"/>
    </row>
    <row r="11" spans="1:28" ht="14.25" customHeight="1" x14ac:dyDescent="0.2">
      <c r="A11" s="2034" t="s">
        <v>1012</v>
      </c>
      <c r="B11" s="2035"/>
      <c r="C11" s="2035"/>
      <c r="D11" s="2035"/>
      <c r="E11" s="2035"/>
      <c r="F11" s="2035"/>
      <c r="G11" s="2035"/>
      <c r="H11" s="2036"/>
      <c r="I11" s="27"/>
      <c r="J11" s="74"/>
      <c r="K11" s="27"/>
      <c r="O11" s="148"/>
      <c r="P11" s="100" t="s">
        <v>210</v>
      </c>
      <c r="Q11" s="30"/>
      <c r="R11" s="28"/>
      <c r="S11" s="27"/>
      <c r="T11" s="2028"/>
      <c r="U11" s="2029"/>
      <c r="V11" s="2029"/>
      <c r="W11" s="2029"/>
      <c r="X11" s="2029"/>
      <c r="Y11" s="2029"/>
      <c r="Z11" s="2029"/>
      <c r="AA11" s="2030"/>
    </row>
    <row r="12" spans="1:28" ht="13.5" customHeight="1" x14ac:dyDescent="0.2">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x14ac:dyDescent="0.2">
      <c r="A13" s="2038">
        <v>19022045002</v>
      </c>
      <c r="B13" s="2039"/>
      <c r="C13" s="2039"/>
      <c r="D13" s="2039"/>
      <c r="E13" s="2039"/>
      <c r="F13" s="2039"/>
      <c r="G13" s="2039"/>
      <c r="H13" s="2040"/>
      <c r="I13" s="31"/>
      <c r="J13" s="30"/>
      <c r="K13" s="28"/>
      <c r="L13" s="30"/>
      <c r="M13" s="30"/>
      <c r="N13" s="30"/>
      <c r="O13" s="30"/>
      <c r="P13" s="30"/>
      <c r="Q13" s="30"/>
      <c r="R13" s="30"/>
      <c r="S13" s="30"/>
      <c r="T13" s="2043" t="s">
        <v>2082</v>
      </c>
      <c r="U13" s="2044"/>
      <c r="V13" s="2044"/>
      <c r="W13" s="2044"/>
      <c r="X13" s="2044"/>
      <c r="Y13" s="2045"/>
      <c r="Z13" s="2045"/>
      <c r="AA13" s="204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7" t="s">
        <v>2078</v>
      </c>
      <c r="B15" s="2041"/>
      <c r="C15" s="2041"/>
      <c r="D15" s="2041"/>
      <c r="E15" s="2041"/>
      <c r="F15" s="2041"/>
      <c r="G15" s="2041"/>
      <c r="H15" s="2042"/>
      <c r="T15" s="2047" t="s">
        <v>2083</v>
      </c>
      <c r="U15" s="1991"/>
      <c r="V15" s="1991"/>
      <c r="W15" s="1991"/>
      <c r="X15" s="1991"/>
      <c r="Y15" s="2048"/>
      <c r="Z15" s="2048"/>
      <c r="AA15" s="204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7" t="s">
        <v>2183</v>
      </c>
      <c r="B17" s="1998"/>
      <c r="C17" s="1998"/>
      <c r="D17" s="1998"/>
      <c r="E17" s="1998"/>
      <c r="F17" s="1998"/>
      <c r="G17" s="1998"/>
      <c r="H17" s="2023"/>
      <c r="T17" s="2054" t="s">
        <v>2084</v>
      </c>
      <c r="U17" s="2055"/>
      <c r="V17" s="2055"/>
      <c r="W17" s="2055"/>
      <c r="X17" s="2055"/>
      <c r="Y17" s="2055"/>
      <c r="Z17" s="2055"/>
      <c r="AA17" s="2056"/>
    </row>
    <row r="18" spans="1:27" ht="13.5" customHeight="1" x14ac:dyDescent="0.2">
      <c r="A18" s="85" t="s">
        <v>551</v>
      </c>
      <c r="B18" s="76"/>
      <c r="C18" s="72"/>
      <c r="D18" s="76"/>
      <c r="E18" s="76"/>
      <c r="F18" s="76"/>
      <c r="G18" s="76"/>
      <c r="H18" s="56"/>
      <c r="I18" s="2022" t="s">
        <v>697</v>
      </c>
      <c r="J18" s="1973"/>
      <c r="K18" s="1973"/>
      <c r="L18" s="1973"/>
      <c r="M18" s="1973"/>
      <c r="N18" s="1973"/>
      <c r="O18" s="1973"/>
      <c r="P18" s="1973"/>
      <c r="Q18" s="1973"/>
      <c r="R18" s="1973"/>
      <c r="S18" s="1974"/>
      <c r="T18" s="85" t="s">
        <v>735</v>
      </c>
      <c r="U18" s="51"/>
      <c r="V18" s="72"/>
      <c r="W18" s="50"/>
      <c r="X18" s="85" t="s">
        <v>284</v>
      </c>
      <c r="Y18" s="81"/>
      <c r="Z18" s="159" t="s">
        <v>698</v>
      </c>
      <c r="AA18" s="46"/>
    </row>
    <row r="19" spans="1:27" ht="13.5" customHeight="1" x14ac:dyDescent="0.2">
      <c r="A19" s="2037" t="s">
        <v>2079</v>
      </c>
      <c r="B19" s="1983"/>
      <c r="C19" s="1983"/>
      <c r="D19" s="1983"/>
      <c r="E19" s="1983"/>
      <c r="F19" s="1983"/>
      <c r="G19" s="1983"/>
      <c r="H19" s="1963"/>
      <c r="I19" s="30"/>
      <c r="J19" s="99"/>
      <c r="K19" s="40"/>
      <c r="L19" s="38"/>
      <c r="M19" s="112" t="s">
        <v>333</v>
      </c>
      <c r="P19" s="27"/>
      <c r="Q19" s="27"/>
      <c r="R19" s="27"/>
      <c r="S19" s="31"/>
      <c r="T19" s="2037" t="s">
        <v>2085</v>
      </c>
      <c r="U19" s="1962"/>
      <c r="V19" s="1962"/>
      <c r="W19" s="1963"/>
      <c r="X19" s="2052" t="s">
        <v>2086</v>
      </c>
      <c r="Y19" s="2053"/>
      <c r="Z19" s="2050">
        <v>60563</v>
      </c>
      <c r="AA19" s="205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1" t="s">
        <v>2080</v>
      </c>
      <c r="B21" s="1962"/>
      <c r="C21" s="1962"/>
      <c r="D21" s="1962"/>
      <c r="E21" s="1962"/>
      <c r="F21" s="1962"/>
      <c r="G21" s="1962"/>
      <c r="H21" s="1963"/>
      <c r="I21" s="2017" t="s">
        <v>699</v>
      </c>
      <c r="J21" s="2012"/>
      <c r="K21" s="2012"/>
      <c r="L21" s="2012"/>
      <c r="M21" s="2012"/>
      <c r="N21" s="2012"/>
      <c r="O21" s="2012"/>
      <c r="P21" s="2012"/>
      <c r="Q21" s="2012"/>
      <c r="R21" s="2012"/>
      <c r="S21" s="2018"/>
      <c r="T21" s="2061" t="s">
        <v>2087</v>
      </c>
      <c r="U21" s="2062"/>
      <c r="V21" s="2062"/>
      <c r="W21" s="2062"/>
      <c r="X21" s="2067" t="s">
        <v>2088</v>
      </c>
      <c r="Y21" s="2068"/>
      <c r="Z21" s="2068"/>
      <c r="AA21" s="2069"/>
    </row>
    <row r="22" spans="1:27" ht="13.5" customHeight="1" x14ac:dyDescent="0.2">
      <c r="A22" s="87" t="s">
        <v>552</v>
      </c>
      <c r="B22" s="59"/>
      <c r="C22" s="59"/>
      <c r="D22" s="59"/>
      <c r="E22" s="59"/>
      <c r="F22" s="59"/>
      <c r="G22" s="59"/>
      <c r="H22" s="60"/>
      <c r="I22" s="2019" t="s">
        <v>1504</v>
      </c>
      <c r="J22" s="2020"/>
      <c r="K22" s="2020"/>
      <c r="L22" s="2020"/>
      <c r="M22" s="2020"/>
      <c r="N22" s="2020"/>
      <c r="O22" s="2020"/>
      <c r="P22" s="2020"/>
      <c r="Q22" s="2020"/>
      <c r="R22" s="2020"/>
      <c r="S22" s="2021"/>
      <c r="T22" s="85" t="s">
        <v>1596</v>
      </c>
      <c r="U22" s="51"/>
      <c r="V22" s="72"/>
      <c r="W22" s="51"/>
      <c r="X22" s="160" t="s">
        <v>1385</v>
      </c>
      <c r="Z22" s="45"/>
      <c r="AA22" s="46"/>
    </row>
    <row r="23" spans="1:27" ht="13.5" customHeight="1" x14ac:dyDescent="0.2">
      <c r="A23" s="2014" t="s">
        <v>2081</v>
      </c>
      <c r="B23" s="2015"/>
      <c r="C23" s="2015"/>
      <c r="D23" s="2015"/>
      <c r="E23" s="2015"/>
      <c r="F23" s="2015"/>
      <c r="G23" s="2015"/>
      <c r="H23" s="2016"/>
      <c r="T23" s="1997" t="s">
        <v>2089</v>
      </c>
      <c r="U23" s="2060"/>
      <c r="V23" s="2060"/>
      <c r="W23" s="2060"/>
      <c r="X23" s="2064">
        <v>44469</v>
      </c>
      <c r="Y23" s="2065"/>
      <c r="Z23" s="2065"/>
      <c r="AA23" s="2066"/>
    </row>
    <row r="24" spans="1:27" ht="14.1" customHeight="1" x14ac:dyDescent="0.2">
      <c r="A24" s="88" t="s">
        <v>698</v>
      </c>
      <c r="B24" s="49"/>
      <c r="C24" s="49"/>
      <c r="D24" s="49"/>
      <c r="E24" s="49"/>
      <c r="F24" s="49"/>
      <c r="G24" s="49"/>
      <c r="H24" s="61"/>
      <c r="J24" s="1984">
        <f>IF(B5="x",IF(AUDITCHECK!D29="AFR form Incomplete.","",IF(AUDITCHECK!D29="Deficit reduction plan is required.","School District must complete a deficit reduction plan in the 2018-2019 Budget",)),"")</f>
        <v>0</v>
      </c>
      <c r="K24" s="1984"/>
      <c r="L24" s="1984"/>
      <c r="M24" s="1984"/>
      <c r="N24" s="1984"/>
      <c r="O24" s="1984"/>
      <c r="P24" s="1984"/>
      <c r="Q24" s="1984"/>
      <c r="R24" s="1984"/>
      <c r="S24" s="1985"/>
      <c r="T24" s="105" t="s">
        <v>552</v>
      </c>
      <c r="U24" s="106"/>
      <c r="V24" s="106"/>
      <c r="W24" s="106"/>
      <c r="X24" s="107"/>
      <c r="Y24" s="107"/>
      <c r="Z24" s="107"/>
      <c r="AA24" s="108"/>
    </row>
    <row r="25" spans="1:27" ht="14.1" customHeight="1" x14ac:dyDescent="0.2">
      <c r="A25" s="1961">
        <v>60181</v>
      </c>
      <c r="B25" s="1962"/>
      <c r="C25" s="1962"/>
      <c r="D25" s="1962"/>
      <c r="E25" s="1962"/>
      <c r="F25" s="1962"/>
      <c r="G25" s="1962"/>
      <c r="H25" s="1963"/>
      <c r="I25" s="113"/>
      <c r="J25" s="1986"/>
      <c r="K25" s="1986"/>
      <c r="L25" s="1986"/>
      <c r="M25" s="1986"/>
      <c r="N25" s="1986"/>
      <c r="O25" s="1986"/>
      <c r="P25" s="1986"/>
      <c r="Q25" s="1986"/>
      <c r="R25" s="1986"/>
      <c r="S25" s="1987"/>
      <c r="T25" s="2057" t="s">
        <v>2090</v>
      </c>
      <c r="U25" s="2058"/>
      <c r="V25" s="2058"/>
      <c r="W25" s="2058"/>
      <c r="X25" s="2058"/>
      <c r="Y25" s="2058"/>
      <c r="Z25" s="2058"/>
      <c r="AA25" s="20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2" t="s">
        <v>1591</v>
      </c>
      <c r="J27" s="1973"/>
      <c r="K27" s="1973"/>
      <c r="L27" s="1973"/>
      <c r="M27" s="1973"/>
      <c r="N27" s="1973"/>
      <c r="O27" s="1973"/>
      <c r="P27" s="1973"/>
      <c r="Q27" s="1973"/>
      <c r="R27" s="1973"/>
      <c r="S27" s="197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t="s">
        <v>2077</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t="s">
        <v>2077</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3"/>
      <c r="Q35" s="1962"/>
      <c r="R35" s="196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7" t="s">
        <v>2091</v>
      </c>
      <c r="B38" s="1998"/>
      <c r="C38" s="1998"/>
      <c r="D38" s="1998"/>
      <c r="E38" s="1998"/>
      <c r="F38" s="1962"/>
      <c r="G38" s="1962"/>
      <c r="H38" s="1963"/>
      <c r="I38" s="1990"/>
      <c r="J38" s="1991"/>
      <c r="K38" s="1991"/>
      <c r="L38" s="1991"/>
      <c r="M38" s="1991"/>
      <c r="N38" s="1991"/>
      <c r="O38" s="1991"/>
      <c r="P38" s="1992"/>
      <c r="Q38" s="1992"/>
      <c r="R38" s="1992"/>
      <c r="S38" s="1993"/>
      <c r="T38" s="2047"/>
      <c r="U38" s="1991"/>
      <c r="V38" s="1991"/>
      <c r="W38" s="1991"/>
      <c r="X38" s="1992"/>
      <c r="Y38" s="1992"/>
      <c r="Z38" s="1992"/>
      <c r="AA38" s="1993"/>
    </row>
    <row r="39" spans="1:27" ht="12" customHeight="1" x14ac:dyDescent="0.2">
      <c r="A39" s="1967" t="s">
        <v>552</v>
      </c>
      <c r="B39" s="1968"/>
      <c r="C39" s="72"/>
      <c r="D39" s="69"/>
      <c r="E39" s="69"/>
      <c r="F39" s="79"/>
      <c r="G39" s="69"/>
      <c r="H39" s="56"/>
      <c r="I39" s="1967" t="s">
        <v>552</v>
      </c>
      <c r="J39" s="1968"/>
      <c r="K39" s="1968"/>
      <c r="L39" s="1968"/>
      <c r="M39" s="1968"/>
      <c r="N39" s="67"/>
      <c r="O39" s="72"/>
      <c r="P39" s="72"/>
      <c r="Q39" s="78"/>
      <c r="R39" s="72"/>
      <c r="S39" s="56"/>
      <c r="T39" s="72" t="s">
        <v>552</v>
      </c>
      <c r="U39" s="51"/>
      <c r="V39" s="72"/>
      <c r="W39" s="50"/>
      <c r="X39" s="78"/>
      <c r="Y39" s="45"/>
      <c r="Z39" s="45"/>
      <c r="AA39" s="46"/>
    </row>
    <row r="40" spans="1:27" ht="13.5" customHeight="1" x14ac:dyDescent="0.2">
      <c r="A40" s="1975" t="s">
        <v>2092</v>
      </c>
      <c r="B40" s="1976"/>
      <c r="C40" s="1977"/>
      <c r="D40" s="1977"/>
      <c r="E40" s="1977"/>
      <c r="F40" s="1978"/>
      <c r="G40" s="1978"/>
      <c r="H40" s="1979"/>
      <c r="I40" s="2000"/>
      <c r="J40" s="2001"/>
      <c r="K40" s="2001"/>
      <c r="L40" s="2001"/>
      <c r="M40" s="2001"/>
      <c r="N40" s="2001"/>
      <c r="O40" s="2001"/>
      <c r="P40" s="2001"/>
      <c r="Q40" s="2001"/>
      <c r="R40" s="2001"/>
      <c r="S40" s="2002"/>
      <c r="T40" s="2000"/>
      <c r="U40" s="2063"/>
      <c r="V40" s="2001"/>
      <c r="W40" s="2001"/>
      <c r="X40" s="2001"/>
      <c r="Y40" s="2001"/>
      <c r="Z40" s="2001"/>
      <c r="AA40" s="200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9" t="s">
        <v>2093</v>
      </c>
      <c r="B42" s="1981"/>
      <c r="C42" s="1982"/>
      <c r="D42" s="1980" t="s">
        <v>2094</v>
      </c>
      <c r="E42" s="1981"/>
      <c r="F42" s="1981"/>
      <c r="G42" s="1981"/>
      <c r="H42" s="1982"/>
      <c r="I42" s="1964"/>
      <c r="J42" s="1965"/>
      <c r="K42" s="1965"/>
      <c r="L42" s="1965"/>
      <c r="M42" s="1965"/>
      <c r="N42" s="1965"/>
      <c r="O42" s="1966"/>
      <c r="P42" s="1999"/>
      <c r="Q42" s="1965"/>
      <c r="R42" s="1965"/>
      <c r="S42" s="1966"/>
      <c r="T42" s="1964"/>
      <c r="U42" s="1965"/>
      <c r="V42" s="1965"/>
      <c r="W42" s="1966"/>
      <c r="X42" s="1999"/>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4"/>
      <c r="B44" s="1995"/>
      <c r="C44" s="1995"/>
      <c r="D44" s="1995"/>
      <c r="E44" s="1995"/>
      <c r="F44" s="1995"/>
      <c r="G44" s="1995"/>
      <c r="H44" s="1996"/>
      <c r="I44" s="1969"/>
      <c r="J44" s="1970"/>
      <c r="K44" s="1970"/>
      <c r="L44" s="1970"/>
      <c r="M44" s="1970"/>
      <c r="N44" s="1970"/>
      <c r="O44" s="1970"/>
      <c r="P44" s="1970"/>
      <c r="Q44" s="1970"/>
      <c r="R44" s="1970"/>
      <c r="S44" s="1971"/>
      <c r="T44" s="1969"/>
      <c r="U44" s="1988"/>
      <c r="V44" s="1988"/>
      <c r="W44" s="1988"/>
      <c r="X44" s="1988"/>
      <c r="Y44" s="1988"/>
      <c r="Z44" s="1970"/>
      <c r="AA44" s="197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2" colorId="8" zoomScale="110" zoomScaleNormal="110" workbookViewId="0">
      <selection activeCell="C14" sqref="C14"/>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3" t="s">
        <v>1905</v>
      </c>
      <c r="B2" s="1550" t="s">
        <v>2037</v>
      </c>
      <c r="C2" s="715" t="s">
        <v>1910</v>
      </c>
      <c r="D2" s="715" t="s">
        <v>1911</v>
      </c>
      <c r="E2" s="715" t="s">
        <v>1912</v>
      </c>
      <c r="F2" s="715" t="s">
        <v>1913</v>
      </c>
    </row>
    <row r="3" spans="1:6" ht="12" customHeight="1" x14ac:dyDescent="0.2">
      <c r="A3" s="2204"/>
      <c r="B3" s="1547"/>
      <c r="C3" s="1548"/>
      <c r="D3" s="1549" t="s">
        <v>274</v>
      </c>
      <c r="E3" s="1548"/>
      <c r="F3" s="1549" t="s">
        <v>275</v>
      </c>
    </row>
    <row r="4" spans="1:6" ht="13.7" customHeight="1" x14ac:dyDescent="0.2">
      <c r="A4" s="716" t="s">
        <v>1217</v>
      </c>
      <c r="B4" s="1771">
        <f>'Revenues 9-14'!C5</f>
        <v>26468207</v>
      </c>
      <c r="C4" s="1546">
        <v>14066006</v>
      </c>
      <c r="D4" s="1774">
        <f>B4-C4</f>
        <v>12402201</v>
      </c>
      <c r="E4" s="1546">
        <v>27397173</v>
      </c>
      <c r="F4" s="1774">
        <f>E4-C4</f>
        <v>13331167</v>
      </c>
    </row>
    <row r="5" spans="1:6" ht="13.7" customHeight="1" x14ac:dyDescent="0.2">
      <c r="A5" s="716" t="s">
        <v>925</v>
      </c>
      <c r="B5" s="1772">
        <f>'Revenues 9-14'!D5</f>
        <v>3248208</v>
      </c>
      <c r="C5" s="585">
        <v>1591273</v>
      </c>
      <c r="D5" s="1775">
        <f t="shared" ref="D5:D18" si="0">B5-C5</f>
        <v>1656935</v>
      </c>
      <c r="E5" s="585">
        <v>3099414</v>
      </c>
      <c r="F5" s="1775">
        <f>E5-C5</f>
        <v>1508141</v>
      </c>
    </row>
    <row r="6" spans="1:6" ht="13.7" customHeight="1" x14ac:dyDescent="0.2">
      <c r="A6" s="716" t="s">
        <v>431</v>
      </c>
      <c r="B6" s="1772">
        <f>'Revenues 9-14'!E5</f>
        <v>2707687</v>
      </c>
      <c r="C6" s="585">
        <v>1506827</v>
      </c>
      <c r="D6" s="1775">
        <f t="shared" si="0"/>
        <v>1200860</v>
      </c>
      <c r="E6" s="585">
        <v>2934934</v>
      </c>
      <c r="F6" s="1775">
        <f t="shared" ref="F6:F18" si="1">E6-C6</f>
        <v>1428107</v>
      </c>
    </row>
    <row r="7" spans="1:6" ht="13.7" customHeight="1" x14ac:dyDescent="0.2">
      <c r="A7" s="716" t="s">
        <v>157</v>
      </c>
      <c r="B7" s="1772">
        <f>'Revenues 9-14'!F5</f>
        <v>1551884</v>
      </c>
      <c r="C7" s="585">
        <v>817540</v>
      </c>
      <c r="D7" s="1775">
        <f t="shared" si="0"/>
        <v>734344</v>
      </c>
      <c r="E7" s="585">
        <v>1592369</v>
      </c>
      <c r="F7" s="1775">
        <f t="shared" si="1"/>
        <v>774829</v>
      </c>
    </row>
    <row r="8" spans="1:6" ht="13.7" customHeight="1" x14ac:dyDescent="0.2">
      <c r="A8" s="716" t="s">
        <v>1241</v>
      </c>
      <c r="B8" s="1772">
        <f>'Revenues 9-14'!G5</f>
        <v>1236927</v>
      </c>
      <c r="C8" s="585">
        <v>204781</v>
      </c>
      <c r="D8" s="1775">
        <f t="shared" si="0"/>
        <v>1032146</v>
      </c>
      <c r="E8" s="585">
        <v>398863</v>
      </c>
      <c r="F8" s="1775">
        <f t="shared" si="1"/>
        <v>194082</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v>149363</v>
      </c>
      <c r="D11" s="1775">
        <f t="shared" si="0"/>
        <v>-149363</v>
      </c>
      <c r="E11" s="585">
        <v>290923</v>
      </c>
      <c r="F11" s="1775">
        <f t="shared" si="1"/>
        <v>141560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242985</v>
      </c>
      <c r="C14" s="585">
        <v>128252</v>
      </c>
      <c r="D14" s="1775">
        <f t="shared" si="0"/>
        <v>114733</v>
      </c>
      <c r="E14" s="585">
        <v>249804</v>
      </c>
      <c r="F14" s="1775">
        <f t="shared" si="1"/>
        <v>121552</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388629</v>
      </c>
      <c r="C16" s="585">
        <v>651815</v>
      </c>
      <c r="D16" s="1775">
        <f t="shared" si="0"/>
        <v>-263186</v>
      </c>
      <c r="E16" s="585">
        <v>1269577</v>
      </c>
      <c r="F16" s="1775">
        <f t="shared" si="1"/>
        <v>617762</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388434</v>
      </c>
      <c r="C18" s="585"/>
      <c r="D18" s="1775">
        <f t="shared" si="0"/>
        <v>388434</v>
      </c>
      <c r="E18" s="585"/>
      <c r="F18" s="1775">
        <f t="shared" si="1"/>
        <v>0</v>
      </c>
    </row>
    <row r="19" spans="1:6" ht="13.7" customHeight="1" thickBot="1" x14ac:dyDescent="0.25">
      <c r="A19" s="1776" t="s">
        <v>1223</v>
      </c>
      <c r="B19" s="1773">
        <f>SUM(B4:B18)</f>
        <v>36232961</v>
      </c>
      <c r="C19" s="1773">
        <f>SUM(C4:C18)</f>
        <v>19115857</v>
      </c>
      <c r="D19" s="1773">
        <f>SUM(D4:D18)</f>
        <v>17117104</v>
      </c>
      <c r="E19" s="1773">
        <f>SUM(E4:E18)</f>
        <v>37233057</v>
      </c>
      <c r="F19" s="1773">
        <f>SUM(F4:F18)</f>
        <v>18117200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G33" sqref="G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5" t="s">
        <v>650</v>
      </c>
      <c r="B1" s="2223"/>
      <c r="C1" s="722"/>
    </row>
    <row r="2" spans="1:7" ht="33.75" x14ac:dyDescent="0.2">
      <c r="A2" s="2230" t="s">
        <v>1905</v>
      </c>
      <c r="B2" s="2231"/>
      <c r="C2" s="1908" t="s">
        <v>2038</v>
      </c>
      <c r="D2" s="724" t="s">
        <v>2045</v>
      </c>
      <c r="E2" s="724" t="s">
        <v>2046</v>
      </c>
      <c r="F2" s="1908" t="s">
        <v>2039</v>
      </c>
    </row>
    <row r="3" spans="1:7" ht="15.75" customHeight="1" x14ac:dyDescent="0.2">
      <c r="A3" s="2232" t="s">
        <v>1176</v>
      </c>
      <c r="B3" s="2233"/>
      <c r="C3" s="2226"/>
      <c r="D3" s="2227"/>
      <c r="E3" s="2227"/>
      <c r="F3" s="2228"/>
    </row>
    <row r="4" spans="1:7" ht="12.75" customHeight="1" thickBot="1" x14ac:dyDescent="0.25">
      <c r="A4" s="2220" t="s">
        <v>651</v>
      </c>
      <c r="B4" s="2221"/>
      <c r="C4" s="581"/>
      <c r="D4" s="581"/>
      <c r="E4" s="581"/>
      <c r="F4" s="1777">
        <f>SUM(C4+D4)-E4</f>
        <v>0</v>
      </c>
    </row>
    <row r="5" spans="1:7" ht="15.75" customHeight="1" thickTop="1" x14ac:dyDescent="0.2">
      <c r="A5" s="2224" t="s">
        <v>1172</v>
      </c>
      <c r="B5" s="2219"/>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6" t="s">
        <v>652</v>
      </c>
      <c r="B15" s="2217"/>
      <c r="C15" s="1777">
        <f>SUM(C6:C14)</f>
        <v>0</v>
      </c>
      <c r="D15" s="1777">
        <f>SUM(D6:D14)</f>
        <v>0</v>
      </c>
      <c r="E15" s="1777">
        <f>SUM(E6:E14)</f>
        <v>0</v>
      </c>
      <c r="F15" s="1777">
        <f>SUM(F6:F14)</f>
        <v>0</v>
      </c>
      <c r="G15" s="552"/>
    </row>
    <row r="16" spans="1:7" s="202" customFormat="1" ht="15.75" customHeight="1" thickTop="1" x14ac:dyDescent="0.2">
      <c r="A16" s="2229" t="s">
        <v>1173</v>
      </c>
      <c r="B16" s="2219"/>
      <c r="C16" s="2213"/>
      <c r="D16" s="2214"/>
      <c r="E16" s="2214"/>
      <c r="F16" s="2215"/>
    </row>
    <row r="17" spans="1:11" ht="12.75" customHeight="1" thickBot="1" x14ac:dyDescent="0.25">
      <c r="A17" s="2211" t="s">
        <v>66</v>
      </c>
      <c r="B17" s="2212"/>
      <c r="C17" s="727"/>
      <c r="D17" s="585"/>
      <c r="E17" s="727"/>
      <c r="F17" s="1777">
        <f>SUM(C17+D17)-E17</f>
        <v>0</v>
      </c>
    </row>
    <row r="18" spans="1:11" ht="12.75" customHeight="1" thickTop="1" thickBot="1" x14ac:dyDescent="0.25">
      <c r="A18" s="2211" t="s">
        <v>6</v>
      </c>
      <c r="B18" s="2212"/>
      <c r="C18" s="727"/>
      <c r="D18" s="585"/>
      <c r="E18" s="727"/>
      <c r="F18" s="1777">
        <f>SUM(C18+D18)-E18</f>
        <v>0</v>
      </c>
    </row>
    <row r="19" spans="1:11" ht="12.75" customHeight="1" thickTop="1" thickBot="1" x14ac:dyDescent="0.25">
      <c r="A19" s="2211" t="s">
        <v>406</v>
      </c>
      <c r="B19" s="2212"/>
      <c r="C19" s="727"/>
      <c r="D19" s="585"/>
      <c r="E19" s="727"/>
      <c r="F19" s="1777">
        <f>SUM(C19+D19)-E19</f>
        <v>0</v>
      </c>
    </row>
    <row r="20" spans="1:11" ht="12.75" customHeight="1" thickTop="1" thickBot="1" x14ac:dyDescent="0.25">
      <c r="A20" s="2211" t="s">
        <v>468</v>
      </c>
      <c r="B20" s="2212"/>
      <c r="C20" s="727"/>
      <c r="D20" s="585"/>
      <c r="E20" s="727"/>
      <c r="F20" s="1777">
        <f>SUM(C20+D20)-E20</f>
        <v>0</v>
      </c>
    </row>
    <row r="21" spans="1:11" ht="14.25" thickTop="1" thickBot="1" x14ac:dyDescent="0.25">
      <c r="A21" s="2216" t="s">
        <v>653</v>
      </c>
      <c r="B21" s="2217"/>
      <c r="C21" s="1777">
        <f>SUM(C17:C20)</f>
        <v>0</v>
      </c>
      <c r="D21" s="1777">
        <f>SUM(D17:D20)</f>
        <v>0</v>
      </c>
      <c r="E21" s="1777">
        <f>SUM(E17:E20)</f>
        <v>0</v>
      </c>
      <c r="F21" s="1777">
        <f>SUM(F17:F20)</f>
        <v>0</v>
      </c>
      <c r="G21" s="552"/>
    </row>
    <row r="22" spans="1:11" ht="15.75" customHeight="1" thickTop="1" x14ac:dyDescent="0.2">
      <c r="A22" s="2218" t="s">
        <v>1174</v>
      </c>
      <c r="B22" s="2219"/>
      <c r="C22" s="2213"/>
      <c r="D22" s="2214"/>
      <c r="E22" s="2214"/>
      <c r="F22" s="2215"/>
    </row>
    <row r="23" spans="1:11" ht="13.5" thickBot="1" x14ac:dyDescent="0.25">
      <c r="A23" s="2220" t="s">
        <v>654</v>
      </c>
      <c r="B23" s="2221"/>
      <c r="C23" s="581"/>
      <c r="D23" s="581"/>
      <c r="E23" s="581"/>
      <c r="F23" s="1777">
        <f>SUM(C23+D23)-E23</f>
        <v>0</v>
      </c>
      <c r="G23" s="552"/>
    </row>
    <row r="24" spans="1:11" ht="15.75" customHeight="1" thickTop="1" x14ac:dyDescent="0.2">
      <c r="A24" s="2218" t="s">
        <v>1175</v>
      </c>
      <c r="B24" s="2219"/>
      <c r="C24" s="2213"/>
      <c r="D24" s="2214"/>
      <c r="E24" s="2214"/>
      <c r="F24" s="2215"/>
    </row>
    <row r="25" spans="1:11" ht="13.5" thickBot="1" x14ac:dyDescent="0.25">
      <c r="A25" s="2220" t="s">
        <v>655</v>
      </c>
      <c r="B25" s="2221"/>
      <c r="C25" s="581"/>
      <c r="D25" s="581"/>
      <c r="E25" s="581"/>
      <c r="F25" s="1777">
        <f>SUM(C25+D25)-E25</f>
        <v>0</v>
      </c>
      <c r="G25" s="552"/>
    </row>
    <row r="26" spans="1:11" ht="15.75" customHeight="1" thickTop="1" x14ac:dyDescent="0.2">
      <c r="A26" s="2224" t="s">
        <v>678</v>
      </c>
      <c r="B26" s="2219"/>
      <c r="C26" s="728"/>
      <c r="D26" s="728"/>
      <c r="E26" s="728"/>
      <c r="F26" s="729"/>
    </row>
    <row r="27" spans="1:11" ht="13.5" thickBot="1" x14ac:dyDescent="0.25">
      <c r="A27" s="2216" t="s">
        <v>1130</v>
      </c>
      <c r="B27" s="2217"/>
      <c r="C27" s="585"/>
      <c r="D27" s="585"/>
      <c r="E27" s="585"/>
      <c r="F27" s="1777">
        <f>SUM(C27+D27)-E27</f>
        <v>0</v>
      </c>
      <c r="G27" s="552"/>
    </row>
    <row r="28" spans="1:11" ht="7.5" customHeight="1" thickTop="1" x14ac:dyDescent="0.2">
      <c r="A28" s="594"/>
    </row>
    <row r="29" spans="1:11" ht="23.25" customHeight="1" x14ac:dyDescent="0.2">
      <c r="A29" s="2222" t="s">
        <v>603</v>
      </c>
      <c r="B29" s="2223"/>
      <c r="C29" s="730"/>
      <c r="D29" s="730"/>
      <c r="E29" s="730"/>
      <c r="F29" s="730"/>
      <c r="G29" s="730"/>
      <c r="H29" s="730"/>
      <c r="I29" s="730"/>
      <c r="J29" s="730"/>
    </row>
    <row r="30" spans="1:11" ht="33.75" x14ac:dyDescent="0.2">
      <c r="A30" s="1551"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t="s">
        <v>2100</v>
      </c>
      <c r="B31" s="734">
        <v>38027</v>
      </c>
      <c r="C31" s="735">
        <v>7088619</v>
      </c>
      <c r="D31" s="736" t="s">
        <v>2105</v>
      </c>
      <c r="E31" s="735">
        <v>4219274</v>
      </c>
      <c r="F31" s="735"/>
      <c r="G31" s="735">
        <v>149330</v>
      </c>
      <c r="H31" s="735">
        <v>1550000</v>
      </c>
      <c r="I31" s="1778">
        <f>((E31+F31)-H31)+G31</f>
        <v>2818604</v>
      </c>
      <c r="J31" s="735">
        <f>I31</f>
        <v>2818604</v>
      </c>
      <c r="K31" s="737"/>
    </row>
    <row r="32" spans="1:11" ht="12" customHeight="1" x14ac:dyDescent="0.2">
      <c r="A32" s="733" t="s">
        <v>2101</v>
      </c>
      <c r="B32" s="734">
        <v>39490</v>
      </c>
      <c r="C32" s="735">
        <v>8470000</v>
      </c>
      <c r="D32" s="736" t="s">
        <v>2106</v>
      </c>
      <c r="E32" s="735">
        <v>8135000</v>
      </c>
      <c r="F32" s="735"/>
      <c r="G32" s="735">
        <v>-8135000</v>
      </c>
      <c r="H32" s="735"/>
      <c r="I32" s="1778">
        <f>((E32+F32)-H32)+G32</f>
        <v>0</v>
      </c>
      <c r="J32" s="735"/>
      <c r="K32" s="737"/>
    </row>
    <row r="33" spans="1:11" ht="12" customHeight="1" x14ac:dyDescent="0.2">
      <c r="A33" s="733" t="s">
        <v>2102</v>
      </c>
      <c r="B33" s="734">
        <v>41089</v>
      </c>
      <c r="C33" s="735">
        <v>9915000</v>
      </c>
      <c r="D33" s="736">
        <v>6</v>
      </c>
      <c r="E33" s="735">
        <v>9200000</v>
      </c>
      <c r="F33" s="735"/>
      <c r="G33" s="735"/>
      <c r="H33" s="735"/>
      <c r="I33" s="1778">
        <f t="shared" ref="I33:I48" si="1">((E33+F33)-H33)+G33</f>
        <v>9200000</v>
      </c>
      <c r="J33" s="735">
        <f>I33-'Assets-Liab 5-6'!N21</f>
        <v>8361225</v>
      </c>
      <c r="K33" s="737"/>
    </row>
    <row r="34" spans="1:11" ht="12" customHeight="1" x14ac:dyDescent="0.2">
      <c r="A34" s="733" t="s">
        <v>2103</v>
      </c>
      <c r="B34" s="734">
        <v>42122</v>
      </c>
      <c r="C34" s="735">
        <v>7880000</v>
      </c>
      <c r="D34" s="736" t="s">
        <v>2107</v>
      </c>
      <c r="E34" s="735">
        <v>7880000</v>
      </c>
      <c r="F34" s="735"/>
      <c r="G34" s="735"/>
      <c r="H34" s="735"/>
      <c r="I34" s="1778">
        <f t="shared" si="1"/>
        <v>7880000</v>
      </c>
      <c r="J34" s="735">
        <f>I34</f>
        <v>7880000</v>
      </c>
      <c r="K34" s="738"/>
    </row>
    <row r="35" spans="1:11" ht="12" customHeight="1" x14ac:dyDescent="0.2">
      <c r="A35" s="733" t="s">
        <v>2104</v>
      </c>
      <c r="B35" s="734">
        <v>42669</v>
      </c>
      <c r="C35" s="739">
        <v>6630000</v>
      </c>
      <c r="D35" s="736">
        <v>3</v>
      </c>
      <c r="E35" s="739">
        <v>6515000</v>
      </c>
      <c r="F35" s="739"/>
      <c r="G35" s="739"/>
      <c r="H35" s="739"/>
      <c r="I35" s="1778">
        <f t="shared" si="1"/>
        <v>6515000</v>
      </c>
      <c r="J35" s="739">
        <f>I35</f>
        <v>6515000</v>
      </c>
      <c r="K35" s="738"/>
    </row>
    <row r="36" spans="1:11" ht="12" customHeight="1" x14ac:dyDescent="0.2">
      <c r="A36" s="733" t="s">
        <v>2108</v>
      </c>
      <c r="B36" s="734">
        <v>43026</v>
      </c>
      <c r="C36" s="735">
        <v>7610000</v>
      </c>
      <c r="D36" s="736">
        <v>3</v>
      </c>
      <c r="E36" s="735"/>
      <c r="F36" s="735">
        <v>7610000</v>
      </c>
      <c r="G36" s="735"/>
      <c r="H36" s="735"/>
      <c r="I36" s="1778">
        <f t="shared" si="1"/>
        <v>7610000</v>
      </c>
      <c r="J36" s="735">
        <f>I36</f>
        <v>7610000</v>
      </c>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47593619</v>
      </c>
      <c r="D49" s="746"/>
      <c r="E49" s="1778">
        <f t="shared" ref="E49:J49" si="2">SUM(E31:E48)</f>
        <v>35949274</v>
      </c>
      <c r="F49" s="1778">
        <f t="shared" si="2"/>
        <v>7610000</v>
      </c>
      <c r="G49" s="1778">
        <f t="shared" si="2"/>
        <v>-7985670</v>
      </c>
      <c r="H49" s="1778">
        <f t="shared" si="2"/>
        <v>1550000</v>
      </c>
      <c r="I49" s="1778">
        <f t="shared" si="2"/>
        <v>34023604</v>
      </c>
      <c r="J49" s="1778">
        <f t="shared" si="2"/>
        <v>33184829</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5" t="s">
        <v>605</v>
      </c>
      <c r="C52" s="2206"/>
      <c r="D52" s="2206"/>
      <c r="E52" s="750" t="s">
        <v>900</v>
      </c>
      <c r="F52" s="2207"/>
      <c r="G52" s="2208"/>
      <c r="H52" s="737"/>
      <c r="I52" s="737"/>
      <c r="J52" s="747"/>
    </row>
    <row r="53" spans="1:11" ht="11.25" customHeight="1" x14ac:dyDescent="0.2">
      <c r="A53" s="751" t="s">
        <v>969</v>
      </c>
      <c r="B53" s="752" t="s">
        <v>1008</v>
      </c>
      <c r="C53" s="747"/>
      <c r="D53" s="738"/>
      <c r="E53" s="750" t="s">
        <v>518</v>
      </c>
      <c r="F53" s="2209"/>
      <c r="G53" s="2210"/>
      <c r="H53" s="737"/>
      <c r="I53" s="737"/>
      <c r="J53" s="747"/>
    </row>
    <row r="54" spans="1:11" ht="11.25" customHeight="1" x14ac:dyDescent="0.2">
      <c r="A54" s="753" t="s">
        <v>970</v>
      </c>
      <c r="B54" s="748" t="s">
        <v>1009</v>
      </c>
      <c r="C54" s="747"/>
      <c r="D54" s="738"/>
      <c r="E54" s="750" t="s">
        <v>519</v>
      </c>
      <c r="F54" s="2209"/>
      <c r="G54" s="221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911</v>
      </c>
      <c r="B1" s="2235"/>
      <c r="C1" s="2235"/>
      <c r="D1" s="2235"/>
      <c r="E1" s="2235"/>
      <c r="F1" s="2235"/>
      <c r="G1" s="2236"/>
      <c r="H1" s="1552"/>
      <c r="I1" s="761"/>
      <c r="J1" s="433"/>
    </row>
    <row r="2" spans="1:11" ht="26.25" x14ac:dyDescent="0.2">
      <c r="A2" s="2253" t="s">
        <v>1776</v>
      </c>
      <c r="B2" s="2254"/>
      <c r="C2" s="2254"/>
      <c r="D2" s="2254"/>
      <c r="E2" s="2255"/>
      <c r="F2" s="762" t="s">
        <v>960</v>
      </c>
      <c r="G2" s="763" t="s">
        <v>1773</v>
      </c>
      <c r="H2" s="763" t="s">
        <v>430</v>
      </c>
      <c r="I2" s="763" t="s">
        <v>1220</v>
      </c>
      <c r="J2" s="763" t="s">
        <v>1919</v>
      </c>
      <c r="K2" s="763" t="s">
        <v>140</v>
      </c>
    </row>
    <row r="3" spans="1:11" x14ac:dyDescent="0.2">
      <c r="A3" s="2256" t="s">
        <v>1698</v>
      </c>
      <c r="B3" s="2257"/>
      <c r="C3" s="2257"/>
      <c r="D3" s="2257"/>
      <c r="E3" s="2258"/>
      <c r="F3" s="764"/>
      <c r="G3" s="765"/>
      <c r="H3" s="765"/>
      <c r="I3" s="765"/>
      <c r="J3" s="766"/>
      <c r="K3" s="766"/>
    </row>
    <row r="4" spans="1:11" x14ac:dyDescent="0.2">
      <c r="A4" s="2259" t="s">
        <v>387</v>
      </c>
      <c r="B4" s="2260"/>
      <c r="C4" s="2260"/>
      <c r="D4" s="2260"/>
      <c r="E4" s="2206"/>
      <c r="F4" s="767"/>
      <c r="G4" s="768"/>
      <c r="H4" s="769"/>
      <c r="I4" s="768"/>
      <c r="J4" s="770"/>
      <c r="K4" s="770"/>
    </row>
    <row r="5" spans="1:11" x14ac:dyDescent="0.2">
      <c r="A5" s="2237" t="s">
        <v>1129</v>
      </c>
      <c r="B5" s="2238"/>
      <c r="C5" s="2238"/>
      <c r="D5" s="2238"/>
      <c r="E5" s="2239"/>
      <c r="F5" s="771" t="s">
        <v>903</v>
      </c>
      <c r="G5" s="772"/>
      <c r="H5" s="765">
        <v>247913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7" t="s">
        <v>1920</v>
      </c>
      <c r="B10" s="2238"/>
      <c r="C10" s="2238"/>
      <c r="D10" s="2238"/>
      <c r="E10" s="2240"/>
      <c r="F10" s="784" t="s">
        <v>917</v>
      </c>
      <c r="G10" s="783"/>
      <c r="H10" s="785"/>
      <c r="I10" s="765"/>
      <c r="J10" s="766"/>
      <c r="K10" s="766"/>
    </row>
    <row r="11" spans="1:11" x14ac:dyDescent="0.2">
      <c r="A11" s="2237" t="s">
        <v>162</v>
      </c>
      <c r="B11" s="2238"/>
      <c r="C11" s="2238"/>
      <c r="D11" s="2238"/>
      <c r="E11" s="2239"/>
      <c r="F11" s="771" t="s">
        <v>907</v>
      </c>
      <c r="G11" s="772"/>
      <c r="H11" s="765"/>
      <c r="I11" s="765"/>
      <c r="J11" s="766"/>
      <c r="K11" s="774"/>
    </row>
    <row r="12" spans="1:11" ht="13.5" thickBot="1" x14ac:dyDescent="0.25">
      <c r="A12" s="2264" t="s">
        <v>961</v>
      </c>
      <c r="B12" s="2265"/>
      <c r="C12" s="2265"/>
      <c r="D12" s="2265"/>
      <c r="E12" s="2266"/>
      <c r="F12" s="1779"/>
      <c r="G12" s="1780">
        <f>SUM(G5:G11)</f>
        <v>0</v>
      </c>
      <c r="H12" s="1780">
        <f>SUM(H5:H11)</f>
        <v>247913</v>
      </c>
      <c r="I12" s="1780">
        <f>SUM(I5:I11)</f>
        <v>0</v>
      </c>
      <c r="J12" s="1780">
        <f>SUM(J5:J11)</f>
        <v>0</v>
      </c>
      <c r="K12" s="1780">
        <f>SUM(K5:K11)</f>
        <v>0</v>
      </c>
    </row>
    <row r="13" spans="1:11" ht="13.5" thickTop="1" x14ac:dyDescent="0.2">
      <c r="A13" s="2261" t="s">
        <v>388</v>
      </c>
      <c r="B13" s="2262"/>
      <c r="C13" s="2262"/>
      <c r="D13" s="2262"/>
      <c r="E13" s="2263"/>
      <c r="F13" s="786"/>
      <c r="G13" s="787"/>
      <c r="H13" s="788"/>
      <c r="I13" s="789"/>
      <c r="J13" s="789"/>
      <c r="K13" s="789"/>
    </row>
    <row r="14" spans="1:11" x14ac:dyDescent="0.2">
      <c r="A14" s="2244" t="s">
        <v>476</v>
      </c>
      <c r="B14" s="2244"/>
      <c r="C14" s="2244"/>
      <c r="D14" s="2244"/>
      <c r="E14" s="2245"/>
      <c r="F14" s="790" t="s">
        <v>909</v>
      </c>
      <c r="G14" s="783"/>
      <c r="H14" s="765"/>
      <c r="I14" s="772"/>
      <c r="J14" s="774"/>
      <c r="K14" s="766"/>
    </row>
    <row r="15" spans="1:11" x14ac:dyDescent="0.2">
      <c r="A15" s="2238" t="s">
        <v>4</v>
      </c>
      <c r="B15" s="2238"/>
      <c r="C15" s="2238"/>
      <c r="D15" s="2238"/>
      <c r="E15" s="2239"/>
      <c r="F15" s="790" t="s">
        <v>910</v>
      </c>
      <c r="G15" s="772"/>
      <c r="H15" s="765"/>
      <c r="I15" s="765"/>
      <c r="J15" s="766"/>
      <c r="K15" s="766"/>
    </row>
    <row r="16" spans="1:11" x14ac:dyDescent="0.2">
      <c r="A16" s="2238" t="s">
        <v>316</v>
      </c>
      <c r="B16" s="2238"/>
      <c r="C16" s="2238"/>
      <c r="D16" s="2238"/>
      <c r="E16" s="2239"/>
      <c r="F16" s="790" t="s">
        <v>980</v>
      </c>
      <c r="G16" s="773"/>
      <c r="H16" s="768"/>
      <c r="I16" s="768"/>
      <c r="J16" s="770"/>
      <c r="K16" s="770"/>
    </row>
    <row r="17" spans="1:11" x14ac:dyDescent="0.2">
      <c r="A17" s="2269" t="s">
        <v>992</v>
      </c>
      <c r="B17" s="2269"/>
      <c r="C17" s="2269"/>
      <c r="D17" s="2269"/>
      <c r="E17" s="2270"/>
      <c r="F17" s="791"/>
      <c r="G17" s="792"/>
      <c r="H17" s="793"/>
      <c r="I17" s="793"/>
      <c r="J17" s="794"/>
      <c r="K17" s="795"/>
    </row>
    <row r="18" spans="1:11" x14ac:dyDescent="0.2">
      <c r="A18" s="2248" t="s">
        <v>386</v>
      </c>
      <c r="B18" s="2249"/>
      <c r="C18" s="2249"/>
      <c r="D18" s="2249"/>
      <c r="E18" s="2250"/>
      <c r="F18" s="790" t="s">
        <v>989</v>
      </c>
      <c r="G18" s="783"/>
      <c r="H18" s="783"/>
      <c r="I18" s="783"/>
      <c r="J18" s="766"/>
      <c r="K18" s="796"/>
    </row>
    <row r="19" spans="1:11" ht="21.75" customHeight="1" x14ac:dyDescent="0.2">
      <c r="A19" s="2246" t="s">
        <v>1916</v>
      </c>
      <c r="B19" s="2246"/>
      <c r="C19" s="2246"/>
      <c r="D19" s="2246"/>
      <c r="E19" s="2247"/>
      <c r="F19" s="790" t="s">
        <v>990</v>
      </c>
      <c r="G19" s="783"/>
      <c r="H19" s="783"/>
      <c r="I19" s="783"/>
      <c r="J19" s="766"/>
      <c r="K19" s="796"/>
    </row>
    <row r="20" spans="1:11" x14ac:dyDescent="0.2">
      <c r="A20" s="2248" t="s">
        <v>1921</v>
      </c>
      <c r="B20" s="2249"/>
      <c r="C20" s="2249"/>
      <c r="D20" s="2249"/>
      <c r="E20" s="2250"/>
      <c r="F20" s="790" t="s">
        <v>991</v>
      </c>
      <c r="G20" s="783"/>
      <c r="H20" s="783"/>
      <c r="I20" s="783"/>
      <c r="J20" s="766"/>
      <c r="K20" s="796"/>
    </row>
    <row r="21" spans="1:11" ht="13.5" thickBot="1" x14ac:dyDescent="0.25">
      <c r="A21" s="2267" t="s">
        <v>659</v>
      </c>
      <c r="B21" s="2267"/>
      <c r="C21" s="2267"/>
      <c r="D21" s="2267"/>
      <c r="E21" s="2267"/>
      <c r="F21" s="1781"/>
      <c r="G21" s="793"/>
      <c r="H21" s="797"/>
      <c r="I21" s="797"/>
      <c r="J21" s="1782">
        <f>SUM(J18:J20)</f>
        <v>0</v>
      </c>
      <c r="K21" s="794"/>
    </row>
    <row r="22" spans="1:11" ht="13.5" thickTop="1" x14ac:dyDescent="0.2">
      <c r="A22" s="2238" t="s">
        <v>1922</v>
      </c>
      <c r="B22" s="2238"/>
      <c r="C22" s="2238"/>
      <c r="D22" s="2238"/>
      <c r="E22" s="2239"/>
      <c r="F22" s="790" t="s">
        <v>917</v>
      </c>
      <c r="G22" s="783"/>
      <c r="H22" s="765"/>
      <c r="I22" s="765"/>
      <c r="J22" s="798"/>
      <c r="K22" s="766"/>
    </row>
    <row r="23" spans="1:11" ht="13.5" thickBot="1" x14ac:dyDescent="0.25">
      <c r="A23" s="2268" t="s">
        <v>962</v>
      </c>
      <c r="B23" s="2267"/>
      <c r="C23" s="2267"/>
      <c r="D23" s="2267"/>
      <c r="E23" s="2267"/>
      <c r="F23" s="1783"/>
      <c r="G23" s="1780">
        <f>SUM(G14:G16,G21,G22)</f>
        <v>0</v>
      </c>
      <c r="H23" s="1780">
        <f>SUM(H14:H16,H21,H22)</f>
        <v>0</v>
      </c>
      <c r="I23" s="1780">
        <f>SUM(I14:I16,I21,I22)</f>
        <v>0</v>
      </c>
      <c r="J23" s="1780">
        <f>SUM(J14:J16,J21,J22)</f>
        <v>0</v>
      </c>
      <c r="K23" s="1780">
        <f>SUM(K14:K16,K21,K22)</f>
        <v>0</v>
      </c>
    </row>
    <row r="24" spans="1:11" ht="14.25" thickTop="1" thickBot="1" x14ac:dyDescent="0.25">
      <c r="A24" s="2268" t="s">
        <v>2026</v>
      </c>
      <c r="B24" s="2267"/>
      <c r="C24" s="2267"/>
      <c r="D24" s="2267"/>
      <c r="E24" s="2267"/>
      <c r="F24" s="1784"/>
      <c r="G24" s="1785">
        <f>SUM(G3,G12)-G23</f>
        <v>0</v>
      </c>
      <c r="H24" s="1785">
        <f>SUM(H3,H12)-H23</f>
        <v>247913</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247913</v>
      </c>
      <c r="I26" s="1780">
        <f>I24-I25</f>
        <v>0</v>
      </c>
      <c r="J26" s="1780">
        <f>J24-J25</f>
        <v>0</v>
      </c>
      <c r="K26" s="1780">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1"/>
      <c r="I31" s="2242"/>
      <c r="J31" s="2242"/>
      <c r="K31" s="2242"/>
    </row>
    <row r="32" spans="1:11" x14ac:dyDescent="0.2">
      <c r="A32" s="810"/>
      <c r="B32" s="237"/>
      <c r="C32" s="237"/>
      <c r="D32" s="237"/>
      <c r="E32" s="806"/>
      <c r="F32" s="812" t="s">
        <v>561</v>
      </c>
      <c r="G32" s="765"/>
      <c r="H32" s="2243"/>
      <c r="I32" s="2242"/>
      <c r="J32" s="2242"/>
      <c r="K32" s="2242"/>
    </row>
    <row r="33" spans="1:11" ht="1.5" customHeight="1" x14ac:dyDescent="0.2">
      <c r="A33" s="813" t="s">
        <v>1231</v>
      </c>
      <c r="B33" s="364"/>
      <c r="C33" s="364"/>
      <c r="D33" s="364"/>
      <c r="E33" s="364"/>
      <c r="F33" s="364"/>
      <c r="G33" s="814"/>
      <c r="H33" s="2243"/>
      <c r="I33" s="2242"/>
      <c r="J33" s="2242"/>
      <c r="K33" s="224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8" t="s">
        <v>562</v>
      </c>
      <c r="B41" s="2251"/>
      <c r="C41" s="2251"/>
      <c r="D41" s="2251"/>
      <c r="E41" s="2251"/>
      <c r="F41" s="225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2035</v>
      </c>
      <c r="B1" s="2274"/>
      <c r="C1" s="2275"/>
      <c r="D1" s="827"/>
      <c r="E1" s="828"/>
      <c r="F1" s="828"/>
      <c r="G1" s="829"/>
      <c r="H1" s="830"/>
      <c r="I1" s="831"/>
      <c r="J1" s="2271"/>
      <c r="K1" s="2272"/>
      <c r="L1" s="2272"/>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1680195</v>
      </c>
      <c r="D5" s="842"/>
      <c r="E5" s="842"/>
      <c r="F5" s="1782">
        <f>(C5+D5)-E5</f>
        <v>1680195</v>
      </c>
      <c r="G5" s="838"/>
      <c r="H5" s="843"/>
      <c r="I5" s="843"/>
      <c r="J5" s="843"/>
      <c r="K5" s="794"/>
      <c r="L5" s="1791">
        <f>F5-K5</f>
        <v>1680195</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49728106</v>
      </c>
      <c r="D8" s="845">
        <v>664101</v>
      </c>
      <c r="E8" s="845"/>
      <c r="F8" s="1782">
        <f>(C8+D8)-E8</f>
        <v>50392207</v>
      </c>
      <c r="G8" s="844">
        <v>50</v>
      </c>
      <c r="H8" s="766">
        <v>16458729</v>
      </c>
      <c r="I8" s="766">
        <v>1252161</v>
      </c>
      <c r="J8" s="766"/>
      <c r="K8" s="1791">
        <f>(H8+I8)-J8</f>
        <v>17710890</v>
      </c>
      <c r="L8" s="1791">
        <f>F8-K8</f>
        <v>32681317</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2132483</v>
      </c>
      <c r="D12" s="845">
        <v>130500</v>
      </c>
      <c r="E12" s="845"/>
      <c r="F12" s="1782">
        <f>(C12+D12)-E12</f>
        <v>2262983</v>
      </c>
      <c r="G12" s="844">
        <v>10</v>
      </c>
      <c r="H12" s="766">
        <v>2132483</v>
      </c>
      <c r="I12" s="766">
        <v>27624</v>
      </c>
      <c r="J12" s="766"/>
      <c r="K12" s="1791">
        <f>(H12+I12)-J12</f>
        <v>2160107</v>
      </c>
      <c r="L12" s="1791">
        <f>F12-K12</f>
        <v>102876</v>
      </c>
    </row>
    <row r="13" spans="1:14" ht="14.25" thickTop="1" thickBot="1" x14ac:dyDescent="0.25">
      <c r="A13" s="849" t="s">
        <v>1184</v>
      </c>
      <c r="B13" s="841">
        <v>252</v>
      </c>
      <c r="C13" s="845">
        <v>933947</v>
      </c>
      <c r="D13" s="845">
        <v>129563</v>
      </c>
      <c r="E13" s="845"/>
      <c r="F13" s="1782">
        <f>(C13+D13)-E13</f>
        <v>1063510</v>
      </c>
      <c r="G13" s="844">
        <v>5</v>
      </c>
      <c r="H13" s="766">
        <v>872764</v>
      </c>
      <c r="I13" s="766">
        <v>41209</v>
      </c>
      <c r="J13" s="766"/>
      <c r="K13" s="1791">
        <f>(H13+I13)-J13</f>
        <v>913973</v>
      </c>
      <c r="L13" s="1791">
        <f>F13-K13</f>
        <v>149537</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54474731</v>
      </c>
      <c r="D16" s="1782">
        <f>SUM(D3,D5:D6,D8:D10,D12:D15)</f>
        <v>924164</v>
      </c>
      <c r="E16" s="1782">
        <f>SUM(E3,E5:E6,E8:E10,E12:E15)</f>
        <v>0</v>
      </c>
      <c r="F16" s="1782">
        <f>SUM(F3,F5:F6,F8:F10,F12:F15)</f>
        <v>55398895</v>
      </c>
      <c r="G16" s="844"/>
      <c r="H16" s="1782">
        <f>SUM(H3,H6,H8:H10,H12:H14,)</f>
        <v>19463976</v>
      </c>
      <c r="I16" s="1782">
        <f>SUM(I3,I6,I8:I10,I12:I14,)</f>
        <v>1320994</v>
      </c>
      <c r="J16" s="1782">
        <f>SUM(J3,J6,J8:J10,J12:J14,)</f>
        <v>0</v>
      </c>
      <c r="K16" s="1782">
        <f>(H16+I16)-J16</f>
        <v>20784970</v>
      </c>
      <c r="L16" s="1782">
        <f>F16-K16</f>
        <v>34613925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481687</v>
      </c>
      <c r="G17" s="838">
        <v>10</v>
      </c>
      <c r="H17" s="770"/>
      <c r="I17" s="1791">
        <f>F17/G17</f>
        <v>48168.7</v>
      </c>
      <c r="J17" s="770"/>
      <c r="K17" s="796"/>
      <c r="L17" s="796"/>
    </row>
    <row r="18" spans="1:12" ht="14.25" thickTop="1" thickBot="1" x14ac:dyDescent="0.25">
      <c r="A18" s="1789" t="s">
        <v>706</v>
      </c>
      <c r="B18" s="1790"/>
      <c r="C18" s="772"/>
      <c r="D18" s="772"/>
      <c r="E18" s="772"/>
      <c r="F18" s="851"/>
      <c r="G18" s="852"/>
      <c r="H18" s="774"/>
      <c r="I18" s="1782">
        <f>SUM(I16,I17)</f>
        <v>1369162.7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6"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1699</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37871306</v>
      </c>
      <c r="G8" s="866"/>
    </row>
    <row r="9" spans="1:7" x14ac:dyDescent="0.2">
      <c r="A9" s="870" t="s">
        <v>480</v>
      </c>
      <c r="B9" s="871" t="s">
        <v>1989</v>
      </c>
      <c r="C9" s="872"/>
      <c r="D9" s="870" t="s">
        <v>522</v>
      </c>
      <c r="E9" s="869"/>
      <c r="F9" s="1934">
        <f>'Expenditures 15-22'!K151</f>
        <v>3526468</v>
      </c>
      <c r="G9" s="873"/>
    </row>
    <row r="10" spans="1:7" x14ac:dyDescent="0.2">
      <c r="A10" s="870" t="s">
        <v>520</v>
      </c>
      <c r="B10" s="871" t="s">
        <v>1990</v>
      </c>
      <c r="C10" s="872"/>
      <c r="D10" s="870" t="s">
        <v>522</v>
      </c>
      <c r="E10" s="869"/>
      <c r="F10" s="1934">
        <f>'Expenditures 15-22'!K174</f>
        <v>10923449</v>
      </c>
      <c r="G10" s="873"/>
    </row>
    <row r="11" spans="1:7" x14ac:dyDescent="0.2">
      <c r="A11" s="870" t="s">
        <v>481</v>
      </c>
      <c r="B11" s="871" t="s">
        <v>1991</v>
      </c>
      <c r="C11" s="872"/>
      <c r="D11" s="870" t="s">
        <v>522</v>
      </c>
      <c r="E11" s="869"/>
      <c r="F11" s="1934">
        <f>'Expenditures 15-22'!K210</f>
        <v>2454511</v>
      </c>
      <c r="G11" s="873"/>
    </row>
    <row r="12" spans="1:7" x14ac:dyDescent="0.2">
      <c r="A12" s="870" t="s">
        <v>482</v>
      </c>
      <c r="B12" s="871" t="s">
        <v>1992</v>
      </c>
      <c r="C12" s="872"/>
      <c r="D12" s="870" t="s">
        <v>522</v>
      </c>
      <c r="E12" s="869"/>
      <c r="F12" s="1934">
        <f>'Expenditures 15-22'!K295</f>
        <v>1313813</v>
      </c>
      <c r="G12" s="873"/>
    </row>
    <row r="13" spans="1:7" x14ac:dyDescent="0.2">
      <c r="A13" s="870" t="s">
        <v>108</v>
      </c>
      <c r="B13" s="871" t="s">
        <v>1993</v>
      </c>
      <c r="C13" s="872"/>
      <c r="D13" s="870" t="s">
        <v>522</v>
      </c>
      <c r="E13" s="869"/>
      <c r="F13" s="1934">
        <f>'Expenditures 15-22'!K342</f>
        <v>367676</v>
      </c>
      <c r="G13" s="874"/>
    </row>
    <row r="14" spans="1:7" ht="12" customHeight="1" thickBot="1" x14ac:dyDescent="0.25">
      <c r="A14" s="1792"/>
      <c r="B14" s="1793"/>
      <c r="C14" s="1794"/>
      <c r="D14" s="1795" t="s">
        <v>522</v>
      </c>
      <c r="E14" s="1796" t="s">
        <v>1015</v>
      </c>
      <c r="F14" s="1797">
        <f>SUM(F8:F13)</f>
        <v>56457223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18053</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280591</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365818</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93833</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518257</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138700</v>
      </c>
      <c r="G52" s="866"/>
    </row>
    <row r="53" spans="1:7" x14ac:dyDescent="0.2">
      <c r="A53" s="870" t="s">
        <v>479</v>
      </c>
      <c r="B53" s="870" t="s">
        <v>1551</v>
      </c>
      <c r="C53" s="890">
        <f>'Expenditures 15-22'!B102</f>
        <v>4000</v>
      </c>
      <c r="D53" s="889" t="str">
        <f>'Expenditures 15-22'!A102</f>
        <v>Total Payments to Other Govt Units</v>
      </c>
      <c r="E53" s="869"/>
      <c r="F53" s="1938">
        <f>'Expenditures 15-22'!K102</f>
        <v>1621041</v>
      </c>
      <c r="G53" s="866"/>
    </row>
    <row r="54" spans="1:7" x14ac:dyDescent="0.2">
      <c r="A54" s="870" t="s">
        <v>479</v>
      </c>
      <c r="B54" s="870" t="s">
        <v>1552</v>
      </c>
      <c r="C54" s="890" t="s">
        <v>1039</v>
      </c>
      <c r="D54" s="886" t="s">
        <v>1157</v>
      </c>
      <c r="E54" s="869"/>
      <c r="F54" s="1938">
        <f>'Expenditures 15-22'!G114</f>
        <v>130500</v>
      </c>
      <c r="G54" s="866"/>
    </row>
    <row r="55" spans="1:7" x14ac:dyDescent="0.2">
      <c r="A55" s="870" t="s">
        <v>479</v>
      </c>
      <c r="B55" s="870" t="s">
        <v>1553</v>
      </c>
      <c r="C55" s="890" t="s">
        <v>1039</v>
      </c>
      <c r="D55" s="886" t="s">
        <v>309</v>
      </c>
      <c r="E55" s="869"/>
      <c r="F55" s="1938">
        <f>'Expenditures 15-22'!I114</f>
        <v>273973</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0</v>
      </c>
      <c r="G57" s="866"/>
    </row>
    <row r="58" spans="1:7" x14ac:dyDescent="0.2">
      <c r="A58" s="870" t="s">
        <v>480</v>
      </c>
      <c r="B58" s="870" t="s">
        <v>1995</v>
      </c>
      <c r="C58" s="887" t="s">
        <v>1039</v>
      </c>
      <c r="D58" s="886" t="s">
        <v>1157</v>
      </c>
      <c r="E58" s="869"/>
      <c r="F58" s="1940">
        <f>'Expenditures 15-22'!G151</f>
        <v>51084</v>
      </c>
      <c r="G58" s="866"/>
    </row>
    <row r="59" spans="1:7" x14ac:dyDescent="0.2">
      <c r="A59" s="894" t="s">
        <v>480</v>
      </c>
      <c r="B59" s="857" t="s">
        <v>1996</v>
      </c>
      <c r="C59" s="895" t="s">
        <v>1039</v>
      </c>
      <c r="D59" s="857" t="s">
        <v>309</v>
      </c>
      <c r="F59" s="1941">
        <f>'Expenditures 15-22'!I151</f>
        <v>207714</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1550000</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78479</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14142</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16029</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7977</v>
      </c>
      <c r="G71" s="866"/>
    </row>
    <row r="72" spans="1:8" x14ac:dyDescent="0.2">
      <c r="A72" s="870" t="s">
        <v>482</v>
      </c>
      <c r="B72" s="870" t="s">
        <v>2008</v>
      </c>
      <c r="C72" s="887">
        <f>'Expenditures 15-22'!B280</f>
        <v>3000</v>
      </c>
      <c r="D72" s="877" t="s">
        <v>469</v>
      </c>
      <c r="E72" s="869"/>
      <c r="F72" s="1938">
        <f>'Expenditures 15-22'!K280</f>
        <v>6061</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5372252</v>
      </c>
      <c r="G76" s="866"/>
    </row>
    <row r="77" spans="1:8" s="894" customFormat="1" ht="12" customHeight="1" thickTop="1" thickBot="1" x14ac:dyDescent="0.25">
      <c r="A77" s="1801"/>
      <c r="B77" s="1798"/>
      <c r="C77" s="1794"/>
      <c r="D77" s="1799" t="s">
        <v>2012</v>
      </c>
      <c r="E77" s="1796"/>
      <c r="F77" s="1802">
        <f>(F14-F76)</f>
        <v>51084971</v>
      </c>
      <c r="G77" s="870"/>
    </row>
    <row r="78" spans="1:8" s="894" customFormat="1" ht="12" customHeight="1" thickTop="1" x14ac:dyDescent="0.2">
      <c r="A78" s="1803"/>
      <c r="B78" s="1798"/>
      <c r="C78" s="1794"/>
      <c r="D78" s="1799" t="s">
        <v>2059</v>
      </c>
      <c r="E78" s="1796"/>
      <c r="F78" s="899">
        <v>3080.39</v>
      </c>
      <c r="G78" s="900"/>
      <c r="H78" s="870"/>
    </row>
    <row r="79" spans="1:8" s="894" customFormat="1" ht="12" customHeight="1" thickBot="1" x14ac:dyDescent="0.25">
      <c r="A79" s="1804"/>
      <c r="B79" s="1798"/>
      <c r="C79" s="1794"/>
      <c r="D79" s="1799" t="s">
        <v>2013</v>
      </c>
      <c r="E79" s="1796" t="s">
        <v>1015</v>
      </c>
      <c r="F79" s="1805">
        <f>IF(F78&gt;0,F77/F78," Complete Line 78")</f>
        <v>16583.929632286821</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12177</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269527</v>
      </c>
      <c r="G94" s="913"/>
    </row>
    <row r="95" spans="1:7" x14ac:dyDescent="0.2">
      <c r="A95" s="909" t="s">
        <v>142</v>
      </c>
      <c r="B95" s="909" t="s">
        <v>177</v>
      </c>
      <c r="C95" s="911">
        <v>1700</v>
      </c>
      <c r="D95" s="919" t="str">
        <f>'Revenues 9-14'!A82</f>
        <v>Total District/School Activity Income</v>
      </c>
      <c r="E95" s="907"/>
      <c r="F95" s="1811">
        <f>SUM('Revenues 9-14'!C82,'Revenues 9-14'!D82)</f>
        <v>115750</v>
      </c>
      <c r="G95" s="913"/>
    </row>
    <row r="96" spans="1:7" x14ac:dyDescent="0.2">
      <c r="A96" s="909" t="s">
        <v>479</v>
      </c>
      <c r="B96" s="909" t="s">
        <v>178</v>
      </c>
      <c r="C96" s="911">
        <f>'Revenues 9-14'!B84</f>
        <v>1811</v>
      </c>
      <c r="D96" s="912" t="str">
        <f>'Revenues 9-14'!A84</f>
        <v>Rentals - Regular Textbooks</v>
      </c>
      <c r="E96" s="907"/>
      <c r="F96" s="1811">
        <f>'Revenues 9-14'!C84</f>
        <v>132081</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1260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98316</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260650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288458</v>
      </c>
      <c r="G107" s="913"/>
    </row>
    <row r="108" spans="1:7" x14ac:dyDescent="0.2">
      <c r="A108" s="909" t="s">
        <v>479</v>
      </c>
      <c r="B108" s="909" t="s">
        <v>844</v>
      </c>
      <c r="C108" s="921">
        <f>'Revenues 9-14'!B145</f>
        <v>3360</v>
      </c>
      <c r="D108" s="912" t="str">
        <f>'Revenues 9-14'!A145</f>
        <v>State Free Lunch &amp; Breakfast</v>
      </c>
      <c r="E108" s="907"/>
      <c r="F108" s="1811">
        <f>'Revenues 9-14'!C145</f>
        <v>11098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1551872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4673</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744230</v>
      </c>
      <c r="G129" s="931"/>
    </row>
    <row r="130" spans="1:7" x14ac:dyDescent="0.2">
      <c r="A130" s="928" t="s">
        <v>689</v>
      </c>
      <c r="B130" s="928" t="s">
        <v>804</v>
      </c>
      <c r="C130" s="933">
        <v>4300</v>
      </c>
      <c r="D130" s="934" t="str">
        <f>'Revenues 9-14'!A211</f>
        <v>Total Title I</v>
      </c>
      <c r="E130" s="907"/>
      <c r="F130" s="1811">
        <f>SUM('Revenues 9-14'!C211,'Revenues 9-14'!D211,'Revenues 9-14'!F211,'Revenues 9-14'!G211)</f>
        <v>796470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852105</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40408</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8119</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144574</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128326</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101648</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479591</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2058</v>
      </c>
      <c r="C175" s="1945">
        <v>3100</v>
      </c>
      <c r="D175" s="1946" t="s">
        <v>2061</v>
      </c>
      <c r="E175" s="907"/>
      <c r="F175" s="1930"/>
      <c r="G175" s="928"/>
    </row>
    <row r="176" spans="1:7" x14ac:dyDescent="0.2">
      <c r="A176" s="1943" t="s">
        <v>685</v>
      </c>
      <c r="B176" s="1944" t="s">
        <v>2058</v>
      </c>
      <c r="C176" s="1945">
        <v>3300</v>
      </c>
      <c r="D176" s="1946" t="s">
        <v>2062</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6041333</v>
      </c>
    </row>
    <row r="179" spans="1:7" ht="12" customHeight="1" x14ac:dyDescent="0.2">
      <c r="A179" s="1792"/>
      <c r="B179" s="1806"/>
      <c r="C179" s="1807"/>
      <c r="D179" s="1808" t="s">
        <v>2015</v>
      </c>
      <c r="E179" s="1809"/>
      <c r="F179" s="1811">
        <f>'PCTC-OEPP 27-28'!F77-F178</f>
        <v>45043638</v>
      </c>
    </row>
    <row r="180" spans="1:7" ht="12" customHeight="1" x14ac:dyDescent="0.2">
      <c r="A180" s="1792"/>
      <c r="B180" s="1806"/>
      <c r="C180" s="1807"/>
      <c r="D180" s="1808" t="s">
        <v>1924</v>
      </c>
      <c r="E180" s="1809"/>
      <c r="F180" s="1811">
        <f>'Cap Outlay Deprec 26'!I18</f>
        <v>1369162.7</v>
      </c>
    </row>
    <row r="181" spans="1:7" ht="12" customHeight="1" x14ac:dyDescent="0.2">
      <c r="A181" s="1792"/>
      <c r="B181" s="1806"/>
      <c r="C181" s="1807"/>
      <c r="D181" s="1808" t="s">
        <v>2016</v>
      </c>
      <c r="E181" s="1809"/>
      <c r="F181" s="1811">
        <f>F179+F180</f>
        <v>46412800.700000003</v>
      </c>
    </row>
    <row r="182" spans="1:7" ht="12" customHeight="1" x14ac:dyDescent="0.2">
      <c r="A182" s="1792"/>
      <c r="B182" s="1812"/>
      <c r="C182" s="1807"/>
      <c r="D182" s="1808" t="str">
        <f>D78</f>
        <v>9 Month ADA from District Average Daily Attendance/Prior General State Aid Inquiry 2017-2018</v>
      </c>
      <c r="E182" s="1809"/>
      <c r="F182" s="1813">
        <f>'PCTC-OEPP 27-28'!F78</f>
        <v>3080.39</v>
      </c>
      <c r="G182" s="931"/>
    </row>
    <row r="183" spans="1:7" ht="12" customHeight="1" thickBot="1" x14ac:dyDescent="0.25">
      <c r="A183" s="1792"/>
      <c r="B183" s="1812"/>
      <c r="C183" s="1807"/>
      <c r="D183" s="1808" t="s">
        <v>2017</v>
      </c>
      <c r="E183" s="1809" t="s">
        <v>1626</v>
      </c>
      <c r="F183" s="1814">
        <f>F181/F182</f>
        <v>15067.18327874068</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7" workbookViewId="0">
      <selection activeCell="B42" sqref="B42"/>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0" t="s">
        <v>1925</v>
      </c>
      <c r="B4" s="2291"/>
      <c r="C4" s="2291"/>
      <c r="D4" s="2291"/>
      <c r="E4" s="2291"/>
      <c r="F4" s="2291"/>
      <c r="G4" s="2292"/>
    </row>
    <row r="5" spans="1:7" x14ac:dyDescent="0.25">
      <c r="A5" s="2293"/>
      <c r="B5" s="2294"/>
      <c r="C5" s="2294"/>
      <c r="D5" s="2294"/>
      <c r="E5" s="2294"/>
      <c r="F5" s="2294"/>
      <c r="G5" s="2295"/>
    </row>
    <row r="6" spans="1:7" ht="18.75" x14ac:dyDescent="0.25">
      <c r="A6" s="1556" t="s">
        <v>1926</v>
      </c>
      <c r="B6" s="1557"/>
      <c r="C6" s="1557"/>
      <c r="D6" s="1557"/>
      <c r="E6" s="1557"/>
      <c r="F6" s="1557"/>
      <c r="G6" s="1558"/>
    </row>
    <row r="7" spans="1:7" ht="30.75" customHeight="1" x14ac:dyDescent="0.25">
      <c r="A7" s="2296" t="s">
        <v>2075</v>
      </c>
      <c r="B7" s="2297"/>
      <c r="C7" s="2297"/>
      <c r="D7" s="2297"/>
      <c r="E7" s="2297"/>
      <c r="F7" s="2297"/>
      <c r="G7" s="2298"/>
    </row>
    <row r="8" spans="1:7" ht="15.75" customHeight="1" x14ac:dyDescent="0.25">
      <c r="A8" s="2299" t="s">
        <v>2024</v>
      </c>
      <c r="B8" s="2300"/>
      <c r="C8" s="2300"/>
      <c r="D8" s="2300"/>
      <c r="E8" s="2300"/>
      <c r="F8" s="2300"/>
      <c r="G8" s="2301"/>
    </row>
    <row r="9" spans="1:7" ht="35.25" customHeight="1" x14ac:dyDescent="0.25">
      <c r="A9" s="2296" t="s">
        <v>2023</v>
      </c>
      <c r="B9" s="2297"/>
      <c r="C9" s="2297"/>
      <c r="D9" s="2297"/>
      <c r="E9" s="2297"/>
      <c r="F9" s="2297"/>
      <c r="G9" s="2298"/>
    </row>
    <row r="10" spans="1:7" ht="15" customHeight="1" x14ac:dyDescent="0.25">
      <c r="A10" s="1559" t="s">
        <v>1927</v>
      </c>
      <c r="B10" s="1560"/>
      <c r="C10" s="1560"/>
      <c r="D10" s="1560"/>
      <c r="E10" s="1560"/>
      <c r="F10" s="1560"/>
      <c r="G10" s="1561"/>
    </row>
    <row r="11" spans="1:7" ht="17.25" customHeight="1" x14ac:dyDescent="0.25">
      <c r="A11" s="2296" t="s">
        <v>1941</v>
      </c>
      <c r="B11" s="2297"/>
      <c r="C11" s="2297"/>
      <c r="D11" s="2297"/>
      <c r="E11" s="2297"/>
      <c r="F11" s="2297"/>
      <c r="G11" s="2298"/>
    </row>
    <row r="12" spans="1:7" ht="15" customHeight="1" x14ac:dyDescent="0.25">
      <c r="A12" s="1559" t="s">
        <v>1932</v>
      </c>
      <c r="B12" s="1560"/>
      <c r="C12" s="1560"/>
      <c r="D12" s="1560"/>
      <c r="E12" s="1560"/>
      <c r="F12" s="1560"/>
      <c r="G12" s="1561"/>
    </row>
    <row r="13" spans="1:7" ht="32.25" customHeight="1" x14ac:dyDescent="0.25">
      <c r="A13" s="2287" t="s">
        <v>1933</v>
      </c>
      <c r="B13" s="2288"/>
      <c r="C13" s="2288"/>
      <c r="D13" s="2288"/>
      <c r="E13" s="2288"/>
      <c r="F13" s="2288"/>
      <c r="G13" s="2289"/>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t="s">
        <v>2149</v>
      </c>
      <c r="B17" s="1959" t="s">
        <v>2184</v>
      </c>
      <c r="C17" s="1678" t="s">
        <v>2158</v>
      </c>
      <c r="D17" s="1867">
        <v>37514</v>
      </c>
      <c r="E17" s="1562">
        <f t="shared" ref="E17:E141" si="1">IF(D17&lt;=25000,D17,IF(D17&gt;25000,25000,0))</f>
        <v>25000</v>
      </c>
      <c r="F17" s="1815">
        <f t="shared" si="0"/>
        <v>25000</v>
      </c>
      <c r="G17" s="1816">
        <f>IF(F17=0,0,D17-F17)</f>
        <v>12514</v>
      </c>
      <c r="H17" s="1669"/>
    </row>
    <row r="18" spans="1:8" x14ac:dyDescent="0.25">
      <c r="A18" s="1675" t="s">
        <v>2149</v>
      </c>
      <c r="B18" s="1959" t="s">
        <v>2184</v>
      </c>
      <c r="C18" s="1678" t="s">
        <v>2159</v>
      </c>
      <c r="D18" s="1867">
        <v>240650</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215650</v>
      </c>
    </row>
    <row r="19" spans="1:8" x14ac:dyDescent="0.25">
      <c r="A19" s="1675" t="s">
        <v>2149</v>
      </c>
      <c r="B19" s="1959" t="s">
        <v>2184</v>
      </c>
      <c r="C19" s="1678" t="s">
        <v>2160</v>
      </c>
      <c r="D19" s="1867">
        <v>30420</v>
      </c>
      <c r="E19" s="1562">
        <f t="shared" si="2"/>
        <v>25000</v>
      </c>
      <c r="F19" s="1815">
        <f t="shared" si="3"/>
        <v>25000</v>
      </c>
      <c r="G19" s="1816">
        <f t="shared" si="4"/>
        <v>5420</v>
      </c>
    </row>
    <row r="20" spans="1:8" x14ac:dyDescent="0.25">
      <c r="A20" s="1675" t="s">
        <v>2149</v>
      </c>
      <c r="B20" s="1959" t="s">
        <v>2184</v>
      </c>
      <c r="C20" s="1678" t="s">
        <v>2161</v>
      </c>
      <c r="D20" s="1867">
        <v>40098</v>
      </c>
      <c r="E20" s="1562">
        <f t="shared" si="2"/>
        <v>25000</v>
      </c>
      <c r="F20" s="1815">
        <f t="shared" si="3"/>
        <v>25000</v>
      </c>
      <c r="G20" s="1816">
        <f t="shared" si="4"/>
        <v>15098</v>
      </c>
    </row>
    <row r="21" spans="1:8" x14ac:dyDescent="0.25">
      <c r="A21" s="1675" t="s">
        <v>2149</v>
      </c>
      <c r="B21" s="1959" t="s">
        <v>2184</v>
      </c>
      <c r="C21" s="1678" t="s">
        <v>2162</v>
      </c>
      <c r="D21" s="1867">
        <v>42780</v>
      </c>
      <c r="E21" s="1562">
        <f t="shared" si="2"/>
        <v>25000</v>
      </c>
      <c r="F21" s="1815">
        <f t="shared" si="3"/>
        <v>25000</v>
      </c>
      <c r="G21" s="1816">
        <f t="shared" si="4"/>
        <v>17780</v>
      </c>
    </row>
    <row r="22" spans="1:8" x14ac:dyDescent="0.25">
      <c r="A22" s="1675" t="s">
        <v>2150</v>
      </c>
      <c r="B22" s="1959" t="s">
        <v>2185</v>
      </c>
      <c r="C22" s="1678" t="s">
        <v>2163</v>
      </c>
      <c r="D22" s="1867">
        <v>29235</v>
      </c>
      <c r="E22" s="1562">
        <f t="shared" si="2"/>
        <v>25000</v>
      </c>
      <c r="F22" s="1815">
        <f t="shared" si="3"/>
        <v>25000</v>
      </c>
      <c r="G22" s="1816">
        <f t="shared" si="4"/>
        <v>4235</v>
      </c>
    </row>
    <row r="23" spans="1:8" x14ac:dyDescent="0.25">
      <c r="A23" s="1675" t="s">
        <v>2150</v>
      </c>
      <c r="B23" s="1959" t="s">
        <v>2185</v>
      </c>
      <c r="C23" s="1678" t="s">
        <v>2164</v>
      </c>
      <c r="D23" s="1867">
        <v>68591</v>
      </c>
      <c r="E23" s="1562">
        <f t="shared" si="2"/>
        <v>25000</v>
      </c>
      <c r="F23" s="1815">
        <f t="shared" si="3"/>
        <v>25000</v>
      </c>
      <c r="G23" s="1816">
        <f t="shared" si="4"/>
        <v>43591</v>
      </c>
    </row>
    <row r="24" spans="1:8" x14ac:dyDescent="0.25">
      <c r="A24" s="1675" t="s">
        <v>2150</v>
      </c>
      <c r="B24" s="1959" t="s">
        <v>2185</v>
      </c>
      <c r="C24" s="1678" t="s">
        <v>2146</v>
      </c>
      <c r="D24" s="1867">
        <v>1669373</v>
      </c>
      <c r="E24" s="1562">
        <f t="shared" si="2"/>
        <v>25000</v>
      </c>
      <c r="F24" s="1815">
        <f t="shared" si="3"/>
        <v>25000</v>
      </c>
      <c r="G24" s="1816">
        <f t="shared" si="4"/>
        <v>1644373</v>
      </c>
    </row>
    <row r="25" spans="1:8" x14ac:dyDescent="0.25">
      <c r="A25" s="1675" t="s">
        <v>2150</v>
      </c>
      <c r="B25" s="1959" t="s">
        <v>2186</v>
      </c>
      <c r="C25" s="1678" t="s">
        <v>2165</v>
      </c>
      <c r="D25" s="1867">
        <v>76067</v>
      </c>
      <c r="E25" s="1562">
        <f t="shared" si="2"/>
        <v>25000</v>
      </c>
      <c r="F25" s="1815">
        <f t="shared" si="3"/>
        <v>25000</v>
      </c>
      <c r="G25" s="1816">
        <f t="shared" si="4"/>
        <v>51067</v>
      </c>
    </row>
    <row r="26" spans="1:8" x14ac:dyDescent="0.25">
      <c r="A26" s="1675" t="s">
        <v>2151</v>
      </c>
      <c r="B26" s="1959" t="s">
        <v>2187</v>
      </c>
      <c r="C26" s="1676" t="s">
        <v>2166</v>
      </c>
      <c r="D26" s="1867">
        <v>758727</v>
      </c>
      <c r="E26" s="1562">
        <f t="shared" si="2"/>
        <v>25000</v>
      </c>
      <c r="F26" s="1815">
        <f t="shared" si="3"/>
        <v>25000</v>
      </c>
      <c r="G26" s="1816">
        <f t="shared" si="4"/>
        <v>733727</v>
      </c>
    </row>
    <row r="27" spans="1:8" x14ac:dyDescent="0.25">
      <c r="A27" s="1675" t="s">
        <v>2152</v>
      </c>
      <c r="B27" s="1959" t="s">
        <v>2187</v>
      </c>
      <c r="C27" s="1676" t="s">
        <v>2167</v>
      </c>
      <c r="D27" s="1867">
        <v>38407</v>
      </c>
      <c r="E27" s="1562">
        <f t="shared" si="2"/>
        <v>25000</v>
      </c>
      <c r="F27" s="1815">
        <f t="shared" si="3"/>
        <v>25000</v>
      </c>
      <c r="G27" s="1816">
        <f t="shared" si="4"/>
        <v>13407</v>
      </c>
    </row>
    <row r="28" spans="1:8" x14ac:dyDescent="0.25">
      <c r="A28" s="1675" t="s">
        <v>2152</v>
      </c>
      <c r="B28" s="1868" t="s">
        <v>2157</v>
      </c>
      <c r="C28" s="1676" t="s">
        <v>2168</v>
      </c>
      <c r="D28" s="1867">
        <v>99601</v>
      </c>
      <c r="E28" s="1562">
        <f t="shared" si="2"/>
        <v>25000</v>
      </c>
      <c r="F28" s="1815">
        <f t="shared" si="3"/>
        <v>0</v>
      </c>
      <c r="G28" s="1816">
        <f t="shared" si="4"/>
        <v>0</v>
      </c>
    </row>
    <row r="29" spans="1:8" x14ac:dyDescent="0.25">
      <c r="A29" s="1675" t="s">
        <v>2150</v>
      </c>
      <c r="B29" s="1959" t="s">
        <v>2188</v>
      </c>
      <c r="C29" s="1676" t="s">
        <v>2169</v>
      </c>
      <c r="D29" s="1867">
        <v>91607</v>
      </c>
      <c r="E29" s="1562">
        <f t="shared" si="2"/>
        <v>25000</v>
      </c>
      <c r="F29" s="1815">
        <f t="shared" si="3"/>
        <v>25000</v>
      </c>
      <c r="G29" s="1816">
        <f t="shared" si="4"/>
        <v>66607</v>
      </c>
    </row>
    <row r="30" spans="1:8" x14ac:dyDescent="0.25">
      <c r="A30" s="1675" t="s">
        <v>2150</v>
      </c>
      <c r="B30" s="1959" t="s">
        <v>2188</v>
      </c>
      <c r="C30" s="1676" t="s">
        <v>2170</v>
      </c>
      <c r="D30" s="1867">
        <v>129510</v>
      </c>
      <c r="E30" s="1562">
        <f t="shared" si="2"/>
        <v>25000</v>
      </c>
      <c r="F30" s="1815">
        <f t="shared" si="3"/>
        <v>25000</v>
      </c>
      <c r="G30" s="1816">
        <f t="shared" si="4"/>
        <v>104510</v>
      </c>
    </row>
    <row r="31" spans="1:8" x14ac:dyDescent="0.25">
      <c r="A31" s="1675" t="s">
        <v>2150</v>
      </c>
      <c r="B31" s="1959" t="s">
        <v>2188</v>
      </c>
      <c r="C31" s="1676" t="s">
        <v>2171</v>
      </c>
      <c r="D31" s="1867">
        <v>26231</v>
      </c>
      <c r="E31" s="1562">
        <f t="shared" si="2"/>
        <v>25000</v>
      </c>
      <c r="F31" s="1815">
        <f t="shared" si="3"/>
        <v>25000</v>
      </c>
      <c r="G31" s="1816">
        <f t="shared" si="4"/>
        <v>1231</v>
      </c>
    </row>
    <row r="32" spans="1:8" x14ac:dyDescent="0.25">
      <c r="A32" s="1675" t="s">
        <v>2150</v>
      </c>
      <c r="B32" s="1959" t="s">
        <v>2189</v>
      </c>
      <c r="C32" s="1676" t="s">
        <v>2172</v>
      </c>
      <c r="D32" s="1867">
        <v>80190</v>
      </c>
      <c r="E32" s="1562">
        <f t="shared" si="2"/>
        <v>25000</v>
      </c>
      <c r="F32" s="1815">
        <f t="shared" si="3"/>
        <v>25000</v>
      </c>
      <c r="G32" s="1816">
        <f t="shared" si="4"/>
        <v>55190</v>
      </c>
    </row>
    <row r="33" spans="1:7" x14ac:dyDescent="0.25">
      <c r="A33" s="1675" t="s">
        <v>2150</v>
      </c>
      <c r="B33" s="1959" t="s">
        <v>2190</v>
      </c>
      <c r="C33" s="1676" t="s">
        <v>2173</v>
      </c>
      <c r="D33" s="1867">
        <v>117864</v>
      </c>
      <c r="E33" s="1562">
        <f t="shared" si="2"/>
        <v>25000</v>
      </c>
      <c r="F33" s="1815">
        <f t="shared" si="3"/>
        <v>0</v>
      </c>
      <c r="G33" s="1816">
        <f t="shared" si="4"/>
        <v>0</v>
      </c>
    </row>
    <row r="34" spans="1:7" x14ac:dyDescent="0.25">
      <c r="A34" s="1675" t="s">
        <v>2153</v>
      </c>
      <c r="B34" s="1959" t="s">
        <v>2191</v>
      </c>
      <c r="C34" s="1676" t="s">
        <v>2174</v>
      </c>
      <c r="D34" s="1867">
        <v>45768</v>
      </c>
      <c r="E34" s="1562">
        <f t="shared" si="2"/>
        <v>25000</v>
      </c>
      <c r="F34" s="1815">
        <f t="shared" si="3"/>
        <v>25000</v>
      </c>
      <c r="G34" s="1816">
        <f t="shared" si="4"/>
        <v>20768</v>
      </c>
    </row>
    <row r="35" spans="1:7" x14ac:dyDescent="0.25">
      <c r="A35" s="1675" t="s">
        <v>2153</v>
      </c>
      <c r="B35" s="1959" t="s">
        <v>2191</v>
      </c>
      <c r="C35" s="1676" t="s">
        <v>2175</v>
      </c>
      <c r="D35" s="1867">
        <v>41096</v>
      </c>
      <c r="E35" s="1562">
        <f t="shared" si="2"/>
        <v>25000</v>
      </c>
      <c r="F35" s="1815">
        <f t="shared" si="3"/>
        <v>25000</v>
      </c>
      <c r="G35" s="1816">
        <f t="shared" si="4"/>
        <v>16096</v>
      </c>
    </row>
    <row r="36" spans="1:7" x14ac:dyDescent="0.25">
      <c r="A36" s="1675" t="s">
        <v>2153</v>
      </c>
      <c r="B36" s="1959" t="s">
        <v>2191</v>
      </c>
      <c r="C36" s="1676" t="s">
        <v>2176</v>
      </c>
      <c r="D36" s="1867">
        <v>134438</v>
      </c>
      <c r="E36" s="1562">
        <f t="shared" si="2"/>
        <v>25000</v>
      </c>
      <c r="F36" s="1815">
        <f t="shared" si="3"/>
        <v>25000</v>
      </c>
      <c r="G36" s="1816">
        <f t="shared" si="4"/>
        <v>109438</v>
      </c>
    </row>
    <row r="37" spans="1:7" x14ac:dyDescent="0.25">
      <c r="A37" s="1675" t="s">
        <v>2154</v>
      </c>
      <c r="B37" s="1959" t="s">
        <v>2192</v>
      </c>
      <c r="C37" s="1676" t="s">
        <v>2177</v>
      </c>
      <c r="D37" s="1867">
        <v>919827</v>
      </c>
      <c r="E37" s="1562">
        <f t="shared" si="2"/>
        <v>25000</v>
      </c>
      <c r="F37" s="1815">
        <f t="shared" si="3"/>
        <v>25000</v>
      </c>
      <c r="G37" s="1816">
        <f t="shared" si="4"/>
        <v>894827</v>
      </c>
    </row>
    <row r="38" spans="1:7" x14ac:dyDescent="0.25">
      <c r="A38" s="1675" t="s">
        <v>2154</v>
      </c>
      <c r="B38" s="1960" t="s">
        <v>2192</v>
      </c>
      <c r="C38" s="1676" t="s">
        <v>2178</v>
      </c>
      <c r="D38" s="1867">
        <v>126331</v>
      </c>
      <c r="E38" s="1562">
        <f t="shared" si="2"/>
        <v>25000</v>
      </c>
      <c r="F38" s="1815">
        <f t="shared" si="3"/>
        <v>25000</v>
      </c>
      <c r="G38" s="1816">
        <f t="shared" si="4"/>
        <v>101331</v>
      </c>
    </row>
    <row r="39" spans="1:7" x14ac:dyDescent="0.25">
      <c r="A39" s="1675" t="s">
        <v>2154</v>
      </c>
      <c r="B39" s="1960" t="s">
        <v>2192</v>
      </c>
      <c r="C39" s="1676" t="s">
        <v>2179</v>
      </c>
      <c r="D39" s="1867">
        <v>1124553.6000000001</v>
      </c>
      <c r="E39" s="1562">
        <f t="shared" si="2"/>
        <v>25000</v>
      </c>
      <c r="F39" s="1815">
        <f t="shared" si="3"/>
        <v>25000</v>
      </c>
      <c r="G39" s="1816">
        <f t="shared" si="4"/>
        <v>1099553.6000000001</v>
      </c>
    </row>
    <row r="40" spans="1:7" x14ac:dyDescent="0.25">
      <c r="A40" s="1675" t="s">
        <v>2154</v>
      </c>
      <c r="B40" s="1960" t="s">
        <v>2192</v>
      </c>
      <c r="C40" s="1676" t="s">
        <v>2180</v>
      </c>
      <c r="D40" s="1867">
        <v>48310</v>
      </c>
      <c r="E40" s="1562">
        <f t="shared" si="2"/>
        <v>25000</v>
      </c>
      <c r="F40" s="1815">
        <f t="shared" si="3"/>
        <v>25000</v>
      </c>
      <c r="G40" s="1816">
        <f t="shared" si="4"/>
        <v>23310</v>
      </c>
    </row>
    <row r="41" spans="1:7" x14ac:dyDescent="0.25">
      <c r="A41" s="1675" t="s">
        <v>2155</v>
      </c>
      <c r="B41" s="1960" t="s">
        <v>2193</v>
      </c>
      <c r="C41" s="1676" t="s">
        <v>2181</v>
      </c>
      <c r="D41" s="1867">
        <v>169059</v>
      </c>
      <c r="E41" s="1562">
        <f t="shared" si="2"/>
        <v>25000</v>
      </c>
      <c r="F41" s="1815">
        <f t="shared" si="3"/>
        <v>25000</v>
      </c>
      <c r="G41" s="1816">
        <f t="shared" si="4"/>
        <v>144059</v>
      </c>
    </row>
    <row r="42" spans="1:7" x14ac:dyDescent="0.25">
      <c r="A42" s="1675" t="s">
        <v>2156</v>
      </c>
      <c r="B42" s="1960" t="s">
        <v>2193</v>
      </c>
      <c r="C42" s="1676" t="s">
        <v>2182</v>
      </c>
      <c r="D42" s="1867">
        <v>26377.63</v>
      </c>
      <c r="E42" s="1562">
        <f t="shared" si="2"/>
        <v>25000</v>
      </c>
      <c r="F42" s="1815">
        <f t="shared" si="3"/>
        <v>25000</v>
      </c>
      <c r="G42" s="1816">
        <f t="shared" si="4"/>
        <v>1377.630000000001</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6212625.2299999995</v>
      </c>
      <c r="E141" s="1563">
        <f t="shared" si="1"/>
        <v>25000</v>
      </c>
      <c r="F141" s="1817">
        <f>SUM(F17:F140)</f>
        <v>600000</v>
      </c>
      <c r="G141" s="1818">
        <f>SUM(G17:G140)</f>
        <v>5395160.2299999995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5"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1778</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f>'Expenditures 15-22'!E63</f>
        <v>777089</v>
      </c>
      <c r="F10" s="975"/>
      <c r="G10" s="976"/>
      <c r="H10" s="162"/>
      <c r="I10" s="162"/>
    </row>
    <row r="11" spans="1:9" s="669" customFormat="1" ht="22.5" customHeight="1" x14ac:dyDescent="0.2">
      <c r="A11" s="2307" t="s">
        <v>1945</v>
      </c>
      <c r="B11" s="2308"/>
      <c r="C11" s="2308"/>
      <c r="D11" s="2309"/>
      <c r="E11" s="978">
        <v>90228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23984992</v>
      </c>
      <c r="F19" s="1822"/>
      <c r="G19" s="1824">
        <f>'Expenditures 15-22'!K33-SUM('Expenditures 15-22'!G33,'Expenditures 15-22'!I33)+'Expenditures 15-22'!D229</f>
        <v>23984992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3335575</v>
      </c>
      <c r="F21" s="1825"/>
      <c r="G21" s="1828">
        <f>'Expenditures 15-22'!K42-SUM('Expenditures 15-22'!G42,'Expenditures 15-22'!I42)+'Expenditures 15-22'!K120-SUM('Expenditures 15-22'!G120,'Expenditures 15-22'!I120)+'Expenditures 15-22'!K180-SUM('Expenditures 15-22'!G180,'Expenditures 15-22'!I180)+'Expenditures 15-22'!D238</f>
        <v>3335575</v>
      </c>
      <c r="H21" s="988"/>
      <c r="I21" s="162"/>
    </row>
    <row r="22" spans="1:9" s="669" customFormat="1" ht="12" customHeight="1" x14ac:dyDescent="0.2">
      <c r="A22" s="995" t="s">
        <v>585</v>
      </c>
      <c r="B22" s="996"/>
      <c r="C22" s="994">
        <v>2200</v>
      </c>
      <c r="D22" s="1825"/>
      <c r="E22" s="1827">
        <f>'Expenditures 15-22'!K47-SUM('Expenditures 15-22'!G47,'Expenditures 15-22'!I47)+'Expenditures 15-22'!D243</f>
        <v>2540670</v>
      </c>
      <c r="F22" s="1825"/>
      <c r="G22" s="1828">
        <f>'Expenditures 15-22'!K47-SUM('Expenditures 15-22'!G47,'Expenditures 15-22'!I47)+'Expenditures 15-22'!D243</f>
        <v>2540670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1152493</v>
      </c>
      <c r="F23" s="1825"/>
      <c r="G23" s="1827">
        <f>'Expenditures 15-22'!K53-SUM('Expenditures 15-22'!G53,'Expenditures 15-22'!I53)+'Expenditures 15-22'!D257+'Expenditures 15-22'!K330-SUM('Expenditures 15-22'!G330,'Expenditures 15-22'!I330)</f>
        <v>1152493</v>
      </c>
      <c r="H23" s="988"/>
      <c r="I23" s="162"/>
    </row>
    <row r="24" spans="1:9" s="669" customFormat="1" ht="12" customHeight="1" x14ac:dyDescent="0.2">
      <c r="A24" s="995" t="s">
        <v>587</v>
      </c>
      <c r="B24" s="996"/>
      <c r="C24" s="994">
        <v>2400</v>
      </c>
      <c r="D24" s="1825"/>
      <c r="E24" s="1827">
        <f>'Expenditures 15-22'!K57-SUM('Expenditures 15-22'!G57,'Expenditures 15-22'!I57)+'Expenditures 15-22'!D261</f>
        <v>2836818</v>
      </c>
      <c r="F24" s="1825"/>
      <c r="G24" s="1828">
        <f>'Expenditures 15-22'!K57-SUM('Expenditures 15-22'!G57,'Expenditures 15-22'!I57)+'Expenditures 15-22'!D261</f>
        <v>2836818</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665348</v>
      </c>
      <c r="E26" s="1827">
        <f>'Expenditures 15-22'!K122-SUM('Expenditures 15-22'!G122,'Expenditures 15-22'!I122)+E7</f>
        <v>0</v>
      </c>
      <c r="F26" s="1827">
        <f>'Expenditures 15-22'!K59-SUM('Expenditures 15-22'!G59,'Expenditures 15-22'!I59)+'Expenditures 15-22'!D263-E7</f>
        <v>665348</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3446320</v>
      </c>
      <c r="F28" s="1829">
        <f>'Expenditures 15-22'!K61-SUM('Expenditures 15-22'!G61,'Expenditures 15-22'!I61)+'Expenditures 15-22'!K124-SUM('Expenditures 15-22'!G124,'Expenditures 15-22'!I124)+'Expenditures 15-22'!D266-E9</f>
        <v>3446320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2381930</v>
      </c>
      <c r="F29" s="1825"/>
      <c r="G29" s="1828">
        <f>'Expenditures 15-22'!K62-SUM('Expenditures 15-22'!G62,'Expenditures 15-22'!I62)+'Expenditures 15-22'!K125-SUM('Expenditures 15-22'!G125,'Expenditures 15-22'!I125)+'Expenditures 15-22'!K182-SUM('Expenditures 15-22'!G182,'Expenditures 15-22'!I182)+'Expenditures 15-22'!D267</f>
        <v>2381930</v>
      </c>
      <c r="H29" s="986"/>
    </row>
    <row r="30" spans="1:9" ht="12" customHeight="1" x14ac:dyDescent="0.2">
      <c r="A30" s="995" t="s">
        <v>102</v>
      </c>
      <c r="B30" s="998"/>
      <c r="C30" s="994">
        <v>2560</v>
      </c>
      <c r="D30" s="1825"/>
      <c r="E30" s="1827">
        <f>'Expenditures 15-22'!K63-SUM('Expenditures 15-22'!G63,'Expenditures 15-22'!I63)+'Expenditures 15-22'!D268-E10</f>
        <v>249524</v>
      </c>
      <c r="F30" s="1825"/>
      <c r="G30" s="1827">
        <f>'Expenditures 15-22'!K63-SUM('Expenditures 15-22'!G63,'Expenditures 15-22'!I63)+'Expenditures 15-22'!D268-E10</f>
        <v>249524</v>
      </c>
    </row>
    <row r="31" spans="1:9" ht="12" customHeight="1" x14ac:dyDescent="0.2">
      <c r="A31" s="995" t="s">
        <v>103</v>
      </c>
      <c r="B31" s="998"/>
      <c r="C31" s="994">
        <v>2570</v>
      </c>
      <c r="D31" s="1827">
        <f>'Expenditures 15-22'!K64-SUM('Expenditures 15-22'!G64,'Expenditures 15-22'!I64)+'Expenditures 15-22'!D269-E12</f>
        <v>303892</v>
      </c>
      <c r="E31" s="1827">
        <f>E12</f>
        <v>0</v>
      </c>
      <c r="F31" s="1827">
        <f>'Expenditures 15-22'!K64-SUM('Expenditures 15-22'!G64,'Expenditures 15-22'!I64)+'Expenditures 15-22'!D269-E12</f>
        <v>303892</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80427</v>
      </c>
      <c r="F35" s="1825"/>
      <c r="G35" s="1827">
        <f>'Expenditures 15-22'!K69-SUM('Expenditures 15-22'!G69,'Expenditures 15-22'!I69)+'Expenditures 15-22'!D274</f>
        <v>80427</v>
      </c>
    </row>
    <row r="36" spans="1:7" ht="12" customHeight="1" x14ac:dyDescent="0.2">
      <c r="A36" s="995" t="s">
        <v>423</v>
      </c>
      <c r="B36" s="998"/>
      <c r="C36" s="994">
        <v>2640</v>
      </c>
      <c r="D36" s="1827">
        <f>'Expenditures 15-22'!K70-SUM('Expenditures 15-22'!G70,'Expenditures 15-22'!I70)+'Expenditures 15-22'!D275-E13</f>
        <v>270246</v>
      </c>
      <c r="E36" s="1827">
        <f>E13</f>
        <v>0</v>
      </c>
      <c r="F36" s="1827">
        <f>'Expenditures 15-22'!K70-SUM('Expenditures 15-22'!G70,'Expenditures 15-22'!I70)+'Expenditures 15-22'!D275-E13</f>
        <v>270246</v>
      </c>
      <c r="G36" s="1827">
        <f>E13</f>
        <v>0</v>
      </c>
    </row>
    <row r="37" spans="1:7" ht="12" customHeight="1" x14ac:dyDescent="0.2">
      <c r="A37" s="995" t="s">
        <v>424</v>
      </c>
      <c r="B37" s="998"/>
      <c r="C37" s="994">
        <v>2660</v>
      </c>
      <c r="D37" s="1827">
        <f>'Expenditures 15-22'!K71-SUM('Expenditures 15-22'!G71,'Expenditures 15-22'!I71)+'Expenditures 15-22'!D276-E14</f>
        <v>858513</v>
      </c>
      <c r="E37" s="1827">
        <f>E14</f>
        <v>0</v>
      </c>
      <c r="F37" s="1827">
        <f>'Expenditures 15-22'!K71-SUM('Expenditures 15-22'!G71,'Expenditures 15-22'!I71)+'Expenditures 15-22'!D276-E14</f>
        <v>858513</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144761</v>
      </c>
      <c r="F39" s="1825"/>
      <c r="G39" s="1827">
        <f>'Expenditures 15-22'!K75-SUM('Expenditures 15-22'!G75,'Expenditures 15-22'!I75)+'Expenditures 15-22'!K130-SUM('Expenditures 15-22'!G130,'Expenditures 15-22'!I130)+'Expenditures 15-22'!K185-SUM('Expenditures 15-22'!G185,'Expenditures 15-22'!I185)+'Expenditures 15-22'!D280</f>
        <v>144761</v>
      </c>
    </row>
    <row r="40" spans="1:7" ht="12" customHeight="1" x14ac:dyDescent="0.2">
      <c r="A40" s="991" t="s">
        <v>1930</v>
      </c>
      <c r="B40" s="992"/>
      <c r="C40" s="994"/>
      <c r="D40" s="1825"/>
      <c r="E40" s="1829">
        <f>-'Contracts Paid in CY 29'!G141</f>
        <v>-5395160.2299999995</v>
      </c>
      <c r="F40" s="1825"/>
      <c r="G40" s="1829">
        <f>-'Contracts Paid in CY 29'!G141</f>
        <v>-5395160.2299999995</v>
      </c>
    </row>
    <row r="41" spans="1:7" ht="12" customHeight="1" x14ac:dyDescent="0.2">
      <c r="A41" s="999" t="s">
        <v>158</v>
      </c>
      <c r="B41" s="1000"/>
      <c r="C41" s="1001"/>
      <c r="D41" s="1829">
        <f>SUM(D19:D39)</f>
        <v>2097999</v>
      </c>
      <c r="E41" s="1829">
        <f>SUM(E19:E40)</f>
        <v>34758349.770000003</v>
      </c>
      <c r="F41" s="1829">
        <f>SUM(F19:F39)</f>
        <v>5544319</v>
      </c>
      <c r="G41" s="1829">
        <f>SUM(G19:G40)</f>
        <v>31312029.77</v>
      </c>
    </row>
    <row r="42" spans="1:7" x14ac:dyDescent="0.2">
      <c r="A42" s="988"/>
      <c r="B42" s="162"/>
      <c r="C42" s="1002"/>
      <c r="D42" s="2305" t="s">
        <v>543</v>
      </c>
      <c r="E42" s="2306"/>
      <c r="F42" s="1003" t="s">
        <v>544</v>
      </c>
      <c r="G42" s="1004"/>
    </row>
    <row r="43" spans="1:7" ht="12" customHeight="1" x14ac:dyDescent="0.2">
      <c r="A43" s="988"/>
      <c r="B43" s="162"/>
      <c r="C43" s="1002"/>
      <c r="D43" s="1830" t="s">
        <v>493</v>
      </c>
      <c r="E43" s="1831">
        <f>D41</f>
        <v>2097999</v>
      </c>
      <c r="F43" s="1830" t="s">
        <v>495</v>
      </c>
      <c r="G43" s="1831">
        <f>F41</f>
        <v>5544319</v>
      </c>
    </row>
    <row r="44" spans="1:7" ht="12" customHeight="1" x14ac:dyDescent="0.2">
      <c r="A44" s="988"/>
      <c r="B44" s="162"/>
      <c r="C44" s="1002"/>
      <c r="D44" s="1830" t="s">
        <v>494</v>
      </c>
      <c r="E44" s="1831">
        <f>E41</f>
        <v>34758349.770000003</v>
      </c>
      <c r="F44" s="1830" t="s">
        <v>494</v>
      </c>
      <c r="G44" s="1831">
        <f>G41</f>
        <v>31312029.77</v>
      </c>
    </row>
    <row r="45" spans="1:7" ht="12" customHeight="1" x14ac:dyDescent="0.2">
      <c r="A45" s="988"/>
      <c r="B45" s="162"/>
      <c r="C45" s="162"/>
      <c r="D45" s="1832" t="s">
        <v>1063</v>
      </c>
      <c r="E45" s="1833">
        <f>(E43/E44)</f>
        <v>6.0359568675805976E-2</v>
      </c>
      <c r="F45" s="1832" t="s">
        <v>1063</v>
      </c>
      <c r="G45" s="1833">
        <f>(G43/G44)</f>
        <v>0.17706673890914609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E31" sqref="E31"/>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4" t="s">
        <v>1446</v>
      </c>
      <c r="B1" s="2324"/>
      <c r="C1" s="2324"/>
      <c r="D1" s="2324"/>
      <c r="E1" s="2324"/>
      <c r="F1" s="2324"/>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5" t="s">
        <v>1627</v>
      </c>
      <c r="B5" s="2326"/>
      <c r="C5" s="2327"/>
      <c r="D5" s="2327"/>
      <c r="E5" s="2327"/>
      <c r="F5" s="2327"/>
    </row>
    <row r="6" spans="1:10" ht="12" customHeight="1" x14ac:dyDescent="0.25">
      <c r="A6" s="1874"/>
      <c r="B6" s="1875"/>
      <c r="C6" s="2328" t="str">
        <f>COVER!A17</f>
        <v>SD 45 DuPage County</v>
      </c>
      <c r="D6" s="2328"/>
      <c r="E6" s="2328"/>
      <c r="F6" s="1876"/>
    </row>
    <row r="7" spans="1:10" ht="11.25" customHeight="1" thickBot="1" x14ac:dyDescent="0.3">
      <c r="A7" s="1874"/>
      <c r="B7" s="1875"/>
      <c r="C7" s="2329">
        <f>COVER!A13</f>
        <v>19022045002</v>
      </c>
      <c r="D7" s="2329"/>
      <c r="E7" s="2329"/>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t="s">
        <v>2077</v>
      </c>
      <c r="D11" s="1889" t="s">
        <v>2077</v>
      </c>
      <c r="E11" s="1890" t="s">
        <v>2109</v>
      </c>
      <c r="F11" s="1891" t="s">
        <v>2141</v>
      </c>
      <c r="H11" s="1902">
        <f>IF(C11="X",5,0)</f>
        <v>5</v>
      </c>
      <c r="I11" s="1902">
        <f>IF(D11="X",5,0)</f>
        <v>5</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t="s">
        <v>2077</v>
      </c>
      <c r="D15" s="1889" t="s">
        <v>2077</v>
      </c>
      <c r="E15" s="1892" t="s">
        <v>2109</v>
      </c>
      <c r="F15" s="1891" t="s">
        <v>2142</v>
      </c>
      <c r="H15" s="1902">
        <f t="shared" si="0"/>
        <v>5</v>
      </c>
      <c r="I15" s="1902">
        <f t="shared" si="1"/>
        <v>5</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t="s">
        <v>2077</v>
      </c>
      <c r="D18" s="1889" t="s">
        <v>2077</v>
      </c>
      <c r="E18" s="1892" t="s">
        <v>2109</v>
      </c>
      <c r="F18" s="1891" t="s">
        <v>2143</v>
      </c>
      <c r="H18" s="1902">
        <f t="shared" si="0"/>
        <v>5</v>
      </c>
      <c r="I18" s="1902">
        <f t="shared" si="1"/>
        <v>5</v>
      </c>
      <c r="J18" s="1902">
        <f t="shared" si="2"/>
        <v>0</v>
      </c>
    </row>
    <row r="19" spans="1:12" ht="12" customHeight="1" x14ac:dyDescent="0.2">
      <c r="A19" s="1887" t="s">
        <v>1608</v>
      </c>
      <c r="B19" s="1888"/>
      <c r="C19" s="1889" t="s">
        <v>2077</v>
      </c>
      <c r="D19" s="1889" t="s">
        <v>2077</v>
      </c>
      <c r="E19" s="1892" t="s">
        <v>2109</v>
      </c>
      <c r="F19" s="1891" t="s">
        <v>2144</v>
      </c>
      <c r="H19" s="1902">
        <f t="shared" si="0"/>
        <v>5</v>
      </c>
      <c r="I19" s="1902">
        <f t="shared" si="1"/>
        <v>5</v>
      </c>
      <c r="J19" s="1902">
        <f t="shared" si="2"/>
        <v>0</v>
      </c>
    </row>
    <row r="20" spans="1:12" ht="12" customHeight="1" x14ac:dyDescent="0.2">
      <c r="A20" s="1887" t="s">
        <v>1609</v>
      </c>
      <c r="B20" s="1888"/>
      <c r="C20" s="1889" t="s">
        <v>2077</v>
      </c>
      <c r="D20" s="1889" t="s">
        <v>2077</v>
      </c>
      <c r="E20" s="1892" t="s">
        <v>2109</v>
      </c>
      <c r="F20" s="1891" t="s">
        <v>2145</v>
      </c>
      <c r="H20" s="1902">
        <f t="shared" si="0"/>
        <v>5</v>
      </c>
      <c r="I20" s="1902">
        <f t="shared" si="1"/>
        <v>5</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2077</v>
      </c>
      <c r="D26" s="1889" t="s">
        <v>2077</v>
      </c>
      <c r="E26" s="1892" t="s">
        <v>2109</v>
      </c>
      <c r="F26" s="1891" t="s">
        <v>2146</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t="s">
        <v>2077</v>
      </c>
      <c r="D30" s="1889" t="s">
        <v>2077</v>
      </c>
      <c r="E30" s="1892" t="s">
        <v>2109</v>
      </c>
      <c r="F30" s="1891" t="s">
        <v>2146</v>
      </c>
      <c r="H30" s="1902">
        <f t="shared" si="0"/>
        <v>5</v>
      </c>
      <c r="I30" s="1902">
        <f t="shared" si="1"/>
        <v>5</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35</v>
      </c>
      <c r="I34" s="1902">
        <f>SUM(I11:I32)</f>
        <v>35</v>
      </c>
      <c r="J34" s="1902">
        <f>SUM(J11:J32)</f>
        <v>0</v>
      </c>
      <c r="K34" s="1902">
        <f>SUM(H34:J34)</f>
        <v>70</v>
      </c>
    </row>
    <row r="35" spans="1:11" ht="12" customHeight="1" x14ac:dyDescent="0.2">
      <c r="A35" s="1895" t="s">
        <v>1459</v>
      </c>
      <c r="B35" s="1896"/>
      <c r="C35" s="2330"/>
      <c r="D35" s="2330"/>
      <c r="E35" s="2330"/>
      <c r="F35" s="2331"/>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16"/>
      <c r="B38" s="2317"/>
      <c r="C38" s="2317"/>
      <c r="D38" s="2317"/>
      <c r="E38" s="2317"/>
      <c r="F38" s="2318"/>
    </row>
    <row r="39" spans="1:11" ht="4.5" hidden="1" customHeight="1" x14ac:dyDescent="0.2">
      <c r="A39" s="1897"/>
      <c r="B39" s="1897"/>
      <c r="C39" s="1897"/>
      <c r="D39" s="1897"/>
      <c r="E39" s="1897"/>
      <c r="F39" s="1897"/>
    </row>
    <row r="40" spans="1:11" s="1894" customFormat="1" ht="12" customHeight="1" x14ac:dyDescent="0.25">
      <c r="A40" s="1898" t="s">
        <v>1458</v>
      </c>
      <c r="B40" s="1899"/>
      <c r="C40" s="2319"/>
      <c r="D40" s="2319"/>
      <c r="E40" s="2319"/>
      <c r="F40" s="2320"/>
      <c r="H40" s="1903"/>
      <c r="I40" s="1903"/>
      <c r="J40" s="1903"/>
      <c r="K40" s="1903"/>
    </row>
    <row r="41" spans="1:11" s="1894" customFormat="1" ht="12" customHeight="1" x14ac:dyDescent="0.25">
      <c r="A41" s="2321"/>
      <c r="B41" s="2322"/>
      <c r="C41" s="2322"/>
      <c r="D41" s="2322"/>
      <c r="E41" s="2322"/>
      <c r="F41" s="2323"/>
      <c r="H41" s="1903"/>
      <c r="I41" s="1903"/>
      <c r="J41" s="1903"/>
      <c r="K41" s="1903"/>
    </row>
    <row r="42" spans="1:11" s="1894" customFormat="1" ht="12" customHeight="1" x14ac:dyDescent="0.25">
      <c r="A42" s="2321"/>
      <c r="B42" s="2322"/>
      <c r="C42" s="2322"/>
      <c r="D42" s="2322"/>
      <c r="E42" s="2322"/>
      <c r="F42" s="2323"/>
      <c r="H42" s="1903"/>
      <c r="I42" s="1903"/>
      <c r="J42" s="1903"/>
      <c r="K42" s="1903"/>
    </row>
    <row r="43" spans="1:11" s="1894" customFormat="1" ht="15" x14ac:dyDescent="0.25">
      <c r="A43" s="2310"/>
      <c r="B43" s="2311"/>
      <c r="C43" s="2311"/>
      <c r="D43" s="2311"/>
      <c r="E43" s="2311"/>
      <c r="F43" s="2312"/>
      <c r="H43" s="1903"/>
      <c r="I43" s="1903"/>
      <c r="J43" s="1903"/>
      <c r="K43" s="1903"/>
    </row>
    <row r="44" spans="1:11" s="1894" customFormat="1" ht="12" hidden="1" customHeight="1" x14ac:dyDescent="0.25">
      <c r="A44" s="2310"/>
      <c r="B44" s="2311"/>
      <c r="C44" s="2311"/>
      <c r="D44" s="2311"/>
      <c r="E44" s="2311"/>
      <c r="F44" s="2312"/>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gridLine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7" t="str">
        <f>COVER!A17</f>
        <v>SD 45 DuPage County</v>
      </c>
      <c r="J6" s="2338"/>
      <c r="Q6" s="1686"/>
    </row>
    <row r="7" spans="1:17" x14ac:dyDescent="0.2">
      <c r="A7" s="2339" t="s">
        <v>924</v>
      </c>
      <c r="B7" s="2340"/>
      <c r="C7" s="2340"/>
      <c r="D7" s="2340"/>
      <c r="E7" s="2341"/>
      <c r="F7" s="1018"/>
      <c r="G7" s="1010"/>
      <c r="H7" s="1017" t="s">
        <v>390</v>
      </c>
      <c r="I7" s="2342">
        <f>COVER!A13</f>
        <v>19022045002</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531167</v>
      </c>
      <c r="F12" s="1040"/>
      <c r="G12" s="1834">
        <f t="shared" ref="G12:G18" si="0">SUM(E12:F12)</f>
        <v>531167</v>
      </c>
      <c r="H12" s="1041">
        <v>326409</v>
      </c>
      <c r="I12" s="1040"/>
      <c r="J12" s="1834">
        <f t="shared" ref="J12:J18" si="1">SUM(H12:I12)</f>
        <v>326409</v>
      </c>
    </row>
    <row r="13" spans="1:17" ht="15" customHeight="1" x14ac:dyDescent="0.2">
      <c r="A13" s="1036">
        <v>2</v>
      </c>
      <c r="B13" s="1037" t="s">
        <v>44</v>
      </c>
      <c r="C13" s="1038"/>
      <c r="D13" s="1039">
        <v>2330</v>
      </c>
      <c r="E13" s="1834">
        <f>'Expenditures 15-22'!K51</f>
        <v>6103</v>
      </c>
      <c r="F13" s="1040"/>
      <c r="G13" s="1834">
        <f t="shared" si="0"/>
        <v>6103</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606947</v>
      </c>
      <c r="F15" s="1834">
        <f>'Expenditures 15-22'!K122</f>
        <v>0</v>
      </c>
      <c r="G15" s="1834">
        <f t="shared" si="0"/>
        <v>606947</v>
      </c>
      <c r="H15" s="1041">
        <v>376707</v>
      </c>
      <c r="I15" s="1041"/>
      <c r="J15" s="1834">
        <f t="shared" si="1"/>
        <v>376707</v>
      </c>
    </row>
    <row r="16" spans="1:17" ht="15" customHeight="1" x14ac:dyDescent="0.2">
      <c r="A16" s="1036">
        <v>5</v>
      </c>
      <c r="B16" s="1037" t="s">
        <v>103</v>
      </c>
      <c r="C16" s="1038"/>
      <c r="D16" s="1039">
        <v>2570</v>
      </c>
      <c r="E16" s="1834">
        <f>'Expenditures 15-22'!K64</f>
        <v>303892</v>
      </c>
      <c r="F16" s="1040"/>
      <c r="G16" s="1834">
        <f t="shared" si="0"/>
        <v>303892</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6" t="s">
        <v>7</v>
      </c>
      <c r="C18" s="2347"/>
      <c r="D18" s="2348"/>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1448109</v>
      </c>
      <c r="F19" s="1836">
        <f t="shared" si="2"/>
        <v>0</v>
      </c>
      <c r="G19" s="1836">
        <f t="shared" si="2"/>
        <v>1448109</v>
      </c>
      <c r="H19" s="1836">
        <f t="shared" si="2"/>
        <v>703116</v>
      </c>
      <c r="I19" s="1836">
        <f t="shared" si="2"/>
        <v>0</v>
      </c>
      <c r="J19" s="1836">
        <f t="shared" si="2"/>
        <v>703116</v>
      </c>
    </row>
    <row r="20" spans="1:10" ht="13.5" thickTop="1" x14ac:dyDescent="0.2">
      <c r="A20" s="1036">
        <v>9</v>
      </c>
      <c r="B20" s="2349" t="s">
        <v>1703</v>
      </c>
      <c r="C20" s="2349"/>
      <c r="D20" s="2350"/>
      <c r="E20" s="1047"/>
      <c r="F20" s="1047"/>
      <c r="G20" s="1047"/>
      <c r="H20" s="1047"/>
      <c r="I20" s="1047"/>
      <c r="J20" s="1837">
        <f>IF(AND(G19&gt;0,J19&gt;0),(((J19-G19)/G19)),"Enter Budget Data")</f>
        <v>-0.51445920162087244</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1944</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1" sqref="B1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2095</v>
      </c>
    </row>
    <row r="6" spans="1:2" x14ac:dyDescent="0.2">
      <c r="A6" s="1069">
        <v>2</v>
      </c>
      <c r="B6" s="329" t="s">
        <v>2099</v>
      </c>
    </row>
    <row r="7" spans="1:2" x14ac:dyDescent="0.2">
      <c r="A7" s="1069">
        <v>3</v>
      </c>
      <c r="B7" s="329" t="s">
        <v>2096</v>
      </c>
    </row>
    <row r="8" spans="1:2" x14ac:dyDescent="0.2">
      <c r="A8" s="1069">
        <v>4</v>
      </c>
      <c r="B8" s="329" t="s">
        <v>2097</v>
      </c>
    </row>
    <row r="9" spans="1:2" x14ac:dyDescent="0.2">
      <c r="A9" s="1070">
        <v>5</v>
      </c>
      <c r="B9" s="329" t="s">
        <v>2098</v>
      </c>
    </row>
    <row r="10" spans="1:2" x14ac:dyDescent="0.2">
      <c r="A10" s="1070"/>
      <c r="B10" s="329" t="s">
        <v>2140</v>
      </c>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SD 45 DuPage County</v>
      </c>
    </row>
    <row r="65" spans="2:2" x14ac:dyDescent="0.2">
      <c r="B65" s="1071">
        <f>COVER!A13</f>
        <v>19022045002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34" sqref="B3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6" t="s">
        <v>1784</v>
      </c>
      <c r="B18" s="235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Document.2015" dvAspect="DVASPECT_ICON" shapeId="35841" r:id="rId4"/>
      </mc:Fallback>
    </mc:AlternateContent>
    <mc:AlternateContent xmlns:mc="http://schemas.openxmlformats.org/markup-compatibility/2006">
      <mc:Choice Requires="x14">
        <oleObject progId="Acrobat.Document.2015" dvAspect="DVASPECT_ICON" shapeId="35842"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Document.2015" dvAspect="DVASPECT_ICON" shapeId="35842" r:id="rId6"/>
      </mc:Fallback>
    </mc:AlternateContent>
    <mc:AlternateContent xmlns:mc="http://schemas.openxmlformats.org/markup-compatibility/2006">
      <mc:Choice Requires="x14">
        <oleObject progId="Acrobat.Document.2015" dvAspect="DVASPECT_ICON" shapeId="35843" r:id="rId8">
          <objectPr defaultSize="0" r:id="rId9">
            <anchor moveWithCells="1">
              <from>
                <xdr:col>1</xdr:col>
                <xdr:colOff>885825</xdr:colOff>
                <xdr:row>0</xdr:row>
                <xdr:rowOff>9525</xdr:rowOff>
              </from>
              <to>
                <xdr:col>1</xdr:col>
                <xdr:colOff>1800225</xdr:colOff>
                <xdr:row>4</xdr:row>
                <xdr:rowOff>47625</xdr:rowOff>
              </to>
            </anchor>
          </objectPr>
        </oleObject>
      </mc:Choice>
      <mc:Fallback>
        <oleObject progId="Acrobat.Document.2015"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2924175</xdr:colOff>
                <xdr:row>3</xdr:row>
                <xdr:rowOff>66675</xdr:rowOff>
              </from>
              <to>
                <xdr:col>1</xdr:col>
                <xdr:colOff>3838575</xdr:colOff>
                <xdr:row>8</xdr:row>
                <xdr:rowOff>28575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2</xdr:col>
                <xdr:colOff>200025</xdr:colOff>
                <xdr:row>3</xdr:row>
                <xdr:rowOff>76200</xdr:rowOff>
              </from>
              <to>
                <xdr:col>3</xdr:col>
                <xdr:colOff>504825</xdr:colOff>
                <xdr:row>8</xdr:row>
                <xdr:rowOff>38100</xdr:rowOff>
              </to>
            </anchor>
          </objectPr>
        </oleObject>
      </mc:Choice>
      <mc:Fallback>
        <oleObject progId="Acrobat Document" dvAspect="DVASPECT_ICON" shapeId="3584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2056</v>
      </c>
      <c r="B4" s="2377"/>
      <c r="C4" s="2377"/>
      <c r="D4" s="2377"/>
      <c r="E4" s="2377"/>
      <c r="F4" s="2378"/>
      <c r="G4" s="1075"/>
      <c r="H4" s="1075"/>
    </row>
    <row r="5" spans="1:8" ht="14.25" customHeight="1" x14ac:dyDescent="0.2">
      <c r="A5" s="2379" t="s">
        <v>2057</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37518725</v>
      </c>
      <c r="C8" s="1838">
        <f>'Acct Summary 7-8'!D8</f>
        <v>4119211</v>
      </c>
      <c r="D8" s="1838">
        <f>'Acct Summary 7-8'!F8</f>
        <v>3139603</v>
      </c>
      <c r="E8" s="1838">
        <f>'Acct Summary 7-8'!I8</f>
        <v>187551</v>
      </c>
      <c r="F8" s="1838">
        <f>SUM(B8:E8)</f>
        <v>44965090</v>
      </c>
    </row>
    <row r="9" spans="1:8" s="1080" customFormat="1" ht="14.25" customHeight="1" thickBot="1" x14ac:dyDescent="0.25">
      <c r="A9" s="1079" t="s">
        <v>1436</v>
      </c>
      <c r="B9" s="1839">
        <f>'Acct Summary 7-8'!C17</f>
        <v>37871306</v>
      </c>
      <c r="C9" s="1839">
        <f>'Acct Summary 7-8'!D17</f>
        <v>3526468</v>
      </c>
      <c r="D9" s="1839">
        <f>'Acct Summary 7-8'!F17</f>
        <v>2454511</v>
      </c>
      <c r="E9" s="1838"/>
      <c r="F9" s="1838">
        <f>SUM(B9:E9)</f>
        <v>43852285</v>
      </c>
    </row>
    <row r="10" spans="1:8" s="1080" customFormat="1" ht="14.25" thickTop="1" thickBot="1" x14ac:dyDescent="0.25">
      <c r="A10" s="1081" t="s">
        <v>1437</v>
      </c>
      <c r="B10" s="1840">
        <f>(B8-B9)</f>
        <v>-352581</v>
      </c>
      <c r="C10" s="1840">
        <f>(C8-C9)</f>
        <v>592743</v>
      </c>
      <c r="D10" s="1840">
        <f>(D8-D9)</f>
        <v>685092</v>
      </c>
      <c r="E10" s="1839">
        <f>(E8-E9)</f>
        <v>187551</v>
      </c>
      <c r="F10" s="1841">
        <f>SUM(F8-F9)</f>
        <v>1112805</v>
      </c>
    </row>
    <row r="11" spans="1:8" s="1080" customFormat="1" ht="14.25" thickTop="1" thickBot="1" x14ac:dyDescent="0.25">
      <c r="A11" s="1082" t="s">
        <v>1785</v>
      </c>
      <c r="B11" s="1842">
        <f>'Acct Summary 7-8'!C81</f>
        <v>11103896</v>
      </c>
      <c r="C11" s="1842">
        <f>'Acct Summary 7-8'!D81</f>
        <v>1906504</v>
      </c>
      <c r="D11" s="1842">
        <f>'Acct Summary 7-8'!F81</f>
        <v>926417</v>
      </c>
      <c r="E11" s="1842">
        <f>'Acct Summary 7-8'!I81</f>
        <v>6135154</v>
      </c>
      <c r="F11" s="1843">
        <f>SUM(B11:E11)</f>
        <v>20071971</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5" colorId="8" zoomScale="110" zoomScaleNormal="110" workbookViewId="0">
      <selection activeCell="D81" sqref="D81"/>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19022045002</v>
      </c>
    </row>
    <row r="3" spans="1:2" x14ac:dyDescent="0.2">
      <c r="A3" t="s">
        <v>1013</v>
      </c>
      <c r="B3" s="138" t="str">
        <f>COVER!A15</f>
        <v>DuPage</v>
      </c>
    </row>
    <row r="4" spans="1:2" x14ac:dyDescent="0.2">
      <c r="A4" t="s">
        <v>1064</v>
      </c>
      <c r="B4" s="138" t="str">
        <f>COVER!A17</f>
        <v>SD 45 DuPage County</v>
      </c>
    </row>
    <row r="5" spans="1:2" x14ac:dyDescent="0.2">
      <c r="A5" t="s">
        <v>728</v>
      </c>
      <c r="B5" s="138" t="str">
        <f>COVER!A38</f>
        <v>Mr. Anthony Palmisao</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065-033233</v>
      </c>
    </row>
    <row r="16" spans="1:2" x14ac:dyDescent="0.2">
      <c r="A16" t="s">
        <v>442</v>
      </c>
      <c r="B16" s="138" t="str">
        <f>COVER!T13</f>
        <v>Lauterbach and Amen, LLP</v>
      </c>
    </row>
    <row r="17" spans="1:2" x14ac:dyDescent="0.2">
      <c r="A17" t="s">
        <v>939</v>
      </c>
      <c r="B17" s="138" t="str">
        <f>COVER!T15</f>
        <v>Matt Beran</v>
      </c>
    </row>
    <row r="18" spans="1:2" x14ac:dyDescent="0.2">
      <c r="A18" t="s">
        <v>1212</v>
      </c>
      <c r="B18" s="138" t="str">
        <f>COVER!T17</f>
        <v>668 N. River Road</v>
      </c>
    </row>
    <row r="19" spans="1:2" x14ac:dyDescent="0.2">
      <c r="A19" t="s">
        <v>941</v>
      </c>
      <c r="B19" s="138" t="str">
        <f>COVER!T25</f>
        <v>mberan@lauterbachamen.com</v>
      </c>
    </row>
    <row r="20" spans="1:2" x14ac:dyDescent="0.2">
      <c r="A20" t="s">
        <v>942</v>
      </c>
      <c r="B20" s="138" t="str">
        <f>COVER!T19</f>
        <v>Naperville</v>
      </c>
    </row>
    <row r="21" spans="1:2" x14ac:dyDescent="0.2">
      <c r="A21" t="s">
        <v>500</v>
      </c>
      <c r="B21" s="138" t="str">
        <f>COVER!X19</f>
        <v>IL</v>
      </c>
    </row>
    <row r="22" spans="1:2" x14ac:dyDescent="0.2">
      <c r="A22" t="s">
        <v>943</v>
      </c>
      <c r="B22" s="138">
        <f>COVER!Z19</f>
        <v>60563</v>
      </c>
    </row>
    <row r="23" spans="1:2" x14ac:dyDescent="0.2">
      <c r="A23" t="s">
        <v>1214</v>
      </c>
      <c r="B23" s="138" t="str">
        <f>COVER!T21</f>
        <v>630-393-1483</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13186096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41118580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27380354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30014684</v>
      </c>
      <c r="C91" s="2" t="s">
        <v>594</v>
      </c>
      <c r="D91" s="2" t="str">
        <f t="shared" si="0"/>
        <v>Error?</v>
      </c>
    </row>
    <row r="92" spans="1:4" x14ac:dyDescent="0.2">
      <c r="A92" s="5">
        <v>31</v>
      </c>
      <c r="B92" s="138">
        <f>'Assets-Liab 5-6'!C39</f>
        <v>173604</v>
      </c>
      <c r="D92" s="2" t="str">
        <f t="shared" si="0"/>
        <v>Error?</v>
      </c>
    </row>
    <row r="93" spans="1:4" x14ac:dyDescent="0.2">
      <c r="A93" s="5">
        <v>32</v>
      </c>
      <c r="B93" s="138">
        <f>'Assets-Liab 5-6'!C41</f>
        <v>41118580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1508141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5046111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3099414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3139607</v>
      </c>
      <c r="C122" s="2" t="s">
        <v>594</v>
      </c>
      <c r="D122" s="2" t="str">
        <f t="shared" si="0"/>
        <v>Error?</v>
      </c>
    </row>
    <row r="123" spans="1:4" x14ac:dyDescent="0.2">
      <c r="A123" s="5">
        <v>62</v>
      </c>
      <c r="B123" s="138">
        <f>'Assets-Liab 5-6'!D39</f>
        <v>8977</v>
      </c>
      <c r="D123" s="2" t="str">
        <f t="shared" si="0"/>
        <v>Error?</v>
      </c>
    </row>
    <row r="124" spans="1:4" x14ac:dyDescent="0.2">
      <c r="A124" s="5">
        <v>63</v>
      </c>
      <c r="B124" s="138">
        <f>'Assets-Liab 5-6'!D41</f>
        <v>5046111</v>
      </c>
      <c r="C124" s="2" t="s">
        <v>594</v>
      </c>
      <c r="D124" s="2" t="str">
        <f t="shared" si="0"/>
        <v>Error?</v>
      </c>
    </row>
    <row r="125" spans="1:4" x14ac:dyDescent="0.2">
      <c r="A125" s="10">
        <v>64</v>
      </c>
      <c r="D125" s="2" t="str">
        <f t="shared" si="0"/>
        <v>OK</v>
      </c>
    </row>
    <row r="126" spans="1:4" x14ac:dyDescent="0.2">
      <c r="A126" s="5">
        <v>65</v>
      </c>
      <c r="B126" s="138">
        <f>'Assets-Liab 5-6'!E6</f>
        <v>1428107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3773709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2934934</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2934934</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3773709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774830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2552263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1592369</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1625846</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2552263</v>
      </c>
      <c r="C171" s="2" t="s">
        <v>594</v>
      </c>
      <c r="D171" s="2" t="str">
        <f t="shared" si="1"/>
        <v>Error?</v>
      </c>
    </row>
    <row r="172" spans="1:4" x14ac:dyDescent="0.2">
      <c r="A172" s="10">
        <v>111</v>
      </c>
      <c r="D172" s="2" t="str">
        <f t="shared" si="1"/>
        <v>OK</v>
      </c>
    </row>
    <row r="173" spans="1:4" x14ac:dyDescent="0.2">
      <c r="A173" s="5">
        <v>112</v>
      </c>
      <c r="B173" s="138">
        <f>'Assets-Liab 5-6'!G6</f>
        <v>811845</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3487421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1668440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1668440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3487421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600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600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1680195</v>
      </c>
      <c r="D273" s="2" t="str">
        <f t="shared" si="3"/>
        <v>Error?</v>
      </c>
    </row>
    <row r="274" spans="1:4" x14ac:dyDescent="0.2">
      <c r="A274" s="5">
        <v>213</v>
      </c>
      <c r="B274" s="138">
        <f>'Assets-Liab 5-6'!M17</f>
        <v>50392207</v>
      </c>
      <c r="D274" s="2" t="str">
        <f t="shared" si="3"/>
        <v>Error?</v>
      </c>
    </row>
    <row r="275" spans="1:4" x14ac:dyDescent="0.2">
      <c r="A275" s="5">
        <v>214</v>
      </c>
      <c r="B275" s="138">
        <f>'Assets-Liab 5-6'!M18</f>
        <v>0</v>
      </c>
      <c r="D275" s="2" t="str">
        <f t="shared" si="3"/>
        <v>Error?</v>
      </c>
    </row>
    <row r="276" spans="1:4" x14ac:dyDescent="0.2">
      <c r="A276" s="5">
        <v>215</v>
      </c>
      <c r="B276" s="138">
        <f>'Assets-Liab 5-6'!M19</f>
        <v>3326493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55398895</v>
      </c>
      <c r="C279" s="2" t="s">
        <v>594</v>
      </c>
      <c r="D279" s="2" t="str">
        <f t="shared" si="3"/>
        <v>Error?</v>
      </c>
    </row>
    <row r="280" spans="1:4" x14ac:dyDescent="0.2">
      <c r="A280" s="5">
        <v>219</v>
      </c>
      <c r="B280" s="138">
        <f>'Assets-Liab 5-6'!M40</f>
        <v>55398895</v>
      </c>
      <c r="D280" s="2" t="str">
        <f t="shared" si="3"/>
        <v>Error?</v>
      </c>
    </row>
    <row r="281" spans="1:4" x14ac:dyDescent="0.2">
      <c r="A281" s="5">
        <v>220</v>
      </c>
      <c r="B281" s="138">
        <f>'Assets-Liab 5-6'!M41</f>
        <v>55398895</v>
      </c>
      <c r="C281" s="2" t="s">
        <v>594</v>
      </c>
      <c r="D281" s="2" t="str">
        <f t="shared" si="3"/>
        <v>Error?</v>
      </c>
    </row>
    <row r="282" spans="1:4" x14ac:dyDescent="0.2">
      <c r="A282" s="5">
        <v>221</v>
      </c>
      <c r="B282" s="138">
        <f>'Assets-Liab 5-6'!N21</f>
        <v>838775</v>
      </c>
      <c r="D282" s="2" t="str">
        <f t="shared" si="3"/>
        <v>Error?</v>
      </c>
    </row>
    <row r="283" spans="1:4" x14ac:dyDescent="0.2">
      <c r="A283" s="5">
        <v>222</v>
      </c>
      <c r="B283" s="138">
        <f>'Assets-Liab 5-6'!N22</f>
        <v>33184829</v>
      </c>
      <c r="D283" s="2" t="str">
        <f t="shared" si="3"/>
        <v>Error?</v>
      </c>
    </row>
    <row r="284" spans="1:4" x14ac:dyDescent="0.2">
      <c r="A284" s="5">
        <v>223</v>
      </c>
      <c r="B284" s="138">
        <f>'Assets-Liab 5-6'!N23</f>
        <v>34023604</v>
      </c>
      <c r="C284" s="2" t="s">
        <v>594</v>
      </c>
      <c r="D284" s="2" t="str">
        <f t="shared" si="3"/>
        <v>Error?</v>
      </c>
    </row>
    <row r="285" spans="1:4" x14ac:dyDescent="0.2">
      <c r="A285" s="5">
        <v>224</v>
      </c>
      <c r="B285" s="138">
        <f>'Assets-Liab 5-6'!N36</f>
        <v>34023604</v>
      </c>
      <c r="D285" s="2" t="str">
        <f t="shared" si="3"/>
        <v>Error?</v>
      </c>
    </row>
    <row r="286" spans="1:4" x14ac:dyDescent="0.2">
      <c r="A286" s="10">
        <v>225</v>
      </c>
      <c r="D286" s="2" t="str">
        <f t="shared" si="3"/>
        <v>OK</v>
      </c>
    </row>
    <row r="287" spans="1:4" x14ac:dyDescent="0.2">
      <c r="A287" s="5">
        <v>226</v>
      </c>
      <c r="B287" s="138">
        <f>'Assets-Liab 5-6'!N37</f>
        <v>34023604</v>
      </c>
      <c r="C287" s="2" t="s">
        <v>594</v>
      </c>
      <c r="D287" s="2" t="str">
        <f t="shared" si="3"/>
        <v>Error?</v>
      </c>
    </row>
    <row r="288" spans="1:4" x14ac:dyDescent="0.2">
      <c r="A288" s="5">
        <v>227</v>
      </c>
      <c r="B288" s="138">
        <f>'Assets-Liab 5-6'!N41</f>
        <v>34023604</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8066</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187551</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656104</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12024251</v>
      </c>
      <c r="D705" s="2" t="str">
        <f t="shared" si="10"/>
        <v>Error?</v>
      </c>
    </row>
    <row r="706" spans="1:4" x14ac:dyDescent="0.2">
      <c r="A706" s="5">
        <v>645</v>
      </c>
      <c r="B706" s="138">
        <f>'Expenditures 15-22'!C16</f>
        <v>263664</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1805208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111445</v>
      </c>
      <c r="D718" s="2" t="str">
        <f t="shared" si="10"/>
        <v>Error?</v>
      </c>
    </row>
    <row r="719" spans="1:4" x14ac:dyDescent="0.2">
      <c r="A719" s="5">
        <v>658</v>
      </c>
      <c r="B719" s="138">
        <f>'Expenditures 15-22'!C15</f>
        <v>92994</v>
      </c>
      <c r="D719" s="2" t="str">
        <f t="shared" si="10"/>
        <v>Error?</v>
      </c>
    </row>
    <row r="720" spans="1:4" x14ac:dyDescent="0.2">
      <c r="A720" s="5">
        <v>659</v>
      </c>
      <c r="B720" s="138">
        <f>'Expenditures 15-22'!C33</f>
        <v>20663994</v>
      </c>
      <c r="C720" s="2" t="s">
        <v>594</v>
      </c>
      <c r="D720" s="2" t="str">
        <f t="shared" si="10"/>
        <v>Error?</v>
      </c>
    </row>
    <row r="721" spans="1:4" x14ac:dyDescent="0.2">
      <c r="A721" s="5">
        <v>660</v>
      </c>
      <c r="B721" s="138">
        <f>'Expenditures 15-22'!C36</f>
        <v>689344</v>
      </c>
      <c r="D721" s="2" t="str">
        <f t="shared" si="10"/>
        <v>Error?</v>
      </c>
    </row>
    <row r="722" spans="1:4" x14ac:dyDescent="0.2">
      <c r="A722" s="5">
        <v>661</v>
      </c>
      <c r="B722" s="138">
        <f>'Expenditures 15-22'!C37</f>
        <v>147648</v>
      </c>
      <c r="D722" s="2" t="str">
        <f t="shared" si="10"/>
        <v>Error?</v>
      </c>
    </row>
    <row r="723" spans="1:4" x14ac:dyDescent="0.2">
      <c r="A723" s="5">
        <v>662</v>
      </c>
      <c r="B723" s="138">
        <f>'Expenditures 15-22'!C38</f>
        <v>532711</v>
      </c>
      <c r="D723" s="2" t="str">
        <f t="shared" si="10"/>
        <v>Error?</v>
      </c>
    </row>
    <row r="724" spans="1:4" x14ac:dyDescent="0.2">
      <c r="A724" s="5">
        <v>663</v>
      </c>
      <c r="B724" s="138">
        <f>'Expenditures 15-22'!C39</f>
        <v>462447</v>
      </c>
      <c r="D724" s="2" t="str">
        <f t="shared" si="10"/>
        <v>Error?</v>
      </c>
    </row>
    <row r="725" spans="1:4" x14ac:dyDescent="0.2">
      <c r="A725" s="5">
        <v>664</v>
      </c>
      <c r="B725" s="138">
        <f>'Expenditures 15-22'!C40</f>
        <v>1110260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2942410</v>
      </c>
      <c r="C727" s="2" t="s">
        <v>594</v>
      </c>
      <c r="D727" s="2" t="str">
        <f t="shared" si="10"/>
        <v>Error?</v>
      </c>
    </row>
    <row r="728" spans="1:4" x14ac:dyDescent="0.2">
      <c r="A728" s="5">
        <v>667</v>
      </c>
      <c r="B728" s="138">
        <f>'Expenditures 15-22'!C44</f>
        <v>972863</v>
      </c>
      <c r="D728" s="2" t="str">
        <f t="shared" si="10"/>
        <v>Error?</v>
      </c>
    </row>
    <row r="729" spans="1:4" x14ac:dyDescent="0.2">
      <c r="A729" s="5">
        <v>668</v>
      </c>
      <c r="B729" s="138">
        <f>'Expenditures 15-22'!C45</f>
        <v>490453</v>
      </c>
      <c r="D729" s="2" t="str">
        <f t="shared" si="10"/>
        <v>Error?</v>
      </c>
    </row>
    <row r="730" spans="1:4" x14ac:dyDescent="0.2">
      <c r="A730" s="5">
        <v>669</v>
      </c>
      <c r="B730" s="138">
        <f>'Expenditures 15-22'!C46</f>
        <v>109589</v>
      </c>
      <c r="D730" s="2" t="str">
        <f t="shared" si="10"/>
        <v>Error?</v>
      </c>
    </row>
    <row r="731" spans="1:4" x14ac:dyDescent="0.2">
      <c r="A731" s="5">
        <v>670</v>
      </c>
      <c r="B731" s="138">
        <f>'Expenditures 15-22'!C47</f>
        <v>1572905</v>
      </c>
      <c r="C731" s="2" t="s">
        <v>594</v>
      </c>
      <c r="D731" s="2" t="str">
        <f t="shared" si="10"/>
        <v>Error?</v>
      </c>
    </row>
    <row r="732" spans="1:4" x14ac:dyDescent="0.2">
      <c r="A732" s="5">
        <v>671</v>
      </c>
      <c r="B732" s="138">
        <f>'Expenditures 15-22'!C49</f>
        <v>106075</v>
      </c>
      <c r="D732" s="2" t="str">
        <f t="shared" si="10"/>
        <v>Error?</v>
      </c>
    </row>
    <row r="733" spans="1:4" x14ac:dyDescent="0.2">
      <c r="A733" s="5">
        <v>672</v>
      </c>
      <c r="B733" s="138">
        <f>'Expenditures 15-22'!C50</f>
        <v>410517</v>
      </c>
      <c r="D733" s="2" t="str">
        <f t="shared" si="10"/>
        <v>Error?</v>
      </c>
    </row>
    <row r="734" spans="1:4" x14ac:dyDescent="0.2">
      <c r="A734" s="5">
        <v>673</v>
      </c>
      <c r="B734" s="138">
        <f>'Expenditures 15-22'!C53</f>
        <v>516592</v>
      </c>
      <c r="C734" s="2" t="s">
        <v>594</v>
      </c>
      <c r="D734" s="2" t="str">
        <f t="shared" si="10"/>
        <v>Error?</v>
      </c>
    </row>
    <row r="735" spans="1:4" x14ac:dyDescent="0.2">
      <c r="A735" s="5">
        <v>674</v>
      </c>
      <c r="B735" s="138">
        <f>'Expenditures 15-22'!C55</f>
        <v>2163606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2163606</v>
      </c>
      <c r="C737" s="2" t="s">
        <v>594</v>
      </c>
      <c r="D737" s="2" t="str">
        <f t="shared" si="10"/>
        <v>Error?</v>
      </c>
    </row>
    <row r="738" spans="1:4" x14ac:dyDescent="0.2">
      <c r="A738" s="5">
        <v>677</v>
      </c>
      <c r="B738" s="138">
        <f>'Expenditures 15-22'!C59</f>
        <v>447344</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150006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597350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67181</v>
      </c>
      <c r="D748" s="2" t="str">
        <f t="shared" si="10"/>
        <v>Error?</v>
      </c>
    </row>
    <row r="749" spans="1:4" x14ac:dyDescent="0.2">
      <c r="A749" s="5">
        <v>688</v>
      </c>
      <c r="B749" s="138">
        <f>'Expenditures 15-22'!C70</f>
        <v>163038</v>
      </c>
      <c r="D749" s="2" t="str">
        <f t="shared" si="10"/>
        <v>Error?</v>
      </c>
    </row>
    <row r="750" spans="1:4" x14ac:dyDescent="0.2">
      <c r="A750" s="10">
        <v>689</v>
      </c>
      <c r="D750" s="2" t="str">
        <f t="shared" si="10"/>
        <v>OK</v>
      </c>
    </row>
    <row r="751" spans="1:4" x14ac:dyDescent="0.2">
      <c r="A751" s="5">
        <v>690</v>
      </c>
      <c r="B751" s="138">
        <f>'Expenditures 15-22'!C71</f>
        <v>279979</v>
      </c>
      <c r="D751" s="2" t="str">
        <f t="shared" si="10"/>
        <v>Error?</v>
      </c>
    </row>
    <row r="752" spans="1:4" x14ac:dyDescent="0.2">
      <c r="A752" s="10">
        <v>691</v>
      </c>
      <c r="D752" s="2" t="str">
        <f t="shared" si="10"/>
        <v>OK</v>
      </c>
    </row>
    <row r="753" spans="1:4" x14ac:dyDescent="0.2">
      <c r="A753" s="5">
        <v>692</v>
      </c>
      <c r="B753" s="138">
        <f>'Expenditures 15-22'!C72</f>
        <v>510198</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8303061</v>
      </c>
      <c r="C755" s="2" t="s">
        <v>594</v>
      </c>
      <c r="D755" s="2" t="str">
        <f t="shared" si="10"/>
        <v>Error?</v>
      </c>
    </row>
    <row r="756" spans="1:4" x14ac:dyDescent="0.2">
      <c r="A756" s="5">
        <v>695</v>
      </c>
      <c r="B756" s="138">
        <f>'Expenditures 15-22'!C75</f>
        <v>53539</v>
      </c>
      <c r="D756" s="2" t="str">
        <f t="shared" si="10"/>
        <v>Error?</v>
      </c>
    </row>
    <row r="757" spans="1:4" x14ac:dyDescent="0.2">
      <c r="A757" s="5">
        <v>696</v>
      </c>
      <c r="B757" s="138">
        <f>'Expenditures 15-22'!C114</f>
        <v>29020594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458650</v>
      </c>
      <c r="D763" s="2" t="str">
        <f t="shared" si="10"/>
        <v>Error?</v>
      </c>
    </row>
    <row r="764" spans="1:4" x14ac:dyDescent="0.2">
      <c r="A764" s="5">
        <v>703</v>
      </c>
      <c r="B764" s="138">
        <f>'Expenditures 15-22'!D16</f>
        <v>11617</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212275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653</v>
      </c>
      <c r="D776" s="2" t="str">
        <f t="shared" si="11"/>
        <v>Error?</v>
      </c>
    </row>
    <row r="777" spans="1:4" x14ac:dyDescent="0.2">
      <c r="A777" s="5">
        <v>716</v>
      </c>
      <c r="B777" s="138">
        <f>'Expenditures 15-22'!D15</f>
        <v>269</v>
      </c>
      <c r="D777" s="2" t="str">
        <f t="shared" si="11"/>
        <v>Error?</v>
      </c>
    </row>
    <row r="778" spans="1:4" x14ac:dyDescent="0.2">
      <c r="A778" s="5">
        <v>717</v>
      </c>
      <c r="B778" s="138">
        <f>'Expenditures 15-22'!D33</f>
        <v>1260852</v>
      </c>
      <c r="C778" s="2" t="s">
        <v>594</v>
      </c>
      <c r="D778" s="2" t="str">
        <f t="shared" si="11"/>
        <v>Error?</v>
      </c>
    </row>
    <row r="779" spans="1:4" x14ac:dyDescent="0.2">
      <c r="A779" s="5">
        <v>718</v>
      </c>
      <c r="B779" s="138">
        <f>'Expenditures 15-22'!D36</f>
        <v>70262</v>
      </c>
      <c r="D779" s="2" t="str">
        <f t="shared" si="11"/>
        <v>Error?</v>
      </c>
    </row>
    <row r="780" spans="1:4" x14ac:dyDescent="0.2">
      <c r="A780" s="5">
        <v>719</v>
      </c>
      <c r="B780" s="138">
        <f>'Expenditures 15-22'!D37</f>
        <v>14355</v>
      </c>
      <c r="D780" s="2" t="str">
        <f t="shared" si="11"/>
        <v>Error?</v>
      </c>
    </row>
    <row r="781" spans="1:4" x14ac:dyDescent="0.2">
      <c r="A781" s="5">
        <v>720</v>
      </c>
      <c r="B781" s="138">
        <f>'Expenditures 15-22'!D38</f>
        <v>19685</v>
      </c>
      <c r="D781" s="2" t="str">
        <f t="shared" si="11"/>
        <v>Error?</v>
      </c>
    </row>
    <row r="782" spans="1:4" x14ac:dyDescent="0.2">
      <c r="A782" s="5">
        <v>721</v>
      </c>
      <c r="B782" s="138">
        <f>'Expenditures 15-22'!D39</f>
        <v>30976</v>
      </c>
      <c r="D782" s="2" t="str">
        <f t="shared" si="11"/>
        <v>Error?</v>
      </c>
    </row>
    <row r="783" spans="1:4" x14ac:dyDescent="0.2">
      <c r="A783" s="5">
        <v>722</v>
      </c>
      <c r="B783" s="138">
        <f>'Expenditures 15-22'!D40</f>
        <v>88013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223291</v>
      </c>
      <c r="C785" s="2" t="s">
        <v>594</v>
      </c>
      <c r="D785" s="2" t="str">
        <f t="shared" si="11"/>
        <v>Error?</v>
      </c>
    </row>
    <row r="786" spans="1:4" x14ac:dyDescent="0.2">
      <c r="A786" s="5">
        <v>725</v>
      </c>
      <c r="B786" s="138">
        <f>'Expenditures 15-22'!D44</f>
        <v>106521</v>
      </c>
      <c r="D786" s="2" t="str">
        <f t="shared" si="11"/>
        <v>Error?</v>
      </c>
    </row>
    <row r="787" spans="1:4" x14ac:dyDescent="0.2">
      <c r="A787" s="5">
        <v>726</v>
      </c>
      <c r="B787" s="138">
        <f>'Expenditures 15-22'!D45</f>
        <v>42625</v>
      </c>
      <c r="D787" s="2" t="str">
        <f t="shared" si="11"/>
        <v>Error?</v>
      </c>
    </row>
    <row r="788" spans="1:4" x14ac:dyDescent="0.2">
      <c r="A788" s="5">
        <v>727</v>
      </c>
      <c r="B788" s="138">
        <f>'Expenditures 15-22'!D46</f>
        <v>21708</v>
      </c>
      <c r="D788" s="2" t="str">
        <f t="shared" si="11"/>
        <v>Error?</v>
      </c>
    </row>
    <row r="789" spans="1:4" x14ac:dyDescent="0.2">
      <c r="A789" s="5">
        <v>728</v>
      </c>
      <c r="B789" s="138">
        <f>'Expenditures 15-22'!D47</f>
        <v>170854</v>
      </c>
      <c r="C789" s="2" t="s">
        <v>594</v>
      </c>
      <c r="D789" s="2" t="str">
        <f t="shared" si="11"/>
        <v>Error?</v>
      </c>
    </row>
    <row r="790" spans="1:4" x14ac:dyDescent="0.2">
      <c r="A790" s="5">
        <v>729</v>
      </c>
      <c r="B790" s="138">
        <f>'Expenditures 15-22'!D49</f>
        <v>564</v>
      </c>
      <c r="D790" s="2" t="str">
        <f t="shared" si="11"/>
        <v>Error?</v>
      </c>
    </row>
    <row r="791" spans="1:4" x14ac:dyDescent="0.2">
      <c r="A791" s="5">
        <v>730</v>
      </c>
      <c r="B791" s="138">
        <f>'Expenditures 15-22'!D50</f>
        <v>67588</v>
      </c>
      <c r="D791" s="2" t="str">
        <f t="shared" si="11"/>
        <v>Error?</v>
      </c>
    </row>
    <row r="792" spans="1:4" x14ac:dyDescent="0.2">
      <c r="A792" s="5">
        <v>731</v>
      </c>
      <c r="B792" s="138">
        <f>'Expenditures 15-22'!D53</f>
        <v>68152</v>
      </c>
      <c r="C792" s="2" t="s">
        <v>594</v>
      </c>
      <c r="D792" s="2" t="str">
        <f t="shared" si="11"/>
        <v>Error?</v>
      </c>
    </row>
    <row r="793" spans="1:4" x14ac:dyDescent="0.2">
      <c r="A793" s="5">
        <v>732</v>
      </c>
      <c r="B793" s="138">
        <f>'Expenditures 15-22'!D55</f>
        <v>538252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538252</v>
      </c>
      <c r="C795" s="2" t="s">
        <v>594</v>
      </c>
      <c r="D795" s="2" t="str">
        <f t="shared" si="11"/>
        <v>Error?</v>
      </c>
    </row>
    <row r="796" spans="1:4" x14ac:dyDescent="0.2">
      <c r="A796" s="5">
        <v>735</v>
      </c>
      <c r="B796" s="138">
        <f>'Expenditures 15-22'!D59</f>
        <v>46440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6765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53205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30</v>
      </c>
      <c r="D806" s="2" t="str">
        <f t="shared" si="11"/>
        <v>Error?</v>
      </c>
    </row>
    <row r="807" spans="1:4" x14ac:dyDescent="0.2">
      <c r="A807" s="5">
        <v>746</v>
      </c>
      <c r="B807" s="138">
        <f>'Expenditures 15-22'!D70</f>
        <v>47649</v>
      </c>
      <c r="D807" s="2" t="str">
        <f t="shared" si="11"/>
        <v>Error?</v>
      </c>
    </row>
    <row r="808" spans="1:4" x14ac:dyDescent="0.2">
      <c r="A808" s="10">
        <v>747</v>
      </c>
      <c r="D808" s="2" t="str">
        <f t="shared" si="11"/>
        <v>OK</v>
      </c>
    </row>
    <row r="809" spans="1:4" x14ac:dyDescent="0.2">
      <c r="A809" s="5">
        <v>748</v>
      </c>
      <c r="B809" s="138">
        <f>'Expenditures 15-22'!D71</f>
        <v>50519</v>
      </c>
      <c r="D809" s="2" t="str">
        <f t="shared" si="11"/>
        <v>Error?</v>
      </c>
    </row>
    <row r="810" spans="1:4" x14ac:dyDescent="0.2">
      <c r="A810" s="10">
        <v>749</v>
      </c>
      <c r="D810" s="2" t="str">
        <f t="shared" si="11"/>
        <v>OK</v>
      </c>
    </row>
    <row r="811" spans="1:4" x14ac:dyDescent="0.2">
      <c r="A811" s="5">
        <v>750</v>
      </c>
      <c r="B811" s="138">
        <f>'Expenditures 15-22'!D72</f>
        <v>98198</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1151952</v>
      </c>
      <c r="C813" s="2" t="s">
        <v>594</v>
      </c>
      <c r="D813" s="2" t="str">
        <f t="shared" si="11"/>
        <v>Error?</v>
      </c>
    </row>
    <row r="814" spans="1:4" x14ac:dyDescent="0.2">
      <c r="A814" s="5">
        <v>753</v>
      </c>
      <c r="B814" s="138">
        <f>'Expenditures 15-22'!D75</f>
        <v>1515</v>
      </c>
      <c r="D814" s="2" t="str">
        <f t="shared" si="11"/>
        <v>Error?</v>
      </c>
    </row>
    <row r="815" spans="1:4" x14ac:dyDescent="0.2">
      <c r="A815" s="5">
        <v>754</v>
      </c>
      <c r="B815" s="138">
        <f>'Expenditures 15-22'!D114</f>
        <v>2414319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9748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15230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7860</v>
      </c>
      <c r="D834" s="2" t="str">
        <f t="shared" si="12"/>
        <v>Error?</v>
      </c>
    </row>
    <row r="835" spans="1:4" x14ac:dyDescent="0.2">
      <c r="A835" s="5">
        <v>774</v>
      </c>
      <c r="B835" s="138">
        <f>'Expenditures 15-22'!E15</f>
        <v>304</v>
      </c>
      <c r="D835" s="2" t="str">
        <f t="shared" si="12"/>
        <v>Error?</v>
      </c>
    </row>
    <row r="836" spans="1:4" x14ac:dyDescent="0.2">
      <c r="A836" s="5">
        <v>775</v>
      </c>
      <c r="B836" s="138">
        <f>'Expenditures 15-22'!E33</f>
        <v>58758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28489</v>
      </c>
      <c r="D839" s="2" t="str">
        <f t="shared" si="12"/>
        <v>Error?</v>
      </c>
    </row>
    <row r="840" spans="1:4" x14ac:dyDescent="0.2">
      <c r="A840" s="5">
        <v>779</v>
      </c>
      <c r="B840" s="138">
        <f>'Expenditures 15-22'!E39</f>
        <v>119</v>
      </c>
      <c r="D840" s="2" t="str">
        <f t="shared" si="12"/>
        <v>Error?</v>
      </c>
    </row>
    <row r="841" spans="1:4" x14ac:dyDescent="0.2">
      <c r="A841" s="5">
        <v>780</v>
      </c>
      <c r="B841" s="138">
        <f>'Expenditures 15-22'!E40</f>
        <v>5134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33742</v>
      </c>
      <c r="C843" s="2" t="s">
        <v>594</v>
      </c>
      <c r="D843" s="2" t="str">
        <f t="shared" si="12"/>
        <v>Error?</v>
      </c>
    </row>
    <row r="844" spans="1:4" x14ac:dyDescent="0.2">
      <c r="A844" s="5">
        <v>783</v>
      </c>
      <c r="B844" s="138">
        <f>'Expenditures 15-22'!E44</f>
        <v>454025</v>
      </c>
      <c r="D844" s="2" t="str">
        <f t="shared" si="12"/>
        <v>Error?</v>
      </c>
    </row>
    <row r="845" spans="1:4" x14ac:dyDescent="0.2">
      <c r="A845" s="5">
        <v>784</v>
      </c>
      <c r="B845" s="138">
        <f>'Expenditures 15-22'!E45</f>
        <v>95707</v>
      </c>
      <c r="D845" s="2" t="str">
        <f t="shared" si="12"/>
        <v>Error?</v>
      </c>
    </row>
    <row r="846" spans="1:4" x14ac:dyDescent="0.2">
      <c r="A846" s="5">
        <v>785</v>
      </c>
      <c r="B846" s="138">
        <f>'Expenditures 15-22'!E46</f>
        <v>1434</v>
      </c>
      <c r="D846" s="2" t="str">
        <f t="shared" si="12"/>
        <v>Error?</v>
      </c>
    </row>
    <row r="847" spans="1:4" x14ac:dyDescent="0.2">
      <c r="A847" s="5">
        <v>786</v>
      </c>
      <c r="B847" s="138">
        <f>'Expenditures 15-22'!E47</f>
        <v>551166</v>
      </c>
      <c r="C847" s="2" t="s">
        <v>594</v>
      </c>
      <c r="D847" s="2" t="str">
        <f t="shared" si="12"/>
        <v>Error?</v>
      </c>
    </row>
    <row r="848" spans="1:4" x14ac:dyDescent="0.2">
      <c r="A848" s="5">
        <v>787</v>
      </c>
      <c r="B848" s="138">
        <f>'Expenditures 15-22'!E49</f>
        <v>86449</v>
      </c>
      <c r="D848" s="2" t="str">
        <f t="shared" si="12"/>
        <v>Error?</v>
      </c>
    </row>
    <row r="849" spans="1:4" x14ac:dyDescent="0.2">
      <c r="A849" s="5">
        <v>788</v>
      </c>
      <c r="B849" s="138">
        <f>'Expenditures 15-22'!E50</f>
        <v>14732</v>
      </c>
      <c r="D849" s="2" t="str">
        <f t="shared" si="12"/>
        <v>Error?</v>
      </c>
    </row>
    <row r="850" spans="1:4" x14ac:dyDescent="0.2">
      <c r="A850" s="5">
        <v>789</v>
      </c>
      <c r="B850" s="138">
        <f>'Expenditures 15-22'!E53</f>
        <v>106848</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54973</v>
      </c>
      <c r="D854" s="2" t="str">
        <f t="shared" si="12"/>
        <v>Error?</v>
      </c>
    </row>
    <row r="855" spans="1:4" x14ac:dyDescent="0.2">
      <c r="A855" s="5">
        <v>794</v>
      </c>
      <c r="B855" s="138">
        <f>'Expenditures 15-22'!E60</f>
        <v>0</v>
      </c>
      <c r="D855" s="2" t="str">
        <f t="shared" si="12"/>
        <v>Error?</v>
      </c>
    </row>
    <row r="856" spans="1:4" x14ac:dyDescent="0.2">
      <c r="A856" s="5">
        <v>795</v>
      </c>
      <c r="B856" s="138">
        <f>'Expenditures 15-22'!E61</f>
        <v>6150</v>
      </c>
      <c r="D856" s="2" t="str">
        <f t="shared" si="12"/>
        <v>Error?</v>
      </c>
    </row>
    <row r="857" spans="1:4" x14ac:dyDescent="0.2">
      <c r="A857" s="5">
        <v>796</v>
      </c>
      <c r="B857" s="138">
        <f>'Expenditures 15-22'!E62</f>
        <v>2357</v>
      </c>
      <c r="D857" s="2" t="str">
        <f t="shared" si="12"/>
        <v>Error?</v>
      </c>
    </row>
    <row r="858" spans="1:4" x14ac:dyDescent="0.2">
      <c r="A858" s="5">
        <v>797</v>
      </c>
      <c r="B858" s="138">
        <f>'Expenditures 15-22'!E63</f>
        <v>777089</v>
      </c>
      <c r="D858" s="2" t="str">
        <f t="shared" si="12"/>
        <v>Error?</v>
      </c>
    </row>
    <row r="859" spans="1:4" x14ac:dyDescent="0.2">
      <c r="A859" s="5">
        <v>798</v>
      </c>
      <c r="B859" s="138">
        <f>'Expenditures 15-22'!E64</f>
        <v>287953</v>
      </c>
      <c r="D859" s="2" t="str">
        <f t="shared" si="12"/>
        <v>Error?</v>
      </c>
    </row>
    <row r="860" spans="1:4" x14ac:dyDescent="0.2">
      <c r="A860" s="10">
        <v>799</v>
      </c>
      <c r="D860" s="2" t="str">
        <f t="shared" si="12"/>
        <v>OK</v>
      </c>
    </row>
    <row r="861" spans="1:4" x14ac:dyDescent="0.2">
      <c r="A861" s="5">
        <v>800</v>
      </c>
      <c r="B861" s="138">
        <f>'Expenditures 15-22'!E65</f>
        <v>1128522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558</v>
      </c>
      <c r="D864" s="2" t="str">
        <f t="shared" si="12"/>
        <v>Error?</v>
      </c>
    </row>
    <row r="865" spans="1:4" x14ac:dyDescent="0.2">
      <c r="A865" s="5">
        <v>804</v>
      </c>
      <c r="B865" s="138">
        <f>'Expenditures 15-22'!E70</f>
        <v>35257</v>
      </c>
      <c r="D865" s="2" t="str">
        <f t="shared" si="12"/>
        <v>Error?</v>
      </c>
    </row>
    <row r="866" spans="1:4" x14ac:dyDescent="0.2">
      <c r="A866" s="10">
        <v>805</v>
      </c>
      <c r="D866" s="2" t="str">
        <f t="shared" si="12"/>
        <v>OK</v>
      </c>
    </row>
    <row r="867" spans="1:4" x14ac:dyDescent="0.2">
      <c r="A867" s="5">
        <v>806</v>
      </c>
      <c r="B867" s="138">
        <f>'Expenditures 15-22'!E71</f>
        <v>65263</v>
      </c>
      <c r="D867" s="2" t="str">
        <f t="shared" si="12"/>
        <v>Error?</v>
      </c>
    </row>
    <row r="868" spans="1:4" x14ac:dyDescent="0.2">
      <c r="A868" s="10">
        <v>807</v>
      </c>
      <c r="D868" s="2" t="str">
        <f t="shared" si="12"/>
        <v>OK</v>
      </c>
    </row>
    <row r="869" spans="1:4" x14ac:dyDescent="0.2">
      <c r="A869" s="5">
        <v>808</v>
      </c>
      <c r="B869" s="138">
        <f>'Expenditures 15-22'!E72</f>
        <v>101078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1921356</v>
      </c>
      <c r="C871" s="2" t="s">
        <v>594</v>
      </c>
      <c r="D871" s="2" t="str">
        <f t="shared" si="12"/>
        <v>Error?</v>
      </c>
    </row>
    <row r="872" spans="1:4" x14ac:dyDescent="0.2">
      <c r="A872" s="5">
        <v>811</v>
      </c>
      <c r="B872" s="138">
        <f>'Expenditures 15-22'!E75</f>
        <v>53086</v>
      </c>
      <c r="D872" s="2" t="str">
        <f t="shared" si="12"/>
        <v>Error?</v>
      </c>
    </row>
    <row r="873" spans="1:4" x14ac:dyDescent="0.2">
      <c r="A873" s="5">
        <v>812</v>
      </c>
      <c r="B873" s="138">
        <f>'Expenditures 15-22'!E114</f>
        <v>3166028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801694</v>
      </c>
      <c r="D879" s="2" t="str">
        <f t="shared" si="12"/>
        <v>Error?</v>
      </c>
    </row>
    <row r="880" spans="1:4" x14ac:dyDescent="0.2">
      <c r="A880" s="5">
        <v>819</v>
      </c>
      <c r="B880" s="138">
        <f>'Expenditures 15-22'!F16</f>
        <v>11864</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49579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66741</v>
      </c>
      <c r="D892" s="2" t="str">
        <f t="shared" si="12"/>
        <v>Error?</v>
      </c>
    </row>
    <row r="893" spans="1:4" x14ac:dyDescent="0.2">
      <c r="A893" s="5">
        <v>832</v>
      </c>
      <c r="B893" s="138">
        <f>'Expenditures 15-22'!F15</f>
        <v>266</v>
      </c>
      <c r="D893" s="2" t="str">
        <f t="shared" si="12"/>
        <v>Error?</v>
      </c>
    </row>
    <row r="894" spans="1:4" x14ac:dyDescent="0.2">
      <c r="A894" s="5">
        <v>833</v>
      </c>
      <c r="B894" s="138">
        <f>'Expenditures 15-22'!F33</f>
        <v>996736</v>
      </c>
      <c r="C894" s="2" t="s">
        <v>594</v>
      </c>
      <c r="D894" s="2" t="str">
        <f t="shared" si="12"/>
        <v>Error?</v>
      </c>
    </row>
    <row r="895" spans="1:4" x14ac:dyDescent="0.2">
      <c r="A895" s="5">
        <v>834</v>
      </c>
      <c r="B895" s="138">
        <f>'Expenditures 15-22'!F36</f>
        <v>1458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7829</v>
      </c>
      <c r="D897" s="2" t="str">
        <f t="shared" si="13"/>
        <v>Error?</v>
      </c>
    </row>
    <row r="898" spans="1:4" x14ac:dyDescent="0.2">
      <c r="A898" s="5">
        <v>837</v>
      </c>
      <c r="B898" s="138">
        <f>'Expenditures 15-22'!F39</f>
        <v>3814</v>
      </c>
      <c r="D898" s="2" t="str">
        <f t="shared" si="13"/>
        <v>Error?</v>
      </c>
    </row>
    <row r="899" spans="1:4" x14ac:dyDescent="0.2">
      <c r="A899" s="5">
        <v>838</v>
      </c>
      <c r="B899" s="138">
        <f>'Expenditures 15-22'!F40</f>
        <v>7037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20138</v>
      </c>
      <c r="C901" s="2" t="s">
        <v>594</v>
      </c>
      <c r="D901" s="2" t="str">
        <f t="shared" si="13"/>
        <v>Error?</v>
      </c>
    </row>
    <row r="902" spans="1:4" x14ac:dyDescent="0.2">
      <c r="A902" s="5">
        <v>841</v>
      </c>
      <c r="B902" s="138">
        <f>'Expenditures 15-22'!F44</f>
        <v>37945</v>
      </c>
      <c r="D902" s="2" t="str">
        <f t="shared" si="13"/>
        <v>Error?</v>
      </c>
    </row>
    <row r="903" spans="1:4" x14ac:dyDescent="0.2">
      <c r="A903" s="5">
        <v>842</v>
      </c>
      <c r="B903" s="138">
        <f>'Expenditures 15-22'!F45</f>
        <v>0</v>
      </c>
      <c r="D903" s="2" t="str">
        <f t="shared" si="13"/>
        <v>Error?</v>
      </c>
    </row>
    <row r="904" spans="1:4" x14ac:dyDescent="0.2">
      <c r="A904" s="5">
        <v>843</v>
      </c>
      <c r="B904" s="138">
        <f>'Expenditures 15-22'!F46</f>
        <v>114659</v>
      </c>
      <c r="D904" s="2" t="str">
        <f t="shared" si="13"/>
        <v>Error?</v>
      </c>
    </row>
    <row r="905" spans="1:4" x14ac:dyDescent="0.2">
      <c r="A905" s="5">
        <v>844</v>
      </c>
      <c r="B905" s="138">
        <f>'Expenditures 15-22'!F47</f>
        <v>152604</v>
      </c>
      <c r="C905" s="2" t="s">
        <v>594</v>
      </c>
      <c r="D905" s="2" t="str">
        <f t="shared" si="13"/>
        <v>Error?</v>
      </c>
    </row>
    <row r="906" spans="1:4" x14ac:dyDescent="0.2">
      <c r="A906" s="5">
        <v>845</v>
      </c>
      <c r="B906" s="138">
        <f>'Expenditures 15-22'!F49</f>
        <v>13110</v>
      </c>
      <c r="D906" s="2" t="str">
        <f t="shared" si="13"/>
        <v>Error?</v>
      </c>
    </row>
    <row r="907" spans="1:4" x14ac:dyDescent="0.2">
      <c r="A907" s="5">
        <v>846</v>
      </c>
      <c r="B907" s="138">
        <f>'Expenditures 15-22'!F50</f>
        <v>13212</v>
      </c>
      <c r="D907" s="2" t="str">
        <f t="shared" si="13"/>
        <v>Error?</v>
      </c>
    </row>
    <row r="908" spans="1:4" x14ac:dyDescent="0.2">
      <c r="A908" s="5">
        <v>847</v>
      </c>
      <c r="B908" s="138">
        <f>'Expenditures 15-22'!F53</f>
        <v>26758</v>
      </c>
      <c r="C908" s="2" t="s">
        <v>594</v>
      </c>
      <c r="D908" s="2" t="str">
        <f t="shared" si="13"/>
        <v>Error?</v>
      </c>
    </row>
    <row r="909" spans="1:4" x14ac:dyDescent="0.2">
      <c r="A909" s="5">
        <v>848</v>
      </c>
      <c r="B909" s="138">
        <f>'Expenditures 15-22'!F55</f>
        <v>48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48</v>
      </c>
      <c r="C911" s="2" t="s">
        <v>594</v>
      </c>
      <c r="D911" s="2" t="str">
        <f t="shared" si="13"/>
        <v>Error?</v>
      </c>
    </row>
    <row r="912" spans="1:4" x14ac:dyDescent="0.2">
      <c r="A912" s="5">
        <v>851</v>
      </c>
      <c r="B912" s="138">
        <f>'Expenditures 15-22'!F59</f>
        <v>55146</v>
      </c>
      <c r="D912" s="2" t="str">
        <f t="shared" si="13"/>
        <v>Error?</v>
      </c>
    </row>
    <row r="913" spans="1:4" x14ac:dyDescent="0.2">
      <c r="A913" s="5">
        <v>852</v>
      </c>
      <c r="B913" s="138">
        <f>'Expenditures 15-22'!F60</f>
        <v>0</v>
      </c>
      <c r="D913" s="2" t="str">
        <f t="shared" si="13"/>
        <v>Error?</v>
      </c>
    </row>
    <row r="914" spans="1:4" x14ac:dyDescent="0.2">
      <c r="A914" s="5">
        <v>853</v>
      </c>
      <c r="B914" s="138">
        <f>'Expenditures 15-22'!F61</f>
        <v>500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75721</v>
      </c>
      <c r="D916" s="2" t="str">
        <f t="shared" si="13"/>
        <v>Error?</v>
      </c>
    </row>
    <row r="917" spans="1:4" x14ac:dyDescent="0.2">
      <c r="A917" s="5">
        <v>856</v>
      </c>
      <c r="B917" s="138">
        <f>'Expenditures 15-22'!F64</f>
        <v>15939</v>
      </c>
      <c r="D917" s="2" t="str">
        <f t="shared" si="13"/>
        <v>Error?</v>
      </c>
    </row>
    <row r="918" spans="1:4" x14ac:dyDescent="0.2">
      <c r="A918" s="10">
        <v>857</v>
      </c>
      <c r="D918" s="2" t="str">
        <f t="shared" si="13"/>
        <v>OK</v>
      </c>
    </row>
    <row r="919" spans="1:4" x14ac:dyDescent="0.2">
      <c r="A919" s="5">
        <v>858</v>
      </c>
      <c r="B919" s="138">
        <f>'Expenditures 15-22'!F65</f>
        <v>147306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22953</v>
      </c>
      <c r="D923" s="2" t="str">
        <f t="shared" si="13"/>
        <v>Error?</v>
      </c>
    </row>
    <row r="924" spans="1:4" x14ac:dyDescent="0.2">
      <c r="A924" s="10">
        <v>863</v>
      </c>
      <c r="D924" s="2" t="str">
        <f t="shared" si="13"/>
        <v>OK</v>
      </c>
    </row>
    <row r="925" spans="1:4" x14ac:dyDescent="0.2">
      <c r="A925" s="5">
        <v>864</v>
      </c>
      <c r="B925" s="138">
        <f>'Expenditures 15-22'!F71</f>
        <v>412608</v>
      </c>
      <c r="D925" s="2" t="str">
        <f t="shared" si="13"/>
        <v>Error?</v>
      </c>
    </row>
    <row r="926" spans="1:4" x14ac:dyDescent="0.2">
      <c r="A926" s="10">
        <v>865</v>
      </c>
      <c r="D926" s="2" t="str">
        <f t="shared" si="13"/>
        <v>OK</v>
      </c>
    </row>
    <row r="927" spans="1:4" x14ac:dyDescent="0.2">
      <c r="A927" s="5">
        <v>866</v>
      </c>
      <c r="B927" s="138">
        <f>'Expenditures 15-22'!F72</f>
        <v>435561</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782415</v>
      </c>
      <c r="C929" s="2" t="s">
        <v>594</v>
      </c>
      <c r="D929" s="2" t="str">
        <f t="shared" si="13"/>
        <v>Error?</v>
      </c>
    </row>
    <row r="930" spans="1:4" x14ac:dyDescent="0.2">
      <c r="A930" s="5">
        <v>869</v>
      </c>
      <c r="B930" s="138">
        <f>'Expenditures 15-22'!F75</f>
        <v>30560</v>
      </c>
      <c r="D930" s="2" t="str">
        <f t="shared" si="13"/>
        <v>Error?</v>
      </c>
    </row>
    <row r="931" spans="1:4" x14ac:dyDescent="0.2">
      <c r="A931" s="5">
        <v>870</v>
      </c>
      <c r="B931" s="138">
        <f>'Expenditures 15-22'!F114</f>
        <v>1809711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130500</v>
      </c>
      <c r="D983" s="2" t="str">
        <f t="shared" si="14"/>
        <v>Error?</v>
      </c>
    </row>
    <row r="984" spans="1:4" x14ac:dyDescent="0.2">
      <c r="A984" s="10">
        <v>923</v>
      </c>
      <c r="D984" s="2" t="str">
        <f t="shared" si="14"/>
        <v>OK</v>
      </c>
    </row>
    <row r="985" spans="1:4" x14ac:dyDescent="0.2">
      <c r="A985" s="5">
        <v>924</v>
      </c>
      <c r="B985" s="138">
        <f>'Expenditures 15-22'!G72</f>
        <v>130500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130500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130500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1728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6051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526036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11330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11330</v>
      </c>
      <c r="C1021" s="2" t="s">
        <v>594</v>
      </c>
      <c r="D1021" s="2" t="str">
        <f t="shared" si="14"/>
        <v>Error?</v>
      </c>
    </row>
    <row r="1022" spans="1:4" x14ac:dyDescent="0.2">
      <c r="A1022" s="5">
        <v>961</v>
      </c>
      <c r="B1022" s="138">
        <f>'Expenditures 15-22'!H49</f>
        <v>6797</v>
      </c>
      <c r="D1022" s="2" t="str">
        <f t="shared" si="14"/>
        <v>Error?</v>
      </c>
    </row>
    <row r="1023" spans="1:4" x14ac:dyDescent="0.2">
      <c r="A1023" s="5">
        <v>962</v>
      </c>
      <c r="B1023" s="138">
        <f>'Expenditures 15-22'!H50</f>
        <v>19771</v>
      </c>
      <c r="D1023" s="2" t="str">
        <f t="shared" ref="D1023:D1086" si="15">IF(ISBLANK(B1023),"OK",IF(A1023-B1023=0,"OK","Error?"))</f>
        <v>Error?</v>
      </c>
    </row>
    <row r="1024" spans="1:4" x14ac:dyDescent="0.2">
      <c r="A1024" s="5">
        <v>963</v>
      </c>
      <c r="B1024" s="138">
        <f>'Expenditures 15-22'!H53</f>
        <v>26568</v>
      </c>
      <c r="C1024" s="2" t="s">
        <v>594</v>
      </c>
      <c r="D1024" s="2" t="str">
        <f t="shared" si="15"/>
        <v>Error?</v>
      </c>
    </row>
    <row r="1025" spans="1:4" x14ac:dyDescent="0.2">
      <c r="A1025" s="5">
        <v>964</v>
      </c>
      <c r="B1025" s="138">
        <f>'Expenditures 15-22'!H55</f>
        <v>595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595</v>
      </c>
      <c r="C1027" s="2" t="s">
        <v>594</v>
      </c>
      <c r="D1027" s="2" t="str">
        <f t="shared" si="15"/>
        <v>Error?</v>
      </c>
    </row>
    <row r="1028" spans="1:4" x14ac:dyDescent="0.2">
      <c r="A1028" s="5">
        <v>967</v>
      </c>
      <c r="B1028" s="138">
        <f>'Expenditures 15-22'!H59</f>
        <v>3044</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3044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325</v>
      </c>
      <c r="D1038" s="2" t="str">
        <f t="shared" si="15"/>
        <v>Error?</v>
      </c>
    </row>
    <row r="1039" spans="1:4" x14ac:dyDescent="0.2">
      <c r="A1039" s="5">
        <v>978</v>
      </c>
      <c r="B1039" s="138">
        <f>'Expenditures 15-22'!H70</f>
        <v>70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395</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41932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488213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1056181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13347685</v>
      </c>
      <c r="C1093" s="2" t="s">
        <v>594</v>
      </c>
      <c r="D1093" s="2" t="str">
        <f t="shared" si="16"/>
        <v>Error?</v>
      </c>
    </row>
    <row r="1094" spans="1:4" x14ac:dyDescent="0.2">
      <c r="A1094" s="5">
        <v>1033</v>
      </c>
      <c r="B1094" s="138">
        <f>'Expenditures 15-22'!K16</f>
        <v>287145</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2082292</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192750</v>
      </c>
      <c r="C1106" s="2" t="s">
        <v>594</v>
      </c>
      <c r="D1106" s="2" t="str">
        <f t="shared" si="16"/>
        <v>Error?</v>
      </c>
    </row>
    <row r="1107" spans="1:4" x14ac:dyDescent="0.2">
      <c r="A1107" s="5">
        <v>1046</v>
      </c>
      <c r="B1107" s="138">
        <f>'Expenditures 15-22'!K15</f>
        <v>93833</v>
      </c>
      <c r="C1107" s="2" t="s">
        <v>594</v>
      </c>
      <c r="D1107" s="2" t="str">
        <f t="shared" si="16"/>
        <v>Error?</v>
      </c>
    </row>
    <row r="1108" spans="1:4" x14ac:dyDescent="0.2">
      <c r="A1108" s="5">
        <v>1047</v>
      </c>
      <c r="B1108" s="138">
        <f>'Expenditures 15-22'!K33</f>
        <v>23557990</v>
      </c>
      <c r="C1108" s="2" t="s">
        <v>594</v>
      </c>
      <c r="D1108" s="2" t="str">
        <f t="shared" si="16"/>
        <v>Error?</v>
      </c>
    </row>
    <row r="1109" spans="1:4" x14ac:dyDescent="0.2">
      <c r="A1109" s="5">
        <v>1048</v>
      </c>
      <c r="B1109" s="138">
        <f>'Expenditures 15-22'!K36</f>
        <v>761064</v>
      </c>
      <c r="C1109" s="2" t="s">
        <v>594</v>
      </c>
      <c r="D1109" s="2" t="str">
        <f t="shared" si="16"/>
        <v>Error?</v>
      </c>
    </row>
    <row r="1110" spans="1:4" x14ac:dyDescent="0.2">
      <c r="A1110" s="5">
        <v>1049</v>
      </c>
      <c r="B1110" s="138">
        <f>'Expenditures 15-22'!K37</f>
        <v>162003</v>
      </c>
      <c r="C1110" s="2" t="s">
        <v>594</v>
      </c>
      <c r="D1110" s="2" t="str">
        <f t="shared" si="16"/>
        <v>Error?</v>
      </c>
    </row>
    <row r="1111" spans="1:4" x14ac:dyDescent="0.2">
      <c r="A1111" s="5">
        <v>1050</v>
      </c>
      <c r="B1111" s="138">
        <f>'Expenditures 15-22'!K38</f>
        <v>588714</v>
      </c>
      <c r="C1111" s="2" t="s">
        <v>594</v>
      </c>
      <c r="D1111" s="2" t="str">
        <f t="shared" si="16"/>
        <v>Error?</v>
      </c>
    </row>
    <row r="1112" spans="1:4" x14ac:dyDescent="0.2">
      <c r="A1112" s="5">
        <v>1051</v>
      </c>
      <c r="B1112" s="138">
        <f>'Expenditures 15-22'!K39</f>
        <v>497356</v>
      </c>
      <c r="C1112" s="2" t="s">
        <v>594</v>
      </c>
      <c r="D1112" s="2" t="str">
        <f t="shared" si="16"/>
        <v>Error?</v>
      </c>
    </row>
    <row r="1113" spans="1:4" x14ac:dyDescent="0.2">
      <c r="A1113" s="5">
        <v>1052</v>
      </c>
      <c r="B1113" s="138">
        <f>'Expenditures 15-22'!K40</f>
        <v>1210444</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3219581</v>
      </c>
      <c r="C1115" s="2" t="s">
        <v>594</v>
      </c>
      <c r="D1115" s="2" t="str">
        <f t="shared" si="16"/>
        <v>Error?</v>
      </c>
    </row>
    <row r="1116" spans="1:4" x14ac:dyDescent="0.2">
      <c r="A1116" s="5">
        <v>1055</v>
      </c>
      <c r="B1116" s="138">
        <f>'Expenditures 15-22'!K44</f>
        <v>1582684</v>
      </c>
      <c r="C1116" s="2" t="s">
        <v>594</v>
      </c>
      <c r="D1116" s="2" t="str">
        <f t="shared" si="16"/>
        <v>Error?</v>
      </c>
    </row>
    <row r="1117" spans="1:4" x14ac:dyDescent="0.2">
      <c r="A1117" s="5">
        <v>1056</v>
      </c>
      <c r="B1117" s="138">
        <f>'Expenditures 15-22'!K45</f>
        <v>629655</v>
      </c>
      <c r="C1117" s="2" t="s">
        <v>594</v>
      </c>
      <c r="D1117" s="2" t="str">
        <f t="shared" si="16"/>
        <v>Error?</v>
      </c>
    </row>
    <row r="1118" spans="1:4" x14ac:dyDescent="0.2">
      <c r="A1118" s="5">
        <v>1057</v>
      </c>
      <c r="B1118" s="138">
        <f>'Expenditures 15-22'!K46</f>
        <v>247390</v>
      </c>
      <c r="C1118" s="2" t="s">
        <v>594</v>
      </c>
      <c r="D1118" s="2" t="str">
        <f t="shared" si="16"/>
        <v>Error?</v>
      </c>
    </row>
    <row r="1119" spans="1:4" x14ac:dyDescent="0.2">
      <c r="A1119" s="5">
        <v>1058</v>
      </c>
      <c r="B1119" s="138">
        <f>'Expenditures 15-22'!K47</f>
        <v>2459729</v>
      </c>
      <c r="C1119" s="2" t="s">
        <v>594</v>
      </c>
      <c r="D1119" s="2" t="str">
        <f t="shared" si="16"/>
        <v>Error?</v>
      </c>
    </row>
    <row r="1120" spans="1:4" x14ac:dyDescent="0.2">
      <c r="A1120" s="5">
        <v>1059</v>
      </c>
      <c r="B1120" s="138">
        <f>'Expenditures 15-22'!K49</f>
        <v>212995</v>
      </c>
      <c r="C1120" s="2" t="s">
        <v>594</v>
      </c>
      <c r="D1120" s="2" t="str">
        <f t="shared" si="16"/>
        <v>Error?</v>
      </c>
    </row>
    <row r="1121" spans="1:4" x14ac:dyDescent="0.2">
      <c r="A1121" s="5">
        <v>1060</v>
      </c>
      <c r="B1121" s="138">
        <f>'Expenditures 15-22'!K50</f>
        <v>531167</v>
      </c>
      <c r="C1121" s="2" t="s">
        <v>594</v>
      </c>
      <c r="D1121" s="2" t="str">
        <f t="shared" si="16"/>
        <v>Error?</v>
      </c>
    </row>
    <row r="1122" spans="1:4" x14ac:dyDescent="0.2">
      <c r="A1122" s="5">
        <v>1061</v>
      </c>
      <c r="B1122" s="138">
        <f>'Expenditures 15-22'!K53</f>
        <v>750265</v>
      </c>
      <c r="C1122" s="2" t="s">
        <v>594</v>
      </c>
      <c r="D1122" s="2" t="str">
        <f t="shared" si="16"/>
        <v>Error?</v>
      </c>
    </row>
    <row r="1123" spans="1:4" x14ac:dyDescent="0.2">
      <c r="A1123" s="5">
        <v>1062</v>
      </c>
      <c r="B1123" s="138">
        <f>'Expenditures 15-22'!K55</f>
        <v>2702501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2702501</v>
      </c>
      <c r="C1125" s="2" t="s">
        <v>594</v>
      </c>
      <c r="D1125" s="2" t="str">
        <f t="shared" si="16"/>
        <v>Error?</v>
      </c>
    </row>
    <row r="1126" spans="1:4" x14ac:dyDescent="0.2">
      <c r="A1126" s="5">
        <v>1065</v>
      </c>
      <c r="B1126" s="138">
        <f>'Expenditures 15-22'!K59</f>
        <v>606947</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6650</v>
      </c>
      <c r="C1128" s="2" t="s">
        <v>594</v>
      </c>
      <c r="D1128" s="2" t="str">
        <f t="shared" si="16"/>
        <v>Error?</v>
      </c>
    </row>
    <row r="1129" spans="1:4" x14ac:dyDescent="0.2">
      <c r="A1129" s="5">
        <v>1068</v>
      </c>
      <c r="B1129" s="138">
        <f>'Expenditures 15-22'!K62</f>
        <v>2357</v>
      </c>
      <c r="C1129" s="2" t="s">
        <v>594</v>
      </c>
      <c r="D1129" s="2" t="str">
        <f t="shared" si="16"/>
        <v>Error?</v>
      </c>
    </row>
    <row r="1130" spans="1:4" x14ac:dyDescent="0.2">
      <c r="A1130" s="5">
        <v>1069</v>
      </c>
      <c r="B1130" s="138">
        <f>'Expenditures 15-22'!K63</f>
        <v>1009581</v>
      </c>
      <c r="C1130" s="2" t="s">
        <v>594</v>
      </c>
      <c r="D1130" s="2" t="str">
        <f t="shared" si="16"/>
        <v>Error?</v>
      </c>
    </row>
    <row r="1131" spans="1:4" x14ac:dyDescent="0.2">
      <c r="A1131" s="5">
        <v>1070</v>
      </c>
      <c r="B1131" s="138">
        <f>'Expenditures 15-22'!K64</f>
        <v>303892</v>
      </c>
      <c r="C1131" s="2" t="s">
        <v>594</v>
      </c>
      <c r="D1131" s="2" t="str">
        <f t="shared" si="16"/>
        <v>Error?</v>
      </c>
    </row>
    <row r="1132" spans="1:4" x14ac:dyDescent="0.2">
      <c r="A1132" s="10">
        <v>1071</v>
      </c>
      <c r="D1132" s="2" t="str">
        <f t="shared" si="16"/>
        <v>OK</v>
      </c>
    </row>
    <row r="1133" spans="1:4" x14ac:dyDescent="0.2">
      <c r="A1133" s="5">
        <v>1072</v>
      </c>
      <c r="B1133" s="138">
        <f>'Expenditures 15-22'!K65</f>
        <v>1929427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68094</v>
      </c>
      <c r="C1136" s="2" t="s">
        <v>594</v>
      </c>
      <c r="D1136" s="2" t="str">
        <f t="shared" si="16"/>
        <v>Error?</v>
      </c>
    </row>
    <row r="1137" spans="1:4" x14ac:dyDescent="0.2">
      <c r="A1137" s="5">
        <v>1076</v>
      </c>
      <c r="B1137" s="138">
        <f>'Expenditures 15-22'!K70</f>
        <v>268967</v>
      </c>
      <c r="C1137" s="2" t="s">
        <v>594</v>
      </c>
      <c r="D1137" s="2" t="str">
        <f t="shared" si="16"/>
        <v>Error?</v>
      </c>
    </row>
    <row r="1138" spans="1:4" x14ac:dyDescent="0.2">
      <c r="A1138" s="10">
        <v>1077</v>
      </c>
      <c r="D1138" s="2" t="str">
        <f t="shared" si="16"/>
        <v>OK</v>
      </c>
    </row>
    <row r="1139" spans="1:4" x14ac:dyDescent="0.2">
      <c r="A1139" s="5">
        <v>1078</v>
      </c>
      <c r="B1139" s="138">
        <f>'Expenditures 15-22'!K71</f>
        <v>1155011</v>
      </c>
      <c r="C1139" s="2" t="s">
        <v>594</v>
      </c>
      <c r="D1139" s="2" t="str">
        <f t="shared" si="16"/>
        <v>Error?</v>
      </c>
    </row>
    <row r="1140" spans="1:4" x14ac:dyDescent="0.2">
      <c r="A1140" s="10">
        <v>1079</v>
      </c>
      <c r="D1140" s="2" t="str">
        <f t="shared" si="16"/>
        <v>OK</v>
      </c>
    </row>
    <row r="1141" spans="1:4" x14ac:dyDescent="0.2">
      <c r="A1141" s="5">
        <v>1080</v>
      </c>
      <c r="B1141" s="138">
        <f>'Expenditures 15-22'!K72</f>
        <v>1492072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12553575</v>
      </c>
      <c r="C1143" s="2" t="s">
        <v>594</v>
      </c>
      <c r="D1143" s="2" t="str">
        <f t="shared" si="16"/>
        <v>Error?</v>
      </c>
    </row>
    <row r="1144" spans="1:4" x14ac:dyDescent="0.2">
      <c r="A1144" s="5">
        <v>1083</v>
      </c>
      <c r="B1144" s="138">
        <f>'Expenditures 15-22'!K75</f>
        <v>138700</v>
      </c>
      <c r="C1144" s="2" t="s">
        <v>594</v>
      </c>
      <c r="D1144" s="2" t="str">
        <f t="shared" si="16"/>
        <v>Error?</v>
      </c>
    </row>
    <row r="1145" spans="1:4" x14ac:dyDescent="0.2">
      <c r="A1145" s="5">
        <v>1084</v>
      </c>
      <c r="B1145" s="138">
        <f>'Expenditures 15-22'!K102</f>
        <v>1621041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37871306</v>
      </c>
      <c r="C1152" s="2" t="s">
        <v>594</v>
      </c>
      <c r="D1152" s="2" t="str">
        <f t="shared" si="17"/>
        <v>Error?</v>
      </c>
    </row>
    <row r="1153" spans="1:4" x14ac:dyDescent="0.2">
      <c r="A1153" s="5">
        <v>1092</v>
      </c>
      <c r="B1153" s="138">
        <f>'Expenditures 15-22'!K115</f>
        <v>-352581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1696725</v>
      </c>
      <c r="D1221" s="2" t="str">
        <f t="shared" si="18"/>
        <v>Error?</v>
      </c>
    </row>
    <row r="1222" spans="1:4" x14ac:dyDescent="0.2">
      <c r="A1222" s="10">
        <v>1161</v>
      </c>
      <c r="D1222" s="2" t="str">
        <f t="shared" si="18"/>
        <v>OK</v>
      </c>
    </row>
    <row r="1223" spans="1:4" x14ac:dyDescent="0.2">
      <c r="A1223" s="5">
        <v>1162</v>
      </c>
      <c r="B1223" s="138">
        <f>'Expenditures 15-22'!C127</f>
        <v>1696725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1696725</v>
      </c>
      <c r="C1225" s="2" t="s">
        <v>594</v>
      </c>
      <c r="D1225" s="2" t="str">
        <f t="shared" si="18"/>
        <v>Error?</v>
      </c>
    </row>
    <row r="1226" spans="1:4" x14ac:dyDescent="0.2">
      <c r="A1226" s="5">
        <v>1165</v>
      </c>
      <c r="B1226" s="138">
        <f>'Expenditures 15-22'!C151</f>
        <v>1696725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209311</v>
      </c>
      <c r="D1229" s="2" t="str">
        <f t="shared" si="18"/>
        <v>Error?</v>
      </c>
    </row>
    <row r="1230" spans="1:4" x14ac:dyDescent="0.2">
      <c r="A1230" s="10">
        <v>1169</v>
      </c>
      <c r="D1230" s="2" t="str">
        <f t="shared" si="18"/>
        <v>OK</v>
      </c>
    </row>
    <row r="1231" spans="1:4" x14ac:dyDescent="0.2">
      <c r="A1231" s="5">
        <v>1170</v>
      </c>
      <c r="B1231" s="138">
        <f>'Expenditures 15-22'!D127</f>
        <v>209311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209311</v>
      </c>
      <c r="C1233" s="2" t="s">
        <v>594</v>
      </c>
      <c r="D1233" s="2" t="str">
        <f t="shared" si="18"/>
        <v>Error?</v>
      </c>
    </row>
    <row r="1234" spans="1:4" x14ac:dyDescent="0.2">
      <c r="A1234" s="5">
        <v>1173</v>
      </c>
      <c r="B1234" s="138">
        <f>'Expenditures 15-22'!D151</f>
        <v>209311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142385</v>
      </c>
      <c r="D1236" s="2" t="str">
        <f t="shared" si="18"/>
        <v>Error?</v>
      </c>
    </row>
    <row r="1237" spans="1:4" x14ac:dyDescent="0.2">
      <c r="A1237" s="5">
        <v>1176</v>
      </c>
      <c r="B1237" s="138">
        <f>'Expenditures 15-22'!E124</f>
        <v>560031</v>
      </c>
      <c r="D1237" s="2" t="str">
        <f t="shared" si="18"/>
        <v>Error?</v>
      </c>
    </row>
    <row r="1238" spans="1:4" x14ac:dyDescent="0.2">
      <c r="A1238" s="10">
        <v>1177</v>
      </c>
      <c r="D1238" s="2" t="str">
        <f t="shared" si="18"/>
        <v>OK</v>
      </c>
    </row>
    <row r="1239" spans="1:4" x14ac:dyDescent="0.2">
      <c r="A1239" s="5">
        <v>1178</v>
      </c>
      <c r="B1239" s="138">
        <f>'Expenditures 15-22'!E127</f>
        <v>702416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702416</v>
      </c>
      <c r="C1241" s="2" t="s">
        <v>594</v>
      </c>
      <c r="D1241" s="2" t="str">
        <f t="shared" si="18"/>
        <v>Error?</v>
      </c>
    </row>
    <row r="1242" spans="1:4" x14ac:dyDescent="0.2">
      <c r="A1242" s="5">
        <v>1181</v>
      </c>
      <c r="B1242" s="138">
        <f>'Expenditures 15-22'!E151</f>
        <v>702416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658992</v>
      </c>
      <c r="D1245" s="2" t="str">
        <f t="shared" si="18"/>
        <v>Error?</v>
      </c>
    </row>
    <row r="1246" spans="1:4" x14ac:dyDescent="0.2">
      <c r="A1246" s="10">
        <v>1185</v>
      </c>
      <c r="D1246" s="2" t="str">
        <f t="shared" si="18"/>
        <v>OK</v>
      </c>
    </row>
    <row r="1247" spans="1:4" x14ac:dyDescent="0.2">
      <c r="A1247" s="5">
        <v>1186</v>
      </c>
      <c r="B1247" s="138">
        <f>'Expenditures 15-22'!F127</f>
        <v>658992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658992</v>
      </c>
      <c r="C1249" s="2" t="s">
        <v>594</v>
      </c>
      <c r="D1249" s="2" t="str">
        <f t="shared" si="18"/>
        <v>Error?</v>
      </c>
    </row>
    <row r="1250" spans="1:4" x14ac:dyDescent="0.2">
      <c r="A1250" s="5">
        <v>1189</v>
      </c>
      <c r="B1250" s="138">
        <f>'Expenditures 15-22'!F151</f>
        <v>658992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51084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51084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51084</v>
      </c>
      <c r="C1258" s="2" t="s">
        <v>594</v>
      </c>
      <c r="D1258" s="2" t="str">
        <f t="shared" si="18"/>
        <v>Error?</v>
      </c>
    </row>
    <row r="1259" spans="1:4" x14ac:dyDescent="0.2">
      <c r="A1259" s="5">
        <v>1198</v>
      </c>
      <c r="B1259" s="138">
        <f>'Expenditures 15-22'!G151</f>
        <v>51084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226</v>
      </c>
      <c r="D1262" s="2" t="str">
        <f t="shared" si="18"/>
        <v>Error?</v>
      </c>
    </row>
    <row r="1263" spans="1:4" x14ac:dyDescent="0.2">
      <c r="A1263" s="10">
        <v>1202</v>
      </c>
      <c r="D1263" s="2" t="str">
        <f t="shared" si="18"/>
        <v>OK</v>
      </c>
    </row>
    <row r="1264" spans="1:4" x14ac:dyDescent="0.2">
      <c r="A1264" s="5">
        <v>1203</v>
      </c>
      <c r="B1264" s="138">
        <f>'Expenditures 15-22'!H127</f>
        <v>226</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226</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226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142385</v>
      </c>
      <c r="C1275" s="2" t="s">
        <v>594</v>
      </c>
      <c r="D1275" s="2" t="str">
        <f t="shared" si="18"/>
        <v>Error?</v>
      </c>
    </row>
    <row r="1276" spans="1:4" x14ac:dyDescent="0.2">
      <c r="A1276" s="5">
        <v>1215</v>
      </c>
      <c r="B1276" s="138">
        <f>'Expenditures 15-22'!K124</f>
        <v>3384083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3526468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3526468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3526468</v>
      </c>
      <c r="C1288" s="2" t="s">
        <v>594</v>
      </c>
      <c r="D1288" s="2" t="str">
        <f t="shared" si="19"/>
        <v>Error?</v>
      </c>
    </row>
    <row r="1289" spans="1:4" x14ac:dyDescent="0.2">
      <c r="A1289" s="5">
        <v>1228</v>
      </c>
      <c r="B1289" s="138">
        <f>'Expenditures 15-22'!K152</f>
        <v>592743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1080563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1550000</v>
      </c>
      <c r="D1315" s="2" t="str">
        <f t="shared" si="19"/>
        <v>Error?</v>
      </c>
    </row>
    <row r="1316" spans="1:4" x14ac:dyDescent="0.2">
      <c r="A1316" s="5">
        <v>1255</v>
      </c>
      <c r="B1316" s="138">
        <f>'Expenditures 15-22'!H171</f>
        <v>8292886</v>
      </c>
      <c r="D1316" s="2" t="str">
        <f t="shared" si="19"/>
        <v>Error?</v>
      </c>
    </row>
    <row r="1317" spans="1:4" x14ac:dyDescent="0.2">
      <c r="A1317" s="5">
        <v>1256</v>
      </c>
      <c r="B1317" s="138">
        <f>'Expenditures 15-22'!H172</f>
        <v>10923449</v>
      </c>
      <c r="C1317" s="2" t="s">
        <v>594</v>
      </c>
      <c r="D1317" s="2" t="str">
        <f t="shared" si="19"/>
        <v>Error?</v>
      </c>
    </row>
    <row r="1318" spans="1:4" x14ac:dyDescent="0.2">
      <c r="A1318" s="5">
        <v>1257</v>
      </c>
      <c r="B1318" s="138">
        <f>'Expenditures 15-22'!H174</f>
        <v>10923449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1080563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1550000</v>
      </c>
      <c r="C1329" s="2" t="s">
        <v>594</v>
      </c>
      <c r="D1329" s="2" t="str">
        <f t="shared" si="19"/>
        <v>Error?</v>
      </c>
    </row>
    <row r="1330" spans="1:4" x14ac:dyDescent="0.2">
      <c r="A1330" s="5">
        <v>1269</v>
      </c>
      <c r="B1330" s="138">
        <f>'Expenditures 15-22'!K171</f>
        <v>8292886</v>
      </c>
      <c r="C1330" s="2" t="s">
        <v>594</v>
      </c>
      <c r="D1330" s="2" t="str">
        <f t="shared" si="19"/>
        <v>Error?</v>
      </c>
    </row>
    <row r="1331" spans="1:4" x14ac:dyDescent="0.2">
      <c r="A1331" s="5">
        <v>1270</v>
      </c>
      <c r="B1331" s="138">
        <f>'Expenditures 15-22'!K172</f>
        <v>10923449</v>
      </c>
      <c r="C1331" s="2" t="s">
        <v>594</v>
      </c>
      <c r="D1331" s="2" t="str">
        <f t="shared" si="19"/>
        <v>Error?</v>
      </c>
    </row>
    <row r="1332" spans="1:4" x14ac:dyDescent="0.2">
      <c r="A1332" s="5">
        <v>1271</v>
      </c>
      <c r="B1332" s="138">
        <f>'Expenditures 15-22'!K174</f>
        <v>10923449</v>
      </c>
      <c r="C1332" s="2" t="s">
        <v>594</v>
      </c>
      <c r="D1332" s="2" t="str">
        <f t="shared" si="19"/>
        <v>Error?</v>
      </c>
    </row>
    <row r="1333" spans="1:4" x14ac:dyDescent="0.2">
      <c r="A1333" s="5">
        <v>1272</v>
      </c>
      <c r="B1333" s="138">
        <f>'Expenditures 15-22'!K175</f>
        <v>-8207532</v>
      </c>
      <c r="C1333" s="2" t="s">
        <v>594</v>
      </c>
      <c r="D1333" s="2" t="str">
        <f t="shared" si="19"/>
        <v>Error?</v>
      </c>
    </row>
    <row r="1334" spans="1:4" x14ac:dyDescent="0.2">
      <c r="A1334" s="10">
        <v>1273</v>
      </c>
      <c r="D1334" s="2" t="str">
        <f t="shared" si="19"/>
        <v>OK</v>
      </c>
    </row>
    <row r="1335" spans="1:4" x14ac:dyDescent="0.2">
      <c r="A1335" s="5">
        <v>1274</v>
      </c>
      <c r="B1335" s="138">
        <f>'Expenditures 15-22'!C182</f>
        <v>34286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34286</v>
      </c>
      <c r="C1339" s="2" t="s">
        <v>594</v>
      </c>
      <c r="D1339" s="2" t="str">
        <f t="shared" si="19"/>
        <v>Error?</v>
      </c>
    </row>
    <row r="1340" spans="1:4" x14ac:dyDescent="0.2">
      <c r="A1340" s="5">
        <v>1279</v>
      </c>
      <c r="B1340" s="138">
        <f>'Expenditures 15-22'!C210</f>
        <v>34286</v>
      </c>
      <c r="C1340" s="2" t="s">
        <v>594</v>
      </c>
      <c r="D1340" s="2" t="str">
        <f t="shared" si="19"/>
        <v>Error?</v>
      </c>
    </row>
    <row r="1341" spans="1:4" x14ac:dyDescent="0.2">
      <c r="A1341" s="5">
        <v>1280</v>
      </c>
      <c r="B1341" s="138">
        <f>'Expenditures 15-22'!D182</f>
        <v>1311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1311</v>
      </c>
      <c r="C1345" s="2" t="s">
        <v>594</v>
      </c>
      <c r="D1345" s="2" t="str">
        <f t="shared" si="20"/>
        <v>Error?</v>
      </c>
    </row>
    <row r="1346" spans="1:4" x14ac:dyDescent="0.2">
      <c r="A1346" s="5">
        <v>1285</v>
      </c>
      <c r="B1346" s="138">
        <f>'Expenditures 15-22'!D210</f>
        <v>1311</v>
      </c>
      <c r="C1346" s="2" t="s">
        <v>594</v>
      </c>
      <c r="D1346" s="2" t="str">
        <f t="shared" si="20"/>
        <v>Error?</v>
      </c>
    </row>
    <row r="1347" spans="1:4" x14ac:dyDescent="0.2">
      <c r="A1347" s="5">
        <v>1286</v>
      </c>
      <c r="B1347" s="138">
        <f>'Expenditures 15-22'!E182</f>
        <v>2311236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2311236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2311236</v>
      </c>
      <c r="C1353" s="2" t="s">
        <v>594</v>
      </c>
      <c r="D1353" s="2" t="str">
        <f t="shared" si="20"/>
        <v>Error?</v>
      </c>
    </row>
    <row r="1354" spans="1:4" x14ac:dyDescent="0.2">
      <c r="A1354" s="5">
        <v>1293</v>
      </c>
      <c r="B1354" s="138">
        <f>'Expenditures 15-22'!F182</f>
        <v>29039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29039</v>
      </c>
      <c r="C1358" s="2" t="s">
        <v>594</v>
      </c>
      <c r="D1358" s="2" t="str">
        <f t="shared" si="20"/>
        <v>Error?</v>
      </c>
    </row>
    <row r="1359" spans="1:4" x14ac:dyDescent="0.2">
      <c r="A1359" s="5">
        <v>1298</v>
      </c>
      <c r="B1359" s="138">
        <f>'Expenditures 15-22'!F210</f>
        <v>29039</v>
      </c>
      <c r="C1359" s="2" t="s">
        <v>594</v>
      </c>
      <c r="D1359" s="2" t="str">
        <f t="shared" si="20"/>
        <v>Error?</v>
      </c>
    </row>
    <row r="1360" spans="1:4" x14ac:dyDescent="0.2">
      <c r="A1360" s="5">
        <v>1299</v>
      </c>
      <c r="B1360" s="138">
        <f>'Expenditures 15-22'!G182</f>
        <v>78479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78479</v>
      </c>
      <c r="C1364" s="2" t="s">
        <v>594</v>
      </c>
      <c r="D1364" s="2" t="str">
        <f t="shared" si="20"/>
        <v>Error?</v>
      </c>
    </row>
    <row r="1365" spans="1:4" x14ac:dyDescent="0.2">
      <c r="A1365" s="5">
        <v>1304</v>
      </c>
      <c r="B1365" s="138">
        <f>'Expenditures 15-22'!G210</f>
        <v>78479</v>
      </c>
      <c r="C1365" s="2" t="s">
        <v>594</v>
      </c>
      <c r="D1365" s="2" t="str">
        <f t="shared" si="20"/>
        <v>Error?</v>
      </c>
    </row>
    <row r="1366" spans="1:4" x14ac:dyDescent="0.2">
      <c r="A1366" s="5">
        <v>1305</v>
      </c>
      <c r="B1366" s="138">
        <f>'Expenditures 15-22'!H182</f>
        <v>160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160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160</v>
      </c>
      <c r="C1376" s="2" t="s">
        <v>594</v>
      </c>
      <c r="D1376" s="2" t="str">
        <f t="shared" si="20"/>
        <v>Error?</v>
      </c>
    </row>
    <row r="1377" spans="1:4" x14ac:dyDescent="0.2">
      <c r="A1377" s="5">
        <v>1316</v>
      </c>
      <c r="B1377" s="138">
        <f>'Expenditures 15-22'!K182</f>
        <v>2454511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2454511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2454511</v>
      </c>
      <c r="C1388" s="2" t="s">
        <v>594</v>
      </c>
      <c r="D1388" s="2" t="str">
        <f t="shared" si="20"/>
        <v>Error?</v>
      </c>
    </row>
    <row r="1389" spans="1:4" x14ac:dyDescent="0.2">
      <c r="A1389" s="5">
        <v>1328</v>
      </c>
      <c r="B1389" s="138">
        <f>'Expenditures 15-22'!K211</f>
        <v>685092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3627</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59261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1753</v>
      </c>
      <c r="D1408" s="2" t="str">
        <f t="shared" si="21"/>
        <v>Error?</v>
      </c>
    </row>
    <row r="1409" spans="1:4" x14ac:dyDescent="0.2">
      <c r="A1409" s="5">
        <v>1348</v>
      </c>
      <c r="B1409" s="138">
        <f>'Expenditures 15-22'!D224</f>
        <v>7977</v>
      </c>
      <c r="D1409" s="2" t="str">
        <f t="shared" si="21"/>
        <v>Error?</v>
      </c>
    </row>
    <row r="1410" spans="1:4" x14ac:dyDescent="0.2">
      <c r="A1410" s="5">
        <v>1349</v>
      </c>
      <c r="B1410" s="138">
        <f>'Expenditures 15-22'!D229</f>
        <v>478616</v>
      </c>
      <c r="C1410" s="2" t="s">
        <v>594</v>
      </c>
      <c r="D1410" s="2" t="str">
        <f t="shared" si="21"/>
        <v>Error?</v>
      </c>
    </row>
    <row r="1411" spans="1:4" x14ac:dyDescent="0.2">
      <c r="A1411" s="5">
        <v>1350</v>
      </c>
      <c r="B1411" s="138">
        <f>'Expenditures 15-22'!D232</f>
        <v>10449</v>
      </c>
      <c r="D1411" s="2" t="str">
        <f t="shared" si="21"/>
        <v>Error?</v>
      </c>
    </row>
    <row r="1412" spans="1:4" x14ac:dyDescent="0.2">
      <c r="A1412" s="5">
        <v>1351</v>
      </c>
      <c r="B1412" s="138">
        <f>'Expenditures 15-22'!D233</f>
        <v>2254</v>
      </c>
      <c r="D1412" s="2" t="str">
        <f t="shared" si="21"/>
        <v>Error?</v>
      </c>
    </row>
    <row r="1413" spans="1:4" x14ac:dyDescent="0.2">
      <c r="A1413" s="5">
        <v>1352</v>
      </c>
      <c r="B1413" s="138">
        <f>'Expenditures 15-22'!D234</f>
        <v>82748</v>
      </c>
      <c r="D1413" s="2" t="str">
        <f t="shared" si="21"/>
        <v>Error?</v>
      </c>
    </row>
    <row r="1414" spans="1:4" x14ac:dyDescent="0.2">
      <c r="A1414" s="5">
        <v>1353</v>
      </c>
      <c r="B1414" s="138">
        <f>'Expenditures 15-22'!D235</f>
        <v>5992</v>
      </c>
      <c r="D1414" s="2" t="str">
        <f t="shared" si="21"/>
        <v>Error?</v>
      </c>
    </row>
    <row r="1415" spans="1:4" x14ac:dyDescent="0.2">
      <c r="A1415" s="5">
        <v>1354</v>
      </c>
      <c r="B1415" s="138">
        <f>'Expenditures 15-22'!D236</f>
        <v>14551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115994</v>
      </c>
      <c r="C1417" s="2" t="s">
        <v>594</v>
      </c>
      <c r="D1417" s="2" t="str">
        <f t="shared" si="21"/>
        <v>Error?</v>
      </c>
    </row>
    <row r="1418" spans="1:4" x14ac:dyDescent="0.2">
      <c r="A1418" s="5">
        <v>1357</v>
      </c>
      <c r="B1418" s="138">
        <f>'Expenditures 15-22'!D240</f>
        <v>28577</v>
      </c>
      <c r="D1418" s="2" t="str">
        <f t="shared" si="21"/>
        <v>Error?</v>
      </c>
    </row>
    <row r="1419" spans="1:4" x14ac:dyDescent="0.2">
      <c r="A1419" s="5">
        <v>1358</v>
      </c>
      <c r="B1419" s="138">
        <f>'Expenditures 15-22'!D241</f>
        <v>51623</v>
      </c>
      <c r="D1419" s="2" t="str">
        <f t="shared" si="21"/>
        <v>Error?</v>
      </c>
    </row>
    <row r="1420" spans="1:4" x14ac:dyDescent="0.2">
      <c r="A1420" s="5">
        <v>1359</v>
      </c>
      <c r="B1420" s="138">
        <f>'Expenditures 15-22'!D242</f>
        <v>1611</v>
      </c>
      <c r="D1420" s="2" t="str">
        <f t="shared" si="21"/>
        <v>Error?</v>
      </c>
    </row>
    <row r="1421" spans="1:4" x14ac:dyDescent="0.2">
      <c r="A1421" s="5">
        <v>1360</v>
      </c>
      <c r="B1421" s="138">
        <f>'Expenditures 15-22'!D243</f>
        <v>81811</v>
      </c>
      <c r="C1421" s="2" t="s">
        <v>594</v>
      </c>
      <c r="D1421" s="2" t="str">
        <f t="shared" si="21"/>
        <v>Error?</v>
      </c>
    </row>
    <row r="1422" spans="1:4" x14ac:dyDescent="0.2">
      <c r="A1422" s="5">
        <v>1361</v>
      </c>
      <c r="B1422" s="138">
        <f>'Expenditures 15-22'!D245</f>
        <v>3430</v>
      </c>
      <c r="D1422" s="2" t="str">
        <f t="shared" si="21"/>
        <v>Error?</v>
      </c>
    </row>
    <row r="1423" spans="1:4" x14ac:dyDescent="0.2">
      <c r="A1423" s="5">
        <v>1362</v>
      </c>
      <c r="B1423" s="138">
        <f>'Expenditures 15-22'!D246</f>
        <v>36469</v>
      </c>
      <c r="D1423" s="2" t="str">
        <f t="shared" si="21"/>
        <v>Error?</v>
      </c>
    </row>
    <row r="1424" spans="1:4" x14ac:dyDescent="0.2">
      <c r="A1424" s="5">
        <v>1363</v>
      </c>
      <c r="B1424" s="138">
        <f>'Expenditures 15-22'!D257</f>
        <v>39899</v>
      </c>
      <c r="C1424" s="2" t="s">
        <v>594</v>
      </c>
      <c r="D1424" s="2" t="str">
        <f t="shared" si="21"/>
        <v>Error?</v>
      </c>
    </row>
    <row r="1425" spans="1:4" x14ac:dyDescent="0.2">
      <c r="A1425" s="5">
        <v>1364</v>
      </c>
      <c r="B1425" s="138">
        <f>'Expenditures 15-22'!D259</f>
        <v>134317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134317</v>
      </c>
      <c r="C1427" s="2" t="s">
        <v>594</v>
      </c>
      <c r="D1427" s="2" t="str">
        <f t="shared" si="21"/>
        <v>Error?</v>
      </c>
    </row>
    <row r="1428" spans="1:4" x14ac:dyDescent="0.2">
      <c r="A1428" s="5">
        <v>1367</v>
      </c>
      <c r="B1428" s="138">
        <f>'Expenditures 15-22'!D263</f>
        <v>58401</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314385</v>
      </c>
      <c r="D1431" s="2" t="str">
        <f t="shared" si="21"/>
        <v>Error?</v>
      </c>
    </row>
    <row r="1432" spans="1:4" x14ac:dyDescent="0.2">
      <c r="A1432" s="5">
        <v>1371</v>
      </c>
      <c r="B1432" s="138">
        <f>'Expenditures 15-22'!D267</f>
        <v>3541</v>
      </c>
      <c r="D1432" s="2" t="str">
        <f t="shared" si="21"/>
        <v>Error?</v>
      </c>
    </row>
    <row r="1433" spans="1:4" x14ac:dyDescent="0.2">
      <c r="A1433" s="5">
        <v>1372</v>
      </c>
      <c r="B1433" s="138">
        <f>'Expenditures 15-22'!D268</f>
        <v>17032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393359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12333</v>
      </c>
      <c r="D1439" s="2" t="str">
        <f t="shared" si="21"/>
        <v>Error?</v>
      </c>
    </row>
    <row r="1440" spans="1:4" x14ac:dyDescent="0.2">
      <c r="A1440" s="5">
        <v>1379</v>
      </c>
      <c r="B1440" s="138">
        <f>'Expenditures 15-22'!D275</f>
        <v>1279</v>
      </c>
      <c r="D1440" s="2" t="str">
        <f t="shared" si="21"/>
        <v>Error?</v>
      </c>
    </row>
    <row r="1441" spans="1:4" x14ac:dyDescent="0.2">
      <c r="A1441" s="10">
        <v>1380</v>
      </c>
      <c r="D1441" s="2" t="str">
        <f t="shared" si="21"/>
        <v>OK</v>
      </c>
    </row>
    <row r="1442" spans="1:4" x14ac:dyDescent="0.2">
      <c r="A1442" s="5">
        <v>1381</v>
      </c>
      <c r="B1442" s="138">
        <f>'Expenditures 15-22'!D276</f>
        <v>50144</v>
      </c>
      <c r="D1442" s="2" t="str">
        <f t="shared" si="21"/>
        <v>Error?</v>
      </c>
    </row>
    <row r="1443" spans="1:4" x14ac:dyDescent="0.2">
      <c r="A1443" s="10">
        <v>1382</v>
      </c>
      <c r="D1443" s="2" t="str">
        <f t="shared" si="21"/>
        <v>OK</v>
      </c>
    </row>
    <row r="1444" spans="1:4" x14ac:dyDescent="0.2">
      <c r="A1444" s="5">
        <v>1383</v>
      </c>
      <c r="B1444" s="138">
        <f>'Expenditures 15-22'!D277</f>
        <v>63756</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829136</v>
      </c>
      <c r="C1446" s="2" t="s">
        <v>594</v>
      </c>
      <c r="D1446" s="2" t="str">
        <f t="shared" si="21"/>
        <v>Error?</v>
      </c>
    </row>
    <row r="1447" spans="1:4" x14ac:dyDescent="0.2">
      <c r="A1447" s="5">
        <v>1386</v>
      </c>
      <c r="B1447" s="138">
        <f>'Expenditures 15-22'!D280</f>
        <v>6061</v>
      </c>
      <c r="D1447" s="2" t="str">
        <f t="shared" si="21"/>
        <v>Error?</v>
      </c>
    </row>
    <row r="1448" spans="1:4" x14ac:dyDescent="0.2">
      <c r="A1448" s="5">
        <v>1387</v>
      </c>
      <c r="B1448" s="138">
        <f>'Expenditures 15-22'!D295</f>
        <v>1313813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3627</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59261</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1753</v>
      </c>
      <c r="C1472" s="2" t="s">
        <v>594</v>
      </c>
      <c r="D1472" s="2" t="str">
        <f t="shared" si="22"/>
        <v>Error?</v>
      </c>
    </row>
    <row r="1473" spans="1:4" x14ac:dyDescent="0.2">
      <c r="A1473" s="5">
        <v>1412</v>
      </c>
      <c r="B1473" s="138">
        <f>'Expenditures 15-22'!K224</f>
        <v>7977</v>
      </c>
      <c r="C1473" s="2" t="s">
        <v>594</v>
      </c>
      <c r="D1473" s="2" t="str">
        <f t="shared" si="22"/>
        <v>Error?</v>
      </c>
    </row>
    <row r="1474" spans="1:4" x14ac:dyDescent="0.2">
      <c r="A1474" s="5">
        <v>1413</v>
      </c>
      <c r="B1474" s="138">
        <f>'Expenditures 15-22'!K229</f>
        <v>478616</v>
      </c>
      <c r="C1474" s="2" t="s">
        <v>594</v>
      </c>
      <c r="D1474" s="2" t="str">
        <f t="shared" si="22"/>
        <v>Error?</v>
      </c>
    </row>
    <row r="1475" spans="1:4" x14ac:dyDescent="0.2">
      <c r="A1475" s="5">
        <v>1414</v>
      </c>
      <c r="B1475" s="138">
        <f>'Expenditures 15-22'!K232</f>
        <v>10449</v>
      </c>
      <c r="C1475" s="2" t="s">
        <v>594</v>
      </c>
      <c r="D1475" s="2" t="str">
        <f t="shared" si="22"/>
        <v>Error?</v>
      </c>
    </row>
    <row r="1476" spans="1:4" x14ac:dyDescent="0.2">
      <c r="A1476" s="5">
        <v>1415</v>
      </c>
      <c r="B1476" s="138">
        <f>'Expenditures 15-22'!K233</f>
        <v>2254</v>
      </c>
      <c r="C1476" s="2" t="s">
        <v>594</v>
      </c>
      <c r="D1476" s="2" t="str">
        <f t="shared" si="22"/>
        <v>Error?</v>
      </c>
    </row>
    <row r="1477" spans="1:4" x14ac:dyDescent="0.2">
      <c r="A1477" s="5">
        <v>1416</v>
      </c>
      <c r="B1477" s="138">
        <f>'Expenditures 15-22'!K234</f>
        <v>82748</v>
      </c>
      <c r="C1477" s="2" t="s">
        <v>594</v>
      </c>
      <c r="D1477" s="2" t="str">
        <f t="shared" si="22"/>
        <v>Error?</v>
      </c>
    </row>
    <row r="1478" spans="1:4" x14ac:dyDescent="0.2">
      <c r="A1478" s="5">
        <v>1417</v>
      </c>
      <c r="B1478" s="138">
        <f>'Expenditures 15-22'!K235</f>
        <v>5992</v>
      </c>
      <c r="C1478" s="2" t="s">
        <v>594</v>
      </c>
      <c r="D1478" s="2" t="str">
        <f t="shared" si="22"/>
        <v>Error?</v>
      </c>
    </row>
    <row r="1479" spans="1:4" x14ac:dyDescent="0.2">
      <c r="A1479" s="5">
        <v>1418</v>
      </c>
      <c r="B1479" s="138">
        <f>'Expenditures 15-22'!K236</f>
        <v>14551</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115994</v>
      </c>
      <c r="C1481" s="2" t="s">
        <v>594</v>
      </c>
      <c r="D1481" s="2" t="str">
        <f t="shared" si="22"/>
        <v>Error?</v>
      </c>
    </row>
    <row r="1482" spans="1:4" x14ac:dyDescent="0.2">
      <c r="A1482" s="5">
        <v>1421</v>
      </c>
      <c r="B1482" s="138">
        <f>'Expenditures 15-22'!K240</f>
        <v>28577</v>
      </c>
      <c r="C1482" s="2" t="s">
        <v>594</v>
      </c>
      <c r="D1482" s="2" t="str">
        <f t="shared" si="22"/>
        <v>Error?</v>
      </c>
    </row>
    <row r="1483" spans="1:4" x14ac:dyDescent="0.2">
      <c r="A1483" s="5">
        <v>1422</v>
      </c>
      <c r="B1483" s="138">
        <f>'Expenditures 15-22'!K241</f>
        <v>51623</v>
      </c>
      <c r="C1483" s="2" t="s">
        <v>594</v>
      </c>
      <c r="D1483" s="2" t="str">
        <f t="shared" si="22"/>
        <v>Error?</v>
      </c>
    </row>
    <row r="1484" spans="1:4" x14ac:dyDescent="0.2">
      <c r="A1484" s="5">
        <v>1423</v>
      </c>
      <c r="B1484" s="138">
        <f>'Expenditures 15-22'!K242</f>
        <v>1611</v>
      </c>
      <c r="C1484" s="2" t="s">
        <v>594</v>
      </c>
      <c r="D1484" s="2" t="str">
        <f t="shared" si="22"/>
        <v>Error?</v>
      </c>
    </row>
    <row r="1485" spans="1:4" x14ac:dyDescent="0.2">
      <c r="A1485" s="5">
        <v>1424</v>
      </c>
      <c r="B1485" s="138">
        <f>'Expenditures 15-22'!K243</f>
        <v>81811</v>
      </c>
      <c r="C1485" s="2" t="s">
        <v>594</v>
      </c>
      <c r="D1485" s="2" t="str">
        <f t="shared" si="22"/>
        <v>Error?</v>
      </c>
    </row>
    <row r="1486" spans="1:4" x14ac:dyDescent="0.2">
      <c r="A1486" s="5">
        <v>1425</v>
      </c>
      <c r="B1486" s="138">
        <f>'Expenditures 15-22'!K245</f>
        <v>3430</v>
      </c>
      <c r="C1486" s="2" t="s">
        <v>594</v>
      </c>
      <c r="D1486" s="2" t="str">
        <f t="shared" si="22"/>
        <v>Error?</v>
      </c>
    </row>
    <row r="1487" spans="1:4" x14ac:dyDescent="0.2">
      <c r="A1487" s="5">
        <v>1426</v>
      </c>
      <c r="B1487" s="138">
        <f>'Expenditures 15-22'!K246</f>
        <v>36469</v>
      </c>
      <c r="C1487" s="2" t="s">
        <v>594</v>
      </c>
      <c r="D1487" s="2" t="str">
        <f t="shared" si="22"/>
        <v>Error?</v>
      </c>
    </row>
    <row r="1488" spans="1:4" x14ac:dyDescent="0.2">
      <c r="A1488" s="5">
        <v>1427</v>
      </c>
      <c r="B1488" s="138">
        <f>'Expenditures 15-22'!K257</f>
        <v>39899</v>
      </c>
      <c r="C1488" s="2" t="s">
        <v>594</v>
      </c>
      <c r="D1488" s="2" t="str">
        <f t="shared" si="22"/>
        <v>Error?</v>
      </c>
    </row>
    <row r="1489" spans="1:4" x14ac:dyDescent="0.2">
      <c r="A1489" s="5">
        <v>1428</v>
      </c>
      <c r="B1489" s="138">
        <f>'Expenditures 15-22'!K259</f>
        <v>134317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134317</v>
      </c>
      <c r="C1491" s="2" t="s">
        <v>594</v>
      </c>
      <c r="D1491" s="2" t="str">
        <f t="shared" si="22"/>
        <v>Error?</v>
      </c>
    </row>
    <row r="1492" spans="1:4" x14ac:dyDescent="0.2">
      <c r="A1492" s="5">
        <v>1431</v>
      </c>
      <c r="B1492" s="138">
        <f>'Expenditures 15-22'!K263</f>
        <v>58401</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314385</v>
      </c>
      <c r="C1495" s="2" t="s">
        <v>594</v>
      </c>
      <c r="D1495" s="2" t="str">
        <f t="shared" si="22"/>
        <v>Error?</v>
      </c>
    </row>
    <row r="1496" spans="1:4" x14ac:dyDescent="0.2">
      <c r="A1496" s="5">
        <v>1435</v>
      </c>
      <c r="B1496" s="138">
        <f>'Expenditures 15-22'!K267</f>
        <v>3541</v>
      </c>
      <c r="C1496" s="2" t="s">
        <v>594</v>
      </c>
      <c r="D1496" s="2" t="str">
        <f t="shared" si="22"/>
        <v>Error?</v>
      </c>
    </row>
    <row r="1497" spans="1:4" x14ac:dyDescent="0.2">
      <c r="A1497" s="5">
        <v>1436</v>
      </c>
      <c r="B1497" s="138">
        <f>'Expenditures 15-22'!K268</f>
        <v>17032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393359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12333</v>
      </c>
      <c r="C1503" s="2" t="s">
        <v>594</v>
      </c>
      <c r="D1503" s="2" t="str">
        <f t="shared" si="22"/>
        <v>Error?</v>
      </c>
    </row>
    <row r="1504" spans="1:4" x14ac:dyDescent="0.2">
      <c r="A1504" s="5">
        <v>1443</v>
      </c>
      <c r="B1504" s="138">
        <f>'Expenditures 15-22'!K275</f>
        <v>1279</v>
      </c>
      <c r="C1504" s="2" t="s">
        <v>594</v>
      </c>
      <c r="D1504" s="2" t="str">
        <f t="shared" si="22"/>
        <v>Error?</v>
      </c>
    </row>
    <row r="1505" spans="1:4" x14ac:dyDescent="0.2">
      <c r="A1505" s="10">
        <v>1444</v>
      </c>
      <c r="D1505" s="2" t="str">
        <f t="shared" si="22"/>
        <v>OK</v>
      </c>
    </row>
    <row r="1506" spans="1:4" x14ac:dyDescent="0.2">
      <c r="A1506" s="5">
        <v>1445</v>
      </c>
      <c r="B1506" s="138">
        <f>'Expenditures 15-22'!K276</f>
        <v>50144</v>
      </c>
      <c r="C1506" s="2" t="s">
        <v>594</v>
      </c>
      <c r="D1506" s="2" t="str">
        <f t="shared" si="22"/>
        <v>Error?</v>
      </c>
    </row>
    <row r="1507" spans="1:4" x14ac:dyDescent="0.2">
      <c r="A1507" s="10">
        <v>1446</v>
      </c>
      <c r="D1507" s="2" t="str">
        <f t="shared" si="22"/>
        <v>OK</v>
      </c>
    </row>
    <row r="1508" spans="1:4" x14ac:dyDescent="0.2">
      <c r="A1508" s="5">
        <v>1447</v>
      </c>
      <c r="B1508" s="138">
        <f>'Expenditures 15-22'!K277</f>
        <v>63756</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829136</v>
      </c>
      <c r="C1510" s="2" t="s">
        <v>594</v>
      </c>
      <c r="D1510" s="2" t="str">
        <f t="shared" si="22"/>
        <v>Error?</v>
      </c>
    </row>
    <row r="1511" spans="1:4" x14ac:dyDescent="0.2">
      <c r="A1511" s="5">
        <v>1450</v>
      </c>
      <c r="B1511" s="138">
        <f>'Expenditures 15-22'!K280</f>
        <v>6061</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1313813</v>
      </c>
      <c r="C1517" s="2" t="s">
        <v>594</v>
      </c>
      <c r="D1517" s="2" t="str">
        <f t="shared" si="22"/>
        <v>Error?</v>
      </c>
    </row>
    <row r="1518" spans="1:4" x14ac:dyDescent="0.2">
      <c r="A1518" s="5">
        <v>1457</v>
      </c>
      <c r="B1518" s="138">
        <f>'Expenditures 15-22'!K296</f>
        <v>451102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898391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898391</v>
      </c>
      <c r="C1547" s="2" t="s">
        <v>594</v>
      </c>
      <c r="D1547" s="2" t="str">
        <f t="shared" si="23"/>
        <v>Error?</v>
      </c>
    </row>
    <row r="1548" spans="1:4" x14ac:dyDescent="0.2">
      <c r="A1548" s="5">
        <v>1487</v>
      </c>
      <c r="B1548" s="138">
        <f>'Expenditures 15-22'!G312</f>
        <v>898391</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898391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898391</v>
      </c>
      <c r="C1559" s="2" t="s">
        <v>594</v>
      </c>
      <c r="D1559" s="2" t="str">
        <f t="shared" si="23"/>
        <v>Error?</v>
      </c>
    </row>
    <row r="1560" spans="1:4" x14ac:dyDescent="0.2">
      <c r="A1560" s="5">
        <v>1499</v>
      </c>
      <c r="B1560" s="138">
        <f>'Expenditures 15-22'!K312</f>
        <v>898391</v>
      </c>
      <c r="C1560" s="2" t="s">
        <v>594</v>
      </c>
      <c r="D1560" s="2" t="str">
        <f t="shared" si="23"/>
        <v>Error?</v>
      </c>
    </row>
    <row r="1561" spans="1:4" x14ac:dyDescent="0.2">
      <c r="A1561" s="5">
        <v>1500</v>
      </c>
      <c r="B1561" s="138">
        <f>'Expenditures 15-22'!K313</f>
        <v>-897791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11448411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11103896</v>
      </c>
      <c r="C1630" s="2" t="s">
        <v>594</v>
      </c>
      <c r="D1630" s="2" t="str">
        <f t="shared" si="24"/>
        <v>Error?</v>
      </c>
    </row>
    <row r="1631" spans="1:4" x14ac:dyDescent="0.2">
      <c r="A1631" s="5">
        <v>1570</v>
      </c>
      <c r="B1631" s="138">
        <f>'Acct Summary 7-8'!D79</f>
        <v>88958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1906504</v>
      </c>
      <c r="C1644" s="2" t="s">
        <v>594</v>
      </c>
      <c r="D1644" s="2" t="str">
        <f t="shared" si="24"/>
        <v>Error?</v>
      </c>
    </row>
    <row r="1645" spans="1:4" x14ac:dyDescent="0.2">
      <c r="A1645" s="5">
        <v>1584</v>
      </c>
      <c r="B1645" s="138">
        <f>'Acct Summary 7-8'!E79</f>
        <v>788269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838775</v>
      </c>
      <c r="C1658" s="2" t="s">
        <v>594</v>
      </c>
      <c r="D1658" s="2" t="str">
        <f t="shared" si="24"/>
        <v>Error?</v>
      </c>
    </row>
    <row r="1659" spans="1:4" x14ac:dyDescent="0.2">
      <c r="A1659" s="5">
        <v>1598</v>
      </c>
      <c r="B1659" s="138">
        <f>'Acct Summary 7-8'!F79</f>
        <v>241325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926417</v>
      </c>
      <c r="C1672" s="2" t="s">
        <v>594</v>
      </c>
      <c r="D1672" s="2" t="str">
        <f t="shared" si="25"/>
        <v>Error?</v>
      </c>
    </row>
    <row r="1673" spans="1:4" x14ac:dyDescent="0.2">
      <c r="A1673" s="5">
        <v>1612</v>
      </c>
      <c r="B1673" s="138">
        <f>'Acct Summary 7-8'!G79</f>
        <v>1367879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1818981</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600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26468207</v>
      </c>
      <c r="C1744" s="2" t="s">
        <v>594</v>
      </c>
      <c r="D1744" s="2" t="str">
        <f t="shared" si="26"/>
        <v>Error?</v>
      </c>
    </row>
    <row r="1745" spans="1:5" x14ac:dyDescent="0.2">
      <c r="A1745" s="5">
        <v>1684</v>
      </c>
      <c r="B1745" s="138">
        <f>'Tax Sched 23'!B5</f>
        <v>3248208</v>
      </c>
      <c r="C1745" s="2" t="s">
        <v>594</v>
      </c>
      <c r="D1745" s="2" t="str">
        <f t="shared" si="26"/>
        <v>Error?</v>
      </c>
    </row>
    <row r="1746" spans="1:5" x14ac:dyDescent="0.2">
      <c r="A1746" s="5">
        <v>1685</v>
      </c>
      <c r="B1746" s="138">
        <f>'Tax Sched 23'!B6</f>
        <v>2707687</v>
      </c>
      <c r="C1746" s="2" t="s">
        <v>594</v>
      </c>
      <c r="D1746" s="2" t="str">
        <f t="shared" si="26"/>
        <v>Error?</v>
      </c>
    </row>
    <row r="1747" spans="1:5" x14ac:dyDescent="0.2">
      <c r="A1747" s="5">
        <v>1686</v>
      </c>
      <c r="B1747" s="138">
        <f>'Tax Sched 23'!B7</f>
        <v>1551884</v>
      </c>
      <c r="C1747" s="2" t="s">
        <v>594</v>
      </c>
      <c r="D1747" s="2" t="str">
        <f t="shared" si="26"/>
        <v>Error?</v>
      </c>
    </row>
    <row r="1748" spans="1:5" x14ac:dyDescent="0.2">
      <c r="A1748" s="5">
        <v>1687</v>
      </c>
      <c r="B1748" s="138">
        <f>'Tax Sched 23'!B8</f>
        <v>1236927</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242985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36232961</v>
      </c>
      <c r="C1759" s="2" t="s">
        <v>594</v>
      </c>
      <c r="D1759" s="2" t="str">
        <f t="shared" si="26"/>
        <v>Error?</v>
      </c>
    </row>
    <row r="1760" spans="1:5" x14ac:dyDescent="0.2">
      <c r="A1760" s="5">
        <v>1699</v>
      </c>
      <c r="B1760" s="138">
        <f>'Tax Sched 23'!D4</f>
        <v>12402201</v>
      </c>
      <c r="C1760" s="2" t="s">
        <v>594</v>
      </c>
      <c r="D1760" s="2" t="str">
        <f t="shared" si="26"/>
        <v>Error?</v>
      </c>
    </row>
    <row r="1761" spans="1:5" x14ac:dyDescent="0.2">
      <c r="A1761" s="5">
        <v>1700</v>
      </c>
      <c r="B1761" s="138">
        <f>'Tax Sched 23'!D5</f>
        <v>1656935</v>
      </c>
      <c r="C1761" s="2" t="s">
        <v>594</v>
      </c>
      <c r="D1761" s="2" t="str">
        <f t="shared" si="26"/>
        <v>Error?</v>
      </c>
    </row>
    <row r="1762" spans="1:5" s="8" customFormat="1" x14ac:dyDescent="0.2">
      <c r="A1762" s="5">
        <v>1701</v>
      </c>
      <c r="B1762" s="138">
        <f>'Tax Sched 23'!D6</f>
        <v>1200860</v>
      </c>
      <c r="C1762" s="2" t="s">
        <v>594</v>
      </c>
      <c r="D1762" s="2" t="str">
        <f t="shared" si="26"/>
        <v>Error?</v>
      </c>
      <c r="E1762" s="9"/>
    </row>
    <row r="1763" spans="1:5" x14ac:dyDescent="0.2">
      <c r="A1763" s="5">
        <v>1702</v>
      </c>
      <c r="B1763" s="138">
        <f>'Tax Sched 23'!D7</f>
        <v>734344</v>
      </c>
      <c r="C1763" s="2" t="s">
        <v>594</v>
      </c>
      <c r="D1763" s="2" t="str">
        <f t="shared" si="26"/>
        <v>Error?</v>
      </c>
    </row>
    <row r="1764" spans="1:5" x14ac:dyDescent="0.2">
      <c r="A1764" s="5">
        <v>1703</v>
      </c>
      <c r="B1764" s="138">
        <f>'Tax Sched 23'!D8</f>
        <v>1032146</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-149363</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114733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17117104</v>
      </c>
      <c r="C1775" s="2" t="s">
        <v>594</v>
      </c>
      <c r="D1775" s="2" t="str">
        <f t="shared" si="26"/>
        <v>Error?</v>
      </c>
    </row>
    <row r="1776" spans="1:5" x14ac:dyDescent="0.2">
      <c r="A1776" s="5">
        <v>1715</v>
      </c>
      <c r="B1776" s="138">
        <f>'Tax Sched 23'!C4</f>
        <v>14066006</v>
      </c>
      <c r="D1776" s="2" t="str">
        <f t="shared" si="26"/>
        <v>Error?</v>
      </c>
    </row>
    <row r="1777" spans="1:4" x14ac:dyDescent="0.2">
      <c r="A1777" s="5">
        <v>1716</v>
      </c>
      <c r="B1777" s="138">
        <f>'Tax Sched 23'!C5</f>
        <v>1591273</v>
      </c>
      <c r="D1777" s="2" t="str">
        <f t="shared" si="26"/>
        <v>Error?</v>
      </c>
    </row>
    <row r="1778" spans="1:4" x14ac:dyDescent="0.2">
      <c r="A1778" s="5">
        <v>1717</v>
      </c>
      <c r="B1778" s="138">
        <f>'Tax Sched 23'!C6</f>
        <v>1506827</v>
      </c>
      <c r="D1778" s="2" t="str">
        <f t="shared" si="26"/>
        <v>Error?</v>
      </c>
    </row>
    <row r="1779" spans="1:4" x14ac:dyDescent="0.2">
      <c r="A1779" s="5">
        <v>1718</v>
      </c>
      <c r="B1779" s="138">
        <f>'Tax Sched 23'!C7</f>
        <v>817540</v>
      </c>
      <c r="D1779" s="2" t="str">
        <f t="shared" si="26"/>
        <v>Error?</v>
      </c>
    </row>
    <row r="1780" spans="1:4" x14ac:dyDescent="0.2">
      <c r="A1780" s="5">
        <v>1719</v>
      </c>
      <c r="B1780" s="138">
        <f>'Tax Sched 23'!C8</f>
        <v>204781</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149363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128252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19115857</v>
      </c>
      <c r="C1791" s="2" t="s">
        <v>594</v>
      </c>
      <c r="D1791" s="2" t="str">
        <f t="shared" ref="D1791:D1854" si="27">IF(ISBLANK(B1791),"OK",IF(A1791-B1791=0,"OK","Error?"))</f>
        <v>Error?</v>
      </c>
    </row>
    <row r="1792" spans="1:4" x14ac:dyDescent="0.2">
      <c r="A1792" s="5">
        <v>1731</v>
      </c>
      <c r="B1792" s="138">
        <f>'Tax Sched 23'!F4</f>
        <v>13331167</v>
      </c>
      <c r="C1792" s="2" t="s">
        <v>594</v>
      </c>
      <c r="D1792" s="2" t="str">
        <f t="shared" si="27"/>
        <v>Error?</v>
      </c>
    </row>
    <row r="1793" spans="1:4" x14ac:dyDescent="0.2">
      <c r="A1793" s="5">
        <v>1732</v>
      </c>
      <c r="B1793" s="138">
        <f>'Tax Sched 23'!F5</f>
        <v>1508141</v>
      </c>
      <c r="C1793" s="2" t="s">
        <v>594</v>
      </c>
      <c r="D1793" s="2" t="str">
        <f t="shared" si="27"/>
        <v>Error?</v>
      </c>
    </row>
    <row r="1794" spans="1:4" x14ac:dyDescent="0.2">
      <c r="A1794" s="5">
        <v>1733</v>
      </c>
      <c r="B1794" s="138">
        <f>'Tax Sched 23'!F6</f>
        <v>1428107</v>
      </c>
      <c r="C1794" s="2" t="s">
        <v>594</v>
      </c>
      <c r="D1794" s="2" t="str">
        <f t="shared" si="27"/>
        <v>Error?</v>
      </c>
    </row>
    <row r="1795" spans="1:4" x14ac:dyDescent="0.2">
      <c r="A1795" s="5">
        <v>1734</v>
      </c>
      <c r="B1795" s="138">
        <f>'Tax Sched 23'!F7</f>
        <v>774829</v>
      </c>
      <c r="C1795" s="2" t="s">
        <v>594</v>
      </c>
      <c r="D1795" s="2" t="str">
        <f t="shared" si="27"/>
        <v>Error?</v>
      </c>
    </row>
    <row r="1796" spans="1:4" x14ac:dyDescent="0.2">
      <c r="A1796" s="5">
        <v>1735</v>
      </c>
      <c r="B1796" s="138">
        <f>'Tax Sched 23'!F8</f>
        <v>194082</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141560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121552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18117200</v>
      </c>
      <c r="C1807" s="2" t="s">
        <v>594</v>
      </c>
      <c r="D1807" s="2" t="str">
        <f t="shared" si="27"/>
        <v>Error?</v>
      </c>
    </row>
    <row r="1808" spans="1:4" x14ac:dyDescent="0.2">
      <c r="A1808" s="5">
        <v>1747</v>
      </c>
      <c r="B1808" s="138">
        <f>'Tax Sched 23'!E4</f>
        <v>27397173</v>
      </c>
      <c r="D1808" s="2" t="str">
        <f t="shared" si="27"/>
        <v>Error?</v>
      </c>
    </row>
    <row r="1809" spans="1:4" x14ac:dyDescent="0.2">
      <c r="A1809" s="5">
        <v>1748</v>
      </c>
      <c r="B1809" s="138">
        <f>'Tax Sched 23'!E5</f>
        <v>3099414</v>
      </c>
      <c r="D1809" s="2" t="str">
        <f t="shared" si="27"/>
        <v>Error?</v>
      </c>
    </row>
    <row r="1810" spans="1:4" x14ac:dyDescent="0.2">
      <c r="A1810" s="5">
        <v>1749</v>
      </c>
      <c r="B1810" s="138">
        <f>'Tax Sched 23'!E6</f>
        <v>2934934</v>
      </c>
      <c r="D1810" s="2" t="str">
        <f t="shared" si="27"/>
        <v>Error?</v>
      </c>
    </row>
    <row r="1811" spans="1:4" x14ac:dyDescent="0.2">
      <c r="A1811" s="5">
        <v>1750</v>
      </c>
      <c r="B1811" s="138">
        <f>'Tax Sched 23'!E7</f>
        <v>1592369</v>
      </c>
      <c r="D1811" s="2" t="str">
        <f t="shared" si="27"/>
        <v>Error?</v>
      </c>
    </row>
    <row r="1812" spans="1:4" x14ac:dyDescent="0.2">
      <c r="A1812" s="5">
        <v>1751</v>
      </c>
      <c r="B1812" s="138">
        <f>'Tax Sched 23'!E8</f>
        <v>398863</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290923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249804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37233057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35949274</v>
      </c>
      <c r="C1939" s="2" t="s">
        <v>594</v>
      </c>
      <c r="D1939" s="2" t="str">
        <f t="shared" si="29"/>
        <v>Error?</v>
      </c>
    </row>
    <row r="1940" spans="1:5" x14ac:dyDescent="0.2">
      <c r="A1940" s="5">
        <v>1879</v>
      </c>
      <c r="B1940" s="138">
        <f>'Short-Term Long-Term Debt 24'!F49</f>
        <v>7610000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247913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247913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247913</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1680195</v>
      </c>
      <c r="D2008" s="2" t="str">
        <f t="shared" si="30"/>
        <v>Error?</v>
      </c>
    </row>
    <row r="2009" spans="1:4" x14ac:dyDescent="0.2">
      <c r="A2009" s="5">
        <v>1948</v>
      </c>
      <c r="B2009" s="138">
        <f>'Cap Outlay Deprec 26'!C8</f>
        <v>49728106</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2132483</v>
      </c>
      <c r="D2011" s="2" t="str">
        <f t="shared" si="30"/>
        <v>Error?</v>
      </c>
    </row>
    <row r="2012" spans="1:4" x14ac:dyDescent="0.2">
      <c r="A2012" s="5">
        <v>1951</v>
      </c>
      <c r="B2012" s="138">
        <f>'Cap Outlay Deprec 26'!C13</f>
        <v>933947</v>
      </c>
      <c r="D2012" s="2" t="str">
        <f t="shared" si="30"/>
        <v>Error?</v>
      </c>
    </row>
    <row r="2013" spans="1:4" x14ac:dyDescent="0.2">
      <c r="A2013" s="5">
        <v>1952</v>
      </c>
      <c r="B2013" s="138">
        <f>'Cap Outlay Deprec 26'!C16</f>
        <v>54474731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664101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130500</v>
      </c>
      <c r="D2017" s="2" t="str">
        <f t="shared" si="30"/>
        <v>Error?</v>
      </c>
    </row>
    <row r="2018" spans="1:4" x14ac:dyDescent="0.2">
      <c r="A2018" s="5">
        <v>1957</v>
      </c>
      <c r="B2018" s="138">
        <f>'Cap Outlay Deprec 26'!D13</f>
        <v>129563</v>
      </c>
      <c r="D2018" s="2" t="str">
        <f t="shared" si="30"/>
        <v>Error?</v>
      </c>
    </row>
    <row r="2019" spans="1:4" x14ac:dyDescent="0.2">
      <c r="A2019" s="5">
        <v>1958</v>
      </c>
      <c r="B2019" s="138">
        <f>'Cap Outlay Deprec 26'!D16</f>
        <v>924164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1680195</v>
      </c>
      <c r="C2026" s="2" t="s">
        <v>594</v>
      </c>
      <c r="D2026" s="2" t="str">
        <f t="shared" si="30"/>
        <v>Error?</v>
      </c>
    </row>
    <row r="2027" spans="1:4" x14ac:dyDescent="0.2">
      <c r="A2027" s="5">
        <v>1966</v>
      </c>
      <c r="B2027" s="138">
        <f>'Cap Outlay Deprec 26'!F8</f>
        <v>50392207</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2262983</v>
      </c>
      <c r="C2029" s="2" t="s">
        <v>594</v>
      </c>
      <c r="D2029" s="2" t="str">
        <f t="shared" si="30"/>
        <v>Error?</v>
      </c>
    </row>
    <row r="2030" spans="1:4" x14ac:dyDescent="0.2">
      <c r="A2030" s="5">
        <v>1969</v>
      </c>
      <c r="B2030" s="138">
        <f>'Cap Outlay Deprec 26'!F13</f>
        <v>1063510</v>
      </c>
      <c r="C2030" s="2" t="s">
        <v>594</v>
      </c>
      <c r="D2030" s="2" t="str">
        <f t="shared" si="30"/>
        <v>Error?</v>
      </c>
    </row>
    <row r="2031" spans="1:4" x14ac:dyDescent="0.2">
      <c r="A2031" s="5">
        <v>1970</v>
      </c>
      <c r="B2031" s="138">
        <f>'Cap Outlay Deprec 26'!F16</f>
        <v>55398895</v>
      </c>
      <c r="C2031" s="2" t="s">
        <v>594</v>
      </c>
      <c r="D2031" s="2" t="str">
        <f t="shared" si="30"/>
        <v>Error?</v>
      </c>
    </row>
    <row r="2032" spans="1:4" x14ac:dyDescent="0.2">
      <c r="A2032" s="10">
        <v>1971</v>
      </c>
      <c r="D2032" s="2" t="str">
        <f t="shared" si="30"/>
        <v>OK</v>
      </c>
    </row>
    <row r="2033" spans="1:4" x14ac:dyDescent="0.2">
      <c r="A2033" s="5">
        <v>1972</v>
      </c>
      <c r="B2033" s="138">
        <f>'Cap Outlay Deprec 26'!H8</f>
        <v>16458729</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2132483</v>
      </c>
      <c r="D2035" s="2" t="str">
        <f t="shared" si="30"/>
        <v>Error?</v>
      </c>
    </row>
    <row r="2036" spans="1:4" x14ac:dyDescent="0.2">
      <c r="A2036" s="5">
        <v>1975</v>
      </c>
      <c r="B2036" s="138">
        <f>'Cap Outlay Deprec 26'!H13</f>
        <v>872764</v>
      </c>
      <c r="D2036" s="2" t="str">
        <f t="shared" si="30"/>
        <v>Error?</v>
      </c>
    </row>
    <row r="2037" spans="1:4" x14ac:dyDescent="0.2">
      <c r="A2037" s="5">
        <v>1976</v>
      </c>
      <c r="B2037" s="138">
        <f>'Cap Outlay Deprec 26'!H16</f>
        <v>19463976</v>
      </c>
      <c r="C2037" s="2" t="s">
        <v>594</v>
      </c>
      <c r="D2037" s="2" t="str">
        <f t="shared" si="30"/>
        <v>Error?</v>
      </c>
    </row>
    <row r="2038" spans="1:4" x14ac:dyDescent="0.2">
      <c r="A2038" s="10">
        <v>1977</v>
      </c>
      <c r="D2038" s="2" t="str">
        <f t="shared" si="30"/>
        <v>OK</v>
      </c>
    </row>
    <row r="2039" spans="1:4" x14ac:dyDescent="0.2">
      <c r="A2039" s="5">
        <v>1978</v>
      </c>
      <c r="B2039" s="138">
        <f>'Cap Outlay Deprec 26'!I8</f>
        <v>1252161</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27624</v>
      </c>
      <c r="D2041" s="2" t="str">
        <f t="shared" si="30"/>
        <v>Error?</v>
      </c>
    </row>
    <row r="2042" spans="1:4" x14ac:dyDescent="0.2">
      <c r="A2042" s="5">
        <v>1981</v>
      </c>
      <c r="B2042" s="138">
        <f>'Cap Outlay Deprec 26'!I13</f>
        <v>41209</v>
      </c>
      <c r="D2042" s="2" t="str">
        <f t="shared" si="30"/>
        <v>Error?</v>
      </c>
    </row>
    <row r="2043" spans="1:4" x14ac:dyDescent="0.2">
      <c r="A2043" s="5">
        <v>1982</v>
      </c>
      <c r="B2043" s="138">
        <f>'Cap Outlay Deprec 26'!I16</f>
        <v>1320994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17710890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2160107</v>
      </c>
      <c r="C2053" s="2" t="s">
        <v>594</v>
      </c>
      <c r="D2053" s="2" t="str">
        <f t="shared" si="31"/>
        <v>Error?</v>
      </c>
    </row>
    <row r="2054" spans="1:4" x14ac:dyDescent="0.2">
      <c r="A2054" s="5">
        <v>1993</v>
      </c>
      <c r="B2054" s="138">
        <f>'Cap Outlay Deprec 26'!K13</f>
        <v>913973</v>
      </c>
      <c r="C2054" s="2" t="s">
        <v>594</v>
      </c>
      <c r="D2054" s="2" t="str">
        <f t="shared" si="31"/>
        <v>Error?</v>
      </c>
    </row>
    <row r="2055" spans="1:4" x14ac:dyDescent="0.2">
      <c r="A2055" s="5">
        <v>1994</v>
      </c>
      <c r="B2055" s="138">
        <f>'Cap Outlay Deprec 26'!K16</f>
        <v>20784970</v>
      </c>
      <c r="C2055" s="2" t="s">
        <v>594</v>
      </c>
      <c r="D2055" s="2" t="str">
        <f t="shared" si="31"/>
        <v>Error?</v>
      </c>
    </row>
    <row r="2056" spans="1:4" x14ac:dyDescent="0.2">
      <c r="A2056" s="5">
        <v>1995</v>
      </c>
      <c r="B2056" s="138">
        <f>'Cap Outlay Deprec 26'!L5</f>
        <v>1680195</v>
      </c>
      <c r="C2056" s="2" t="s">
        <v>594</v>
      </c>
      <c r="D2056" s="2" t="str">
        <f t="shared" si="31"/>
        <v>Error?</v>
      </c>
    </row>
    <row r="2057" spans="1:4" x14ac:dyDescent="0.2">
      <c r="A2057" s="5">
        <v>1996</v>
      </c>
      <c r="B2057" s="138">
        <f>'Cap Outlay Deprec 26'!L8</f>
        <v>32681317</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102876</v>
      </c>
      <c r="C2059" s="2" t="s">
        <v>594</v>
      </c>
      <c r="D2059" s="2" t="str">
        <f t="shared" si="31"/>
        <v>Error?</v>
      </c>
    </row>
    <row r="2060" spans="1:4" x14ac:dyDescent="0.2">
      <c r="A2060" s="5">
        <v>1999</v>
      </c>
      <c r="B2060" s="138">
        <f>'Cap Outlay Deprec 26'!L13</f>
        <v>149537</v>
      </c>
      <c r="C2060" s="2" t="s">
        <v>594</v>
      </c>
      <c r="D2060" s="2" t="str">
        <f t="shared" si="31"/>
        <v>Error?</v>
      </c>
    </row>
    <row r="2061" spans="1:4" x14ac:dyDescent="0.2">
      <c r="A2061" s="5">
        <v>2000</v>
      </c>
      <c r="B2061" s="138">
        <f>'Cap Outlay Deprec 26'!L16</f>
        <v>34613925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488213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1621041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1935643</v>
      </c>
      <c r="C2105" s="2" t="s">
        <v>594</v>
      </c>
      <c r="D2105" s="2" t="str">
        <f t="shared" si="31"/>
        <v>Error?</v>
      </c>
    </row>
    <row r="2106" spans="1:4" x14ac:dyDescent="0.2">
      <c r="A2106" s="5">
        <v>2045</v>
      </c>
      <c r="B2106" s="138">
        <f>'Acct Summary 7-8'!I48</f>
        <v>195617</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10930292</v>
      </c>
      <c r="D2435" s="2" t="str">
        <f t="shared" si="37"/>
        <v>Error?</v>
      </c>
    </row>
    <row r="2436" spans="1:4" x14ac:dyDescent="0.2">
      <c r="A2436" s="10">
        <v>2375</v>
      </c>
      <c r="D2436" s="2" t="str">
        <f t="shared" si="37"/>
        <v>OK</v>
      </c>
    </row>
    <row r="2437" spans="1:4" x14ac:dyDescent="0.2">
      <c r="A2437" s="5">
        <v>2376</v>
      </c>
      <c r="B2437" s="138">
        <f>'Assets-Liab 5-6'!D38</f>
        <v>1897527</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926417</v>
      </c>
      <c r="D2475" s="2" t="str">
        <f t="shared" si="37"/>
        <v>Error?</v>
      </c>
    </row>
    <row r="2476" spans="1:4" x14ac:dyDescent="0.2">
      <c r="A2476" s="10">
        <v>2415</v>
      </c>
      <c r="D2476" s="2" t="str">
        <f t="shared" si="37"/>
        <v>OK</v>
      </c>
    </row>
    <row r="2477" spans="1:4" x14ac:dyDescent="0.2">
      <c r="A2477" s="5">
        <v>2416</v>
      </c>
      <c r="B2477" s="138">
        <f>'Assets-Liab 5-6'!G38</f>
        <v>1818981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838775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600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27692711</v>
      </c>
      <c r="C2551" s="2" t="s">
        <v>594</v>
      </c>
      <c r="D2551" s="2" t="str">
        <f t="shared" si="38"/>
        <v>Error?</v>
      </c>
    </row>
    <row r="2552" spans="1:4" x14ac:dyDescent="0.2">
      <c r="A2552" s="10">
        <v>2491</v>
      </c>
      <c r="D2552" s="2" t="str">
        <f t="shared" si="38"/>
        <v>OK</v>
      </c>
    </row>
    <row r="2553" spans="1:4" x14ac:dyDescent="0.2">
      <c r="A2553" s="5">
        <v>2492</v>
      </c>
      <c r="B2553" s="138">
        <f>'Acct Summary 7-8'!C6</f>
        <v>6498613</v>
      </c>
      <c r="C2553" s="2" t="s">
        <v>594</v>
      </c>
      <c r="D2553" s="2" t="str">
        <f t="shared" si="38"/>
        <v>Error?</v>
      </c>
    </row>
    <row r="2554" spans="1:4" x14ac:dyDescent="0.2">
      <c r="A2554" s="5">
        <v>2493</v>
      </c>
      <c r="B2554" s="138">
        <f>'Acct Summary 7-8'!C7</f>
        <v>3327401</v>
      </c>
      <c r="C2554" s="2" t="s">
        <v>594</v>
      </c>
      <c r="D2554" s="2" t="str">
        <f t="shared" si="38"/>
        <v>Error?</v>
      </c>
    </row>
    <row r="2555" spans="1:4" x14ac:dyDescent="0.2">
      <c r="A2555" s="5">
        <v>2494</v>
      </c>
      <c r="B2555" s="138">
        <f>'Acct Summary 7-8'!C8</f>
        <v>37518725</v>
      </c>
      <c r="C2555" s="2" t="s">
        <v>594</v>
      </c>
      <c r="D2555" s="2" t="str">
        <f t="shared" si="38"/>
        <v>Error?</v>
      </c>
    </row>
    <row r="2556" spans="1:4" x14ac:dyDescent="0.2">
      <c r="A2556" s="5">
        <v>2495</v>
      </c>
      <c r="B2556" s="138">
        <f>'Acct Summary 7-8'!C12</f>
        <v>23557990</v>
      </c>
      <c r="C2556" s="2" t="s">
        <v>594</v>
      </c>
      <c r="D2556" s="2" t="str">
        <f t="shared" si="38"/>
        <v>Error?</v>
      </c>
    </row>
    <row r="2557" spans="1:4" x14ac:dyDescent="0.2">
      <c r="A2557" s="5">
        <v>2496</v>
      </c>
      <c r="B2557" s="138">
        <f>'Acct Summary 7-8'!C13</f>
        <v>12553575</v>
      </c>
      <c r="C2557" s="2" t="s">
        <v>594</v>
      </c>
      <c r="D2557" s="2" t="str">
        <f t="shared" si="38"/>
        <v>Error?</v>
      </c>
    </row>
    <row r="2558" spans="1:4" x14ac:dyDescent="0.2">
      <c r="A2558" s="5">
        <v>2497</v>
      </c>
      <c r="B2558" s="138">
        <f>'Acct Summary 7-8'!C14</f>
        <v>138700</v>
      </c>
      <c r="C2558" s="2" t="s">
        <v>594</v>
      </c>
      <c r="D2558" s="2" t="str">
        <f t="shared" si="38"/>
        <v>Error?</v>
      </c>
    </row>
    <row r="2559" spans="1:4" x14ac:dyDescent="0.2">
      <c r="A2559" s="5">
        <v>2498</v>
      </c>
      <c r="B2559" s="138">
        <f>'Acct Summary 7-8'!C15</f>
        <v>1621041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37871306</v>
      </c>
      <c r="C2561" s="2" t="s">
        <v>594</v>
      </c>
      <c r="D2561" s="2" t="str">
        <f t="shared" si="39"/>
        <v>Error?</v>
      </c>
    </row>
    <row r="2562" spans="1:4" x14ac:dyDescent="0.2">
      <c r="A2562" s="5">
        <v>2501</v>
      </c>
      <c r="B2562" s="138">
        <f>'Acct Summary 7-8'!C20</f>
        <v>-352581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4119211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4119211</v>
      </c>
      <c r="C2568" s="2" t="s">
        <v>594</v>
      </c>
      <c r="D2568" s="2" t="str">
        <f t="shared" si="39"/>
        <v>Error?</v>
      </c>
    </row>
    <row r="2569" spans="1:4" x14ac:dyDescent="0.2">
      <c r="A2569" s="5">
        <v>2508</v>
      </c>
      <c r="B2569" s="138">
        <f>'Acct Summary 7-8'!D13</f>
        <v>3526468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3526468</v>
      </c>
      <c r="C2573" s="2" t="s">
        <v>594</v>
      </c>
      <c r="D2573" s="2" t="str">
        <f t="shared" si="39"/>
        <v>Error?</v>
      </c>
    </row>
    <row r="2574" spans="1:4" x14ac:dyDescent="0.2">
      <c r="A2574" s="5">
        <v>2513</v>
      </c>
      <c r="B2574" s="138">
        <f>'Acct Summary 7-8'!D20</f>
        <v>592743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1587731</v>
      </c>
      <c r="C2591" s="2" t="s">
        <v>594</v>
      </c>
      <c r="D2591" s="2" t="str">
        <f t="shared" si="39"/>
        <v>Error?</v>
      </c>
    </row>
    <row r="2592" spans="1:4" x14ac:dyDescent="0.2">
      <c r="A2592" s="10">
        <v>2531</v>
      </c>
      <c r="D2592" s="2" t="str">
        <f t="shared" si="39"/>
        <v>OK</v>
      </c>
    </row>
    <row r="2593" spans="1:4" x14ac:dyDescent="0.2">
      <c r="A2593" s="5">
        <v>2532</v>
      </c>
      <c r="B2593" s="138">
        <f>'Acct Summary 7-8'!F6</f>
        <v>1551872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3139603</v>
      </c>
      <c r="C2595" s="2" t="s">
        <v>594</v>
      </c>
      <c r="D2595" s="2" t="str">
        <f t="shared" si="39"/>
        <v>Error?</v>
      </c>
    </row>
    <row r="2596" spans="1:4" x14ac:dyDescent="0.2">
      <c r="A2596" s="5">
        <v>2535</v>
      </c>
      <c r="B2596" s="138">
        <f>'Acct Summary 7-8'!F13</f>
        <v>2454511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2454511</v>
      </c>
      <c r="C2600" s="2" t="s">
        <v>594</v>
      </c>
      <c r="D2600" s="2" t="str">
        <f t="shared" si="39"/>
        <v>Error?</v>
      </c>
    </row>
    <row r="2601" spans="1:4" x14ac:dyDescent="0.2">
      <c r="A2601" s="5">
        <v>2540</v>
      </c>
      <c r="B2601" s="138">
        <f>'Acct Summary 7-8'!F20</f>
        <v>685092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1764915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1764915</v>
      </c>
      <c r="C2606" s="2" t="s">
        <v>594</v>
      </c>
      <c r="D2606" s="2" t="str">
        <f t="shared" si="39"/>
        <v>Error?</v>
      </c>
    </row>
    <row r="2607" spans="1:4" x14ac:dyDescent="0.2">
      <c r="A2607" s="5">
        <v>2546</v>
      </c>
      <c r="B2607" s="138">
        <f>'Acct Summary 7-8'!G12</f>
        <v>478616</v>
      </c>
      <c r="C2607" s="2" t="s">
        <v>594</v>
      </c>
      <c r="D2607" s="2" t="str">
        <f t="shared" si="39"/>
        <v>Error?</v>
      </c>
    </row>
    <row r="2608" spans="1:4" x14ac:dyDescent="0.2">
      <c r="A2608" s="5">
        <v>2547</v>
      </c>
      <c r="B2608" s="138">
        <f>'Acct Summary 7-8'!G13</f>
        <v>829136</v>
      </c>
      <c r="C2608" s="2" t="s">
        <v>594</v>
      </c>
      <c r="D2608" s="2" t="str">
        <f t="shared" si="39"/>
        <v>Error?</v>
      </c>
    </row>
    <row r="2609" spans="1:4" x14ac:dyDescent="0.2">
      <c r="A2609" s="5">
        <v>2548</v>
      </c>
      <c r="B2609" s="138">
        <f>'Acct Summary 7-8'!G14</f>
        <v>6061</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1313813</v>
      </c>
      <c r="C2612" s="2" t="s">
        <v>594</v>
      </c>
      <c r="D2612" s="2" t="str">
        <f t="shared" si="39"/>
        <v>Error?</v>
      </c>
    </row>
    <row r="2613" spans="1:4" x14ac:dyDescent="0.2">
      <c r="A2613" s="5">
        <v>2552</v>
      </c>
      <c r="B2613" s="138">
        <f>'Acct Summary 7-8'!G20</f>
        <v>451102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2715917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2715917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10923449</v>
      </c>
      <c r="C2634" s="2" t="s">
        <v>594</v>
      </c>
      <c r="D2634" s="2" t="str">
        <f t="shared" si="40"/>
        <v>Error?</v>
      </c>
    </row>
    <row r="2635" spans="1:4" x14ac:dyDescent="0.2">
      <c r="A2635" s="5">
        <v>2574</v>
      </c>
      <c r="B2635" s="138">
        <f>'Acct Summary 7-8'!E17</f>
        <v>10923449</v>
      </c>
      <c r="C2635" s="2" t="s">
        <v>594</v>
      </c>
      <c r="D2635" s="2" t="str">
        <f t="shared" si="40"/>
        <v>Error?</v>
      </c>
    </row>
    <row r="2636" spans="1:4" x14ac:dyDescent="0.2">
      <c r="A2636" s="5">
        <v>2575</v>
      </c>
      <c r="B2636" s="138">
        <f>'Acct Summary 7-8'!E20</f>
        <v>-8207532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600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600</v>
      </c>
      <c r="C2658" s="2" t="s">
        <v>594</v>
      </c>
      <c r="D2658" s="2" t="str">
        <f t="shared" si="40"/>
        <v>Error?</v>
      </c>
    </row>
    <row r="2659" spans="1:4" x14ac:dyDescent="0.2">
      <c r="A2659" s="5">
        <v>2598</v>
      </c>
      <c r="B2659" s="138">
        <f>'Acct Summary 7-8'!H13</f>
        <v>898391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898391</v>
      </c>
      <c r="C2661" s="2" t="s">
        <v>594</v>
      </c>
      <c r="D2661" s="2" t="str">
        <f t="shared" si="40"/>
        <v>Error?</v>
      </c>
    </row>
    <row r="2662" spans="1:4" x14ac:dyDescent="0.2">
      <c r="A2662" s="5">
        <v>2601</v>
      </c>
      <c r="B2662" s="138">
        <f>'Acct Summary 7-8'!H20</f>
        <v>-897791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5667</v>
      </c>
      <c r="D2720" s="2" t="str">
        <f t="shared" si="41"/>
        <v>Error?</v>
      </c>
    </row>
    <row r="2721" spans="1:4" x14ac:dyDescent="0.2">
      <c r="A2721" s="5">
        <v>2660</v>
      </c>
      <c r="B2721" s="138">
        <f>'Expenditures 15-22'!F51</f>
        <v>436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6103</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1132828</v>
      </c>
      <c r="C2789" s="2" t="s">
        <v>594</v>
      </c>
      <c r="D2789" s="2" t="str">
        <f t="shared" si="42"/>
        <v>Error?</v>
      </c>
    </row>
    <row r="2790" spans="1:4" x14ac:dyDescent="0.2">
      <c r="A2790" s="5">
        <v>2729</v>
      </c>
      <c r="B2790" s="138">
        <f>'Expenditures 15-22'!E102</f>
        <v>1132828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6135154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111844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6135154</v>
      </c>
      <c r="D2912" s="2" t="str">
        <f t="shared" si="44"/>
        <v>Error?</v>
      </c>
    </row>
    <row r="2913" spans="1:4" x14ac:dyDescent="0.2">
      <c r="A2913" s="5">
        <v>2852</v>
      </c>
      <c r="B2913" s="138">
        <f>'Assets-Liab 5-6'!I41</f>
        <v>6135154</v>
      </c>
      <c r="C2913" s="2" t="s">
        <v>594</v>
      </c>
      <c r="D2913" s="2" t="str">
        <f t="shared" si="44"/>
        <v>Error?</v>
      </c>
    </row>
    <row r="2914" spans="1:4" x14ac:dyDescent="0.2">
      <c r="A2914" s="5">
        <v>2853</v>
      </c>
      <c r="B2914" s="138">
        <f>'Assets-Liab 5-6'!L33</f>
        <v>111844</v>
      </c>
      <c r="D2914" s="2" t="str">
        <f t="shared" si="44"/>
        <v>Error?</v>
      </c>
    </row>
    <row r="2915" spans="1:4" x14ac:dyDescent="0.2">
      <c r="A2915" s="10">
        <v>2854</v>
      </c>
      <c r="D2915" s="2" t="str">
        <f t="shared" si="44"/>
        <v>OK</v>
      </c>
    </row>
    <row r="2916" spans="1:4" x14ac:dyDescent="0.2">
      <c r="A2916" s="5">
        <v>2855</v>
      </c>
      <c r="B2916" s="138">
        <f>'Assets-Liab 5-6'!L34</f>
        <v>111844</v>
      </c>
      <c r="C2916" s="2" t="s">
        <v>594</v>
      </c>
      <c r="D2916" s="2" t="str">
        <f t="shared" si="44"/>
        <v>Error?</v>
      </c>
    </row>
    <row r="2917" spans="1:4" x14ac:dyDescent="0.2">
      <c r="A2917" s="5">
        <v>2856</v>
      </c>
      <c r="B2917" s="138">
        <f>'Assets-Liab 5-6'!L41</f>
        <v>111844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17455</v>
      </c>
      <c r="D2949" s="2" t="str">
        <f t="shared" si="45"/>
        <v>Error?</v>
      </c>
    </row>
    <row r="2950" spans="1:4" x14ac:dyDescent="0.2">
      <c r="A2950" s="5">
        <v>2889</v>
      </c>
      <c r="B2950" s="138">
        <f>'Expenditures 15-22'!E79</f>
        <v>1115373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488213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17455</v>
      </c>
      <c r="C2973" s="2" t="s">
        <v>594</v>
      </c>
      <c r="D2973" s="2" t="str">
        <f t="shared" si="45"/>
        <v>Error?</v>
      </c>
    </row>
    <row r="2974" spans="1:4" x14ac:dyDescent="0.2">
      <c r="A2974" s="5">
        <v>2913</v>
      </c>
      <c r="B2974" s="138">
        <f>'Expenditures 15-22'!K79</f>
        <v>1603586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890068</v>
      </c>
      <c r="D3055" s="2" t="str">
        <f t="shared" si="46"/>
        <v>Error?</v>
      </c>
    </row>
    <row r="3056" spans="1:4" x14ac:dyDescent="0.2">
      <c r="A3056" s="5">
        <v>2995</v>
      </c>
      <c r="B3056" s="138">
        <f>'Expenditures 15-22'!D10</f>
        <v>24734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89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914891</v>
      </c>
      <c r="C3062" s="2" t="s">
        <v>594</v>
      </c>
      <c r="D3062" s="2" t="str">
        <f t="shared" si="46"/>
        <v>Error?</v>
      </c>
    </row>
    <row r="3063" spans="1:4" x14ac:dyDescent="0.2">
      <c r="A3063" s="10">
        <v>3002</v>
      </c>
      <c r="D3063" s="2" t="str">
        <f t="shared" si="46"/>
        <v>OK</v>
      </c>
    </row>
    <row r="3064" spans="1:4" x14ac:dyDescent="0.2">
      <c r="A3064" s="5">
        <v>3003</v>
      </c>
      <c r="B3064" s="138">
        <f>'Expenditures 15-22'!D219</f>
        <v>14754</v>
      </c>
      <c r="D3064" s="2" t="str">
        <f t="shared" si="46"/>
        <v>Error?</v>
      </c>
    </row>
    <row r="3065" spans="1:4" x14ac:dyDescent="0.2">
      <c r="A3065" s="5">
        <v>3004</v>
      </c>
      <c r="B3065" s="138">
        <f>'Expenditures 15-22'!K219</f>
        <v>14754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7610000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187551</v>
      </c>
      <c r="C3225" s="2" t="s">
        <v>594</v>
      </c>
      <c r="D3225" s="2" t="str">
        <f t="shared" si="49"/>
        <v>Error?</v>
      </c>
    </row>
    <row r="3226" spans="1:4" x14ac:dyDescent="0.2">
      <c r="A3226" s="5">
        <v>3165</v>
      </c>
      <c r="B3226" s="138">
        <f>'Acct Summary 7-8'!I8</f>
        <v>187551</v>
      </c>
      <c r="C3226" s="2" t="s">
        <v>594</v>
      </c>
      <c r="D3226" s="2" t="str">
        <f t="shared" si="49"/>
        <v>Error?</v>
      </c>
    </row>
    <row r="3227" spans="1:4" x14ac:dyDescent="0.2">
      <c r="A3227" s="5">
        <v>3166</v>
      </c>
      <c r="B3227" s="138">
        <f>'Acct Summary 7-8'!I20</f>
        <v>187551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8066</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8066</v>
      </c>
      <c r="C3232" s="2" t="s">
        <v>594</v>
      </c>
      <c r="D3232" s="2" t="str">
        <f t="shared" si="49"/>
        <v>Error?</v>
      </c>
    </row>
    <row r="3233" spans="1:4" x14ac:dyDescent="0.2">
      <c r="A3233" s="5">
        <v>3172</v>
      </c>
      <c r="B3233" s="138">
        <f>'Acct Summary 7-8'!C78</f>
        <v>-344515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2123194</v>
      </c>
      <c r="C3235" s="2" t="s">
        <v>594</v>
      </c>
      <c r="D3235" s="2" t="str">
        <f t="shared" si="49"/>
        <v>Error?</v>
      </c>
    </row>
    <row r="3236" spans="1:4" x14ac:dyDescent="0.2">
      <c r="A3236" s="5">
        <v>3175</v>
      </c>
      <c r="B3236" s="138">
        <f>'Acct Summary 7-8'!D75</f>
        <v>898391</v>
      </c>
      <c r="D3236" s="2" t="str">
        <f t="shared" si="49"/>
        <v>Error?</v>
      </c>
    </row>
    <row r="3237" spans="1:4" x14ac:dyDescent="0.2">
      <c r="A3237" s="5">
        <v>3176</v>
      </c>
      <c r="B3237" s="138">
        <f>'Acct Summary 7-8'!D76</f>
        <v>898391</v>
      </c>
      <c r="C3237" s="2" t="s">
        <v>594</v>
      </c>
      <c r="D3237" s="2" t="str">
        <f t="shared" si="49"/>
        <v>Error?</v>
      </c>
    </row>
    <row r="3238" spans="1:4" x14ac:dyDescent="0.2">
      <c r="A3238" s="5">
        <v>3177</v>
      </c>
      <c r="B3238" s="138">
        <f>'Acct Summary 7-8'!D77</f>
        <v>1224803</v>
      </c>
      <c r="C3238" s="2" t="s">
        <v>594</v>
      </c>
      <c r="D3238" s="2" t="str">
        <f t="shared" si="49"/>
        <v>Error?</v>
      </c>
    </row>
    <row r="3239" spans="1:4" x14ac:dyDescent="0.2">
      <c r="A3239" s="5">
        <v>3178</v>
      </c>
      <c r="B3239" s="138">
        <f>'Acct Summary 7-8'!D78</f>
        <v>1817546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685092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451102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8266104</v>
      </c>
      <c r="C3274" s="2" t="s">
        <v>594</v>
      </c>
      <c r="D3274" s="2" t="str">
        <f t="shared" si="50"/>
        <v>Error?</v>
      </c>
    </row>
    <row r="3275" spans="1:4" x14ac:dyDescent="0.2">
      <c r="A3275" s="5">
        <v>3214</v>
      </c>
      <c r="B3275" s="138">
        <f>'Acct Summary 7-8'!E75</f>
        <v>8066</v>
      </c>
      <c r="D3275" s="2" t="str">
        <f t="shared" si="50"/>
        <v>Error?</v>
      </c>
    </row>
    <row r="3276" spans="1:4" x14ac:dyDescent="0.2">
      <c r="A3276" s="5">
        <v>3215</v>
      </c>
      <c r="B3276" s="138">
        <f>'Acct Summary 7-8'!E76</f>
        <v>8066</v>
      </c>
      <c r="C3276" s="2" t="s">
        <v>594</v>
      </c>
      <c r="D3276" s="2" t="str">
        <f t="shared" si="50"/>
        <v>Error?</v>
      </c>
    </row>
    <row r="3277" spans="1:4" x14ac:dyDescent="0.2">
      <c r="A3277" s="5">
        <v>3216</v>
      </c>
      <c r="B3277" s="138">
        <f>'Acct Summary 7-8'!E77</f>
        <v>8258038</v>
      </c>
      <c r="C3277" s="2" t="s">
        <v>594</v>
      </c>
      <c r="D3277" s="2" t="str">
        <f t="shared" si="50"/>
        <v>Error?</v>
      </c>
    </row>
    <row r="3278" spans="1:4" x14ac:dyDescent="0.2">
      <c r="A3278" s="5">
        <v>3217</v>
      </c>
      <c r="B3278" s="138">
        <f>'Acct Summary 7-8'!E78</f>
        <v>50506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898391</v>
      </c>
      <c r="D3295" s="2" t="str">
        <f t="shared" si="50"/>
        <v>Error?</v>
      </c>
    </row>
    <row r="3296" spans="1:4" x14ac:dyDescent="0.2">
      <c r="A3296" s="5">
        <v>3235</v>
      </c>
      <c r="B3296" s="138">
        <f>'Acct Summary 7-8'!H44</f>
        <v>898391</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898391</v>
      </c>
      <c r="C3299" s="2" t="s">
        <v>594</v>
      </c>
      <c r="D3299" s="2" t="str">
        <f t="shared" si="50"/>
        <v>Error?</v>
      </c>
    </row>
    <row r="3300" spans="1:4" x14ac:dyDescent="0.2">
      <c r="A3300" s="5">
        <v>3239</v>
      </c>
      <c r="B3300" s="138">
        <f>'Acct Summary 7-8'!H78</f>
        <v>600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8066</v>
      </c>
      <c r="D3316" s="2" t="str">
        <f t="shared" si="50"/>
        <v>Error?</v>
      </c>
    </row>
    <row r="3317" spans="1:4" x14ac:dyDescent="0.2">
      <c r="A3317" s="5">
        <v>3256</v>
      </c>
      <c r="B3317" s="138">
        <f>'Acct Summary 7-8'!I44</f>
        <v>8066</v>
      </c>
      <c r="C3317" s="2" t="s">
        <v>594</v>
      </c>
      <c r="D3317" s="2" t="str">
        <f t="shared" si="50"/>
        <v>Error?</v>
      </c>
    </row>
    <row r="3318" spans="1:4" x14ac:dyDescent="0.2">
      <c r="A3318" s="5">
        <v>3257</v>
      </c>
      <c r="B3318" s="138">
        <f>'Acct Summary 7-8'!I76</f>
        <v>2131260</v>
      </c>
      <c r="C3318" s="2" t="s">
        <v>594</v>
      </c>
      <c r="D3318" s="2" t="str">
        <f t="shared" si="50"/>
        <v>Error?</v>
      </c>
    </row>
    <row r="3319" spans="1:4" x14ac:dyDescent="0.2">
      <c r="A3319" s="5">
        <v>3258</v>
      </c>
      <c r="B3319" s="138">
        <f>'Acct Summary 7-8'!I77</f>
        <v>-2123194</v>
      </c>
      <c r="C3319" s="2" t="s">
        <v>594</v>
      </c>
      <c r="D3319" s="2" t="str">
        <f t="shared" si="50"/>
        <v>Error?</v>
      </c>
    </row>
    <row r="3320" spans="1:4" x14ac:dyDescent="0.2">
      <c r="A3320" s="5">
        <v>3259</v>
      </c>
      <c r="B3320" s="138">
        <f>'Acct Summary 7-8'!I78</f>
        <v>-1935643</v>
      </c>
      <c r="C3320" s="2" t="s">
        <v>594</v>
      </c>
      <c r="D3320" s="2" t="str">
        <f t="shared" si="50"/>
        <v>Error?</v>
      </c>
    </row>
    <row r="3321" spans="1:4" x14ac:dyDescent="0.2">
      <c r="A3321" s="5">
        <v>3260</v>
      </c>
      <c r="B3321" s="138">
        <f>'Acct Summary 7-8'!I79</f>
        <v>8070797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6135154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4923341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481752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7239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62396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5474728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-11013</v>
      </c>
      <c r="D3387" s="2" t="str">
        <f t="shared" si="51"/>
        <v>Error?</v>
      </c>
    </row>
    <row r="3388" spans="1:4" x14ac:dyDescent="0.2">
      <c r="A3388" s="5">
        <v>3327</v>
      </c>
      <c r="B3388" s="138">
        <f>'Expenditures 15-22'!D217</f>
        <v>372086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-11013</v>
      </c>
      <c r="C3390" s="2" t="s">
        <v>594</v>
      </c>
      <c r="D3390" s="2" t="str">
        <f t="shared" si="51"/>
        <v>Error?</v>
      </c>
    </row>
    <row r="3391" spans="1:4" x14ac:dyDescent="0.2">
      <c r="A3391" s="5">
        <v>3330</v>
      </c>
      <c r="B3391" s="138">
        <f>'Expenditures 15-22'!K217</f>
        <v>372086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27125728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3528993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2345602</v>
      </c>
      <c r="D3417" s="2" t="str">
        <f t="shared" si="52"/>
        <v>Error?</v>
      </c>
    </row>
    <row r="3418" spans="1:4" x14ac:dyDescent="0.2">
      <c r="A3418" s="10">
        <v>3357</v>
      </c>
      <c r="D3418" s="2" t="str">
        <f t="shared" si="52"/>
        <v>OK</v>
      </c>
    </row>
    <row r="3419" spans="1:4" x14ac:dyDescent="0.2">
      <c r="A3419" s="5">
        <v>3358</v>
      </c>
      <c r="B3419" s="138">
        <f>'Assets-Liab 5-6'!F4</f>
        <v>1389049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2675576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600</v>
      </c>
      <c r="D3425" s="2" t="str">
        <f t="shared" si="52"/>
        <v>Error?</v>
      </c>
    </row>
    <row r="3426" spans="1:4" x14ac:dyDescent="0.2">
      <c r="A3426" s="10">
        <v>3365</v>
      </c>
      <c r="D3426" s="2" t="str">
        <f t="shared" si="52"/>
        <v>OK</v>
      </c>
    </row>
    <row r="3427" spans="1:4" x14ac:dyDescent="0.2">
      <c r="A3427" s="5">
        <v>3366</v>
      </c>
      <c r="B3427" s="138">
        <f>'Assets-Liab 5-6'!I4</f>
        <v>6135154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111844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388629</v>
      </c>
      <c r="C3446" s="2" t="s">
        <v>594</v>
      </c>
      <c r="D3446" s="2" t="str">
        <f t="shared" si="52"/>
        <v>Error?</v>
      </c>
    </row>
    <row r="3447" spans="1:4" x14ac:dyDescent="0.2">
      <c r="A3447" s="5">
        <v>3386</v>
      </c>
      <c r="B3447" s="138">
        <f>'Tax Sched 23'!D16</f>
        <v>-263186</v>
      </c>
      <c r="C3447" s="2" t="s">
        <v>594</v>
      </c>
      <c r="D3447" s="2" t="str">
        <f t="shared" si="52"/>
        <v>Error?</v>
      </c>
    </row>
    <row r="3448" spans="1:4" x14ac:dyDescent="0.2">
      <c r="A3448" s="5">
        <v>3387</v>
      </c>
      <c r="B3448" s="138">
        <f>'Tax Sched 23'!C16</f>
        <v>651815</v>
      </c>
      <c r="D3448" s="2" t="str">
        <f t="shared" si="52"/>
        <v>Error?</v>
      </c>
    </row>
    <row r="3449" spans="1:4" x14ac:dyDescent="0.2">
      <c r="A3449" s="5">
        <v>3388</v>
      </c>
      <c r="B3449" s="138">
        <f>'Tax Sched 23'!F16</f>
        <v>617762</v>
      </c>
      <c r="C3449" s="2" t="s">
        <v>594</v>
      </c>
      <c r="D3449" s="2" t="str">
        <f t="shared" si="52"/>
        <v>Error?</v>
      </c>
    </row>
    <row r="3450" spans="1:4" x14ac:dyDescent="0.2">
      <c r="A3450" s="5">
        <v>3389</v>
      </c>
      <c r="B3450" s="138">
        <f>'Tax Sched 23'!E16</f>
        <v>1269577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180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180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180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180</v>
      </c>
      <c r="C3568" s="2" t="s">
        <v>594</v>
      </c>
      <c r="D3568" s="2" t="str">
        <f t="shared" si="54"/>
        <v>Error?</v>
      </c>
    </row>
    <row r="3569" spans="1:4" x14ac:dyDescent="0.2">
      <c r="A3569" s="5">
        <v>3508</v>
      </c>
      <c r="B3569" s="138">
        <f>'Acct Summary 7-8'!K4</f>
        <v>14425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14425</v>
      </c>
      <c r="C3571" s="2" t="s">
        <v>594</v>
      </c>
      <c r="D3571" s="2" t="str">
        <f t="shared" si="54"/>
        <v>Error?</v>
      </c>
    </row>
    <row r="3572" spans="1:4" x14ac:dyDescent="0.2">
      <c r="A3572" s="5">
        <v>3511</v>
      </c>
      <c r="B3572" s="138">
        <f>'Acct Summary 7-8'!K13</f>
        <v>1057577</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1057577</v>
      </c>
      <c r="C3575" s="2" t="s">
        <v>594</v>
      </c>
      <c r="D3575" s="2" t="str">
        <f t="shared" si="54"/>
        <v>Error?</v>
      </c>
    </row>
    <row r="3576" spans="1:4" x14ac:dyDescent="0.2">
      <c r="A3576" s="5">
        <v>3515</v>
      </c>
      <c r="B3576" s="138">
        <f>'Acct Summary 7-8'!K20</f>
        <v>-1043152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-1043152</v>
      </c>
      <c r="C3588" s="2" t="s">
        <v>594</v>
      </c>
      <c r="D3588" s="2" t="str">
        <f t="shared" si="55"/>
        <v>Error?</v>
      </c>
    </row>
    <row r="3589" spans="1:4" x14ac:dyDescent="0.2">
      <c r="A3589" s="5">
        <v>3528</v>
      </c>
      <c r="B3589" s="138">
        <f>'Acct Summary 7-8'!K79</f>
        <v>1043332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180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1057577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1057577</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1057577</v>
      </c>
      <c r="C3649" s="2" t="s">
        <v>594</v>
      </c>
      <c r="D3649" s="2" t="str">
        <f t="shared" si="56"/>
        <v>Error?</v>
      </c>
    </row>
    <row r="3650" spans="1:4" x14ac:dyDescent="0.2">
      <c r="A3650" s="5">
        <v>3589</v>
      </c>
      <c r="B3650" s="138">
        <f>'Expenditures 15-22'!G367</f>
        <v>1057577</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1057577</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1057577</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1057577</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1057577</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-1043152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777089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388434</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388434</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17758051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55276776</v>
      </c>
      <c r="C4122" s="2" t="s">
        <v>594</v>
      </c>
      <c r="D4122" s="2" t="str">
        <f t="shared" si="63"/>
        <v>Error?</v>
      </c>
    </row>
    <row r="4123" spans="1:4" x14ac:dyDescent="0.2">
      <c r="A4123" s="5">
        <v>4062</v>
      </c>
      <c r="B4123" s="138">
        <f>'Acct Summary 7-8'!D10</f>
        <v>4119211</v>
      </c>
      <c r="C4123" s="2" t="s">
        <v>594</v>
      </c>
      <c r="D4123" s="2" t="str">
        <f t="shared" si="63"/>
        <v>Error?</v>
      </c>
    </row>
    <row r="4124" spans="1:4" x14ac:dyDescent="0.2">
      <c r="A4124" s="5">
        <v>4063</v>
      </c>
      <c r="B4124" s="138">
        <f>'Acct Summary 7-8'!E10</f>
        <v>2715917</v>
      </c>
      <c r="C4124" s="2" t="s">
        <v>594</v>
      </c>
      <c r="D4124" s="2" t="str">
        <f t="shared" si="63"/>
        <v>Error?</v>
      </c>
    </row>
    <row r="4125" spans="1:4" x14ac:dyDescent="0.2">
      <c r="A4125" s="5">
        <v>4064</v>
      </c>
      <c r="B4125" s="138">
        <f>'Acct Summary 7-8'!F10</f>
        <v>3139603</v>
      </c>
      <c r="C4125" s="2" t="s">
        <v>594</v>
      </c>
      <c r="D4125" s="2" t="str">
        <f t="shared" si="63"/>
        <v>Error?</v>
      </c>
    </row>
    <row r="4126" spans="1:4" x14ac:dyDescent="0.2">
      <c r="A4126" s="5">
        <v>4065</v>
      </c>
      <c r="B4126" s="138">
        <f>'Acct Summary 7-8'!G10</f>
        <v>1764915</v>
      </c>
      <c r="C4126" s="2" t="s">
        <v>594</v>
      </c>
      <c r="D4126" s="2" t="str">
        <f t="shared" si="63"/>
        <v>Error?</v>
      </c>
    </row>
    <row r="4127" spans="1:4" x14ac:dyDescent="0.2">
      <c r="A4127" s="5">
        <v>4066</v>
      </c>
      <c r="B4127" s="138">
        <f>'Acct Summary 7-8'!H10</f>
        <v>600</v>
      </c>
      <c r="C4127" s="2" t="s">
        <v>594</v>
      </c>
      <c r="D4127" s="2" t="str">
        <f t="shared" si="63"/>
        <v>Error?</v>
      </c>
    </row>
    <row r="4128" spans="1:4" x14ac:dyDescent="0.2">
      <c r="A4128" s="5">
        <v>4067</v>
      </c>
      <c r="B4128" s="138">
        <f>'Acct Summary 7-8'!I10</f>
        <v>187551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14425</v>
      </c>
      <c r="C4130" s="2" t="s">
        <v>594</v>
      </c>
      <c r="D4130" s="2" t="str">
        <f t="shared" si="63"/>
        <v>Error?</v>
      </c>
    </row>
    <row r="4131" spans="1:4" x14ac:dyDescent="0.2">
      <c r="A4131" s="5">
        <v>4070</v>
      </c>
      <c r="B4131" s="138">
        <f>'Acct Summary 7-8'!C18</f>
        <v>17758051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55629357</v>
      </c>
      <c r="C4136" s="2" t="s">
        <v>594</v>
      </c>
      <c r="D4136" s="2" t="str">
        <f t="shared" si="63"/>
        <v>Error?</v>
      </c>
    </row>
    <row r="4137" spans="1:4" x14ac:dyDescent="0.2">
      <c r="A4137" s="5">
        <v>4076</v>
      </c>
      <c r="B4137" s="138">
        <f>'Acct Summary 7-8'!D19</f>
        <v>3526468</v>
      </c>
      <c r="C4137" s="2" t="s">
        <v>594</v>
      </c>
      <c r="D4137" s="2" t="str">
        <f t="shared" si="63"/>
        <v>Error?</v>
      </c>
    </row>
    <row r="4138" spans="1:4" x14ac:dyDescent="0.2">
      <c r="A4138" s="5">
        <v>4077</v>
      </c>
      <c r="B4138" s="138">
        <f>'Acct Summary 7-8'!E19</f>
        <v>10923449</v>
      </c>
      <c r="C4138" s="2" t="s">
        <v>594</v>
      </c>
      <c r="D4138" s="2" t="str">
        <f t="shared" si="63"/>
        <v>Error?</v>
      </c>
    </row>
    <row r="4139" spans="1:4" x14ac:dyDescent="0.2">
      <c r="A4139" s="5">
        <v>4078</v>
      </c>
      <c r="B4139" s="138">
        <f>'Acct Summary 7-8'!F19</f>
        <v>2454511</v>
      </c>
      <c r="C4139" s="2" t="s">
        <v>594</v>
      </c>
      <c r="D4139" s="2" t="str">
        <f t="shared" si="63"/>
        <v>Error?</v>
      </c>
    </row>
    <row r="4140" spans="1:4" x14ac:dyDescent="0.2">
      <c r="A4140" s="5">
        <v>4079</v>
      </c>
      <c r="B4140" s="138">
        <f>'Acct Summary 7-8'!G19</f>
        <v>1313813</v>
      </c>
      <c r="C4140" s="2" t="s">
        <v>594</v>
      </c>
      <c r="D4140" s="2" t="str">
        <f t="shared" si="63"/>
        <v>Error?</v>
      </c>
    </row>
    <row r="4141" spans="1:4" x14ac:dyDescent="0.2">
      <c r="A4141" s="5">
        <v>4080</v>
      </c>
      <c r="B4141" s="138">
        <f>'Acct Summary 7-8'!H19</f>
        <v>898391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1057577</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34023604</v>
      </c>
      <c r="C4171" s="2" t="s">
        <v>594</v>
      </c>
      <c r="D4171" s="2" t="str">
        <f t="shared" si="64"/>
        <v>Error?</v>
      </c>
    </row>
    <row r="4172" spans="1:4" x14ac:dyDescent="0.2">
      <c r="A4172" s="5">
        <v>4111</v>
      </c>
      <c r="B4172" s="138">
        <f>'Short-Term Long-Term Debt 24'!J49</f>
        <v>33184829</v>
      </c>
      <c r="C4172" s="2" t="s">
        <v>594</v>
      </c>
      <c r="D4172" s="2" t="str">
        <f t="shared" si="64"/>
        <v>Error?</v>
      </c>
    </row>
    <row r="4173" spans="1:4" x14ac:dyDescent="0.2">
      <c r="A4173" s="5">
        <v>4112</v>
      </c>
      <c r="B4173" s="138">
        <f>'Short-Term Long-Term Debt 24'!H49</f>
        <v>1550000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-7985670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2642</v>
      </c>
      <c r="C4265" s="2" t="s">
        <v>594</v>
      </c>
      <c r="D4265" s="2" t="str">
        <f t="shared" si="65"/>
        <v>Error?</v>
      </c>
      <c r="E4265" s="128"/>
    </row>
    <row r="4266" spans="1:5" x14ac:dyDescent="0.2">
      <c r="A4266" s="12">
        <v>4205</v>
      </c>
      <c r="B4266" s="138">
        <f>('FP Info 3'!F10)*100000</f>
        <v>324</v>
      </c>
      <c r="C4266" s="2" t="s">
        <v>594</v>
      </c>
      <c r="D4266" s="2" t="str">
        <f t="shared" si="65"/>
        <v>Error?</v>
      </c>
      <c r="E4266" s="128"/>
    </row>
    <row r="4267" spans="1:5" x14ac:dyDescent="0.2">
      <c r="A4267" s="12">
        <v>4206</v>
      </c>
      <c r="B4267" s="138">
        <f>('FP Info 3'!H10)*100000</f>
        <v>155</v>
      </c>
      <c r="C4267" s="2" t="s">
        <v>594</v>
      </c>
      <c r="D4267" s="2" t="str">
        <f t="shared" si="65"/>
        <v>Error?</v>
      </c>
      <c r="E4267" s="128"/>
    </row>
    <row r="4268" spans="1:5" x14ac:dyDescent="0.2">
      <c r="A4268" s="12">
        <v>4207</v>
      </c>
      <c r="B4268" s="138">
        <f>('FP Info 3'!J10)*100000</f>
        <v>3121</v>
      </c>
      <c r="C4268" s="2" t="s">
        <v>594</v>
      </c>
      <c r="D4268" s="2" t="str">
        <f t="shared" si="65"/>
        <v>Error?</v>
      </c>
    </row>
    <row r="4269" spans="1:5" x14ac:dyDescent="0.2">
      <c r="A4269" s="12">
        <v>4208</v>
      </c>
      <c r="B4269" s="138">
        <f>'FP Info 3'!J16</f>
        <v>20071971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4673</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101648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479591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144574</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128326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1027997939</v>
      </c>
      <c r="D4995" s="2" t="str">
        <f t="shared" si="77"/>
        <v>Error?</v>
      </c>
    </row>
    <row r="4996" spans="1:4" x14ac:dyDescent="0.2">
      <c r="A4996" s="12">
        <v>4935</v>
      </c>
      <c r="B4996" s="138">
        <f>'FP Info 3'!H31</f>
        <v>70931857.791000009</v>
      </c>
      <c r="D4996" s="2" t="str">
        <f t="shared" si="77"/>
        <v>Error?</v>
      </c>
    </row>
    <row r="4997" spans="1:4" x14ac:dyDescent="0.2">
      <c r="A4997" s="12">
        <v>4936</v>
      </c>
      <c r="B4997" s="138">
        <f>'FP Info 3'!H37</f>
        <v>34023604</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26468207</v>
      </c>
      <c r="D5061" s="2" t="str">
        <f t="shared" si="78"/>
        <v>Error?</v>
      </c>
    </row>
    <row r="5062" spans="1:4" x14ac:dyDescent="0.2">
      <c r="A5062" s="10">
        <v>5001</v>
      </c>
      <c r="D5062" s="2" t="str">
        <f t="shared" si="78"/>
        <v>OK</v>
      </c>
    </row>
    <row r="5063" spans="1:4" x14ac:dyDescent="0.2">
      <c r="A5063" s="5">
        <v>5002</v>
      </c>
      <c r="B5063" s="138">
        <f>'Revenues 9-14'!C7</f>
        <v>242985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26711192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20336</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20336</v>
      </c>
      <c r="C5087" s="2" t="s">
        <v>594</v>
      </c>
      <c r="D5087" s="2" t="str">
        <f t="shared" si="78"/>
        <v>Error?</v>
      </c>
    </row>
    <row r="5088" spans="1:4" x14ac:dyDescent="0.2">
      <c r="A5088" s="5">
        <v>5027</v>
      </c>
      <c r="B5088" s="138">
        <f>'Revenues 9-14'!C65</f>
        <v>191780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191780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6479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1261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269527</v>
      </c>
      <c r="C5096" s="2" t="s">
        <v>594</v>
      </c>
      <c r="D5096" s="2" t="str">
        <f t="shared" si="78"/>
        <v>Error?</v>
      </c>
    </row>
    <row r="5097" spans="1:4" x14ac:dyDescent="0.2">
      <c r="A5097" s="5">
        <v>5036</v>
      </c>
      <c r="B5097" s="138">
        <f>'Revenues 9-14'!C77</f>
        <v>12905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21532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81313</v>
      </c>
      <c r="D5101" s="2" t="str">
        <f t="shared" si="78"/>
        <v>Error?</v>
      </c>
    </row>
    <row r="5102" spans="1:4" x14ac:dyDescent="0.2">
      <c r="A5102" s="5">
        <v>5041</v>
      </c>
      <c r="B5102" s="138">
        <f>'Revenues 9-14'!C82</f>
        <v>115750</v>
      </c>
      <c r="C5102" s="2" t="s">
        <v>594</v>
      </c>
      <c r="D5102" s="2" t="str">
        <f t="shared" si="78"/>
        <v>Error?</v>
      </c>
    </row>
    <row r="5103" spans="1:4" x14ac:dyDescent="0.2">
      <c r="A5103" s="5">
        <v>5042</v>
      </c>
      <c r="B5103" s="138">
        <f>'Revenues 9-14'!C84</f>
        <v>132081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1260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133341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95197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40606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114982</v>
      </c>
      <c r="D5119" s="2" t="str">
        <f t="shared" ref="D5119:D5182" si="79">IF(ISBLANK(B5119),"OK",IF(A5119-B5119=0,"OK","Error?"))</f>
        <v>Error?</v>
      </c>
    </row>
    <row r="5120" spans="1:4" x14ac:dyDescent="0.2">
      <c r="A5120" s="5">
        <v>5059</v>
      </c>
      <c r="B5120" s="138">
        <f>'Revenues 9-14'!C108</f>
        <v>250785</v>
      </c>
      <c r="C5120" s="2" t="s">
        <v>594</v>
      </c>
      <c r="D5120" s="2" t="str">
        <f t="shared" si="79"/>
        <v>Error?</v>
      </c>
    </row>
    <row r="5121" spans="1:4" x14ac:dyDescent="0.2">
      <c r="A5121" s="5">
        <v>5060</v>
      </c>
      <c r="B5121" s="138">
        <f>'Revenues 9-14'!C109</f>
        <v>27692711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5672390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5672390</v>
      </c>
      <c r="C5132" s="2" t="s">
        <v>594</v>
      </c>
      <c r="D5132" s="2" t="str">
        <f t="shared" si="79"/>
        <v>Error?</v>
      </c>
    </row>
    <row r="5133" spans="1:4" x14ac:dyDescent="0.2">
      <c r="A5133" s="5">
        <v>5072</v>
      </c>
      <c r="B5133" s="138">
        <f>'Revenues 9-14'!C124</f>
        <v>228235</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32415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260650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288458</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288458</v>
      </c>
      <c r="C5165" s="2" t="s">
        <v>594</v>
      </c>
      <c r="D5165" s="2" t="str">
        <f t="shared" si="79"/>
        <v>Error?</v>
      </c>
    </row>
    <row r="5166" spans="1:4" x14ac:dyDescent="0.2">
      <c r="A5166" s="10">
        <v>5105</v>
      </c>
      <c r="D5166" s="2" t="str">
        <f t="shared" si="79"/>
        <v>OK</v>
      </c>
    </row>
    <row r="5167" spans="1:4" x14ac:dyDescent="0.2">
      <c r="A5167" s="5">
        <v>5106</v>
      </c>
      <c r="B5167" s="138">
        <f>'Revenues 9-14'!C145</f>
        <v>11098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261344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826223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6498613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614313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129917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744230</v>
      </c>
      <c r="C5246" s="2" t="s">
        <v>594</v>
      </c>
      <c r="D5246" s="2" t="str">
        <f t="shared" si="80"/>
        <v>Error?</v>
      </c>
    </row>
    <row r="5247" spans="1:4" x14ac:dyDescent="0.2">
      <c r="A5247" s="5">
        <v>5186</v>
      </c>
      <c r="B5247" s="138">
        <f>'Revenues 9-14'!C203</f>
        <v>796470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796470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31930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852105</v>
      </c>
      <c r="D5278" s="2" t="str">
        <f t="shared" si="81"/>
        <v>Error?</v>
      </c>
    </row>
    <row r="5279" spans="1:4" x14ac:dyDescent="0.2">
      <c r="A5279" s="5">
        <v>5218</v>
      </c>
      <c r="B5279" s="138">
        <f>'Revenues 9-14'!C221</f>
        <v>40408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924443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8119</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3327401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3327401</v>
      </c>
      <c r="C5326" s="2" t="s">
        <v>594</v>
      </c>
      <c r="D5326" s="2" t="str">
        <f t="shared" si="82"/>
        <v>Error?</v>
      </c>
    </row>
    <row r="5327" spans="1:4" x14ac:dyDescent="0.2">
      <c r="A5327" s="5">
        <v>5266</v>
      </c>
      <c r="B5327" s="138">
        <f>'Revenues 9-14'!C275</f>
        <v>37518725</v>
      </c>
      <c r="C5327" s="2" t="s">
        <v>594</v>
      </c>
      <c r="D5327" s="2" t="str">
        <f t="shared" si="82"/>
        <v>Error?</v>
      </c>
    </row>
    <row r="5328" spans="1:4" x14ac:dyDescent="0.2">
      <c r="A5328" s="5">
        <v>5267</v>
      </c>
      <c r="B5328" s="138">
        <f>'Revenues 9-14'!D5</f>
        <v>3248208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3248208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170597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170597</v>
      </c>
      <c r="C5339" s="2" t="s">
        <v>594</v>
      </c>
      <c r="D5339" s="2" t="str">
        <f t="shared" si="82"/>
        <v>Error?</v>
      </c>
    </row>
    <row r="5340" spans="1:4" x14ac:dyDescent="0.2">
      <c r="A5340" s="5">
        <v>5279</v>
      </c>
      <c r="B5340" s="138">
        <f>'Revenues 9-14'!D65</f>
        <v>17027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17027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98316</v>
      </c>
      <c r="D5349" s="2" t="str">
        <f t="shared" si="82"/>
        <v>Error?</v>
      </c>
    </row>
    <row r="5350" spans="1:4" x14ac:dyDescent="0.2">
      <c r="A5350" s="5">
        <v>5289</v>
      </c>
      <c r="B5350" s="138">
        <f>'Revenues 9-14'!D96</f>
        <v>276820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308243</v>
      </c>
      <c r="D5354" s="2" t="str">
        <f t="shared" si="82"/>
        <v>Error?</v>
      </c>
    </row>
    <row r="5355" spans="1:4" x14ac:dyDescent="0.2">
      <c r="A5355" s="5">
        <v>5294</v>
      </c>
      <c r="B5355" s="138">
        <f>'Revenues 9-14'!D108</f>
        <v>683379</v>
      </c>
      <c r="C5355" s="2" t="s">
        <v>594</v>
      </c>
      <c r="D5355" s="2" t="str">
        <f t="shared" si="82"/>
        <v>Error?</v>
      </c>
    </row>
    <row r="5356" spans="1:4" x14ac:dyDescent="0.2">
      <c r="A5356" s="5">
        <v>5295</v>
      </c>
      <c r="B5356" s="138">
        <f>'Revenues 9-14'!D109</f>
        <v>4119211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4119211</v>
      </c>
      <c r="C5508" s="2" t="s">
        <v>594</v>
      </c>
      <c r="D5508" s="2" t="str">
        <f t="shared" si="85"/>
        <v>Error?</v>
      </c>
    </row>
    <row r="5509" spans="1:4" x14ac:dyDescent="0.2">
      <c r="A5509" s="5">
        <v>5448</v>
      </c>
      <c r="B5509" s="138">
        <f>'Revenues 9-14'!E5</f>
        <v>2707687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2707687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8065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8065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165</v>
      </c>
      <c r="D5525" s="2" t="str">
        <f t="shared" si="85"/>
        <v>Error?</v>
      </c>
    </row>
    <row r="5526" spans="1:4" x14ac:dyDescent="0.2">
      <c r="A5526" s="5">
        <v>5465</v>
      </c>
      <c r="B5526" s="138">
        <f>'Revenues 9-14'!E108</f>
        <v>165</v>
      </c>
      <c r="C5526" s="2" t="s">
        <v>594</v>
      </c>
      <c r="D5526" s="2" t="str">
        <f t="shared" si="85"/>
        <v>Error?</v>
      </c>
    </row>
    <row r="5527" spans="1:4" x14ac:dyDescent="0.2">
      <c r="A5527" s="5">
        <v>5466</v>
      </c>
      <c r="B5527" s="138">
        <f>'Revenues 9-14'!E109</f>
        <v>2715917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2715917</v>
      </c>
      <c r="C5552" s="2" t="s">
        <v>594</v>
      </c>
      <c r="D5552" s="2" t="str">
        <f t="shared" si="85"/>
        <v>Error?</v>
      </c>
    </row>
    <row r="5553" spans="1:4" x14ac:dyDescent="0.2">
      <c r="A5553" s="5">
        <v>5492</v>
      </c>
      <c r="B5553" s="138">
        <f>'Revenues 9-14'!F5</f>
        <v>1551884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1551884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18053</v>
      </c>
      <c r="D5564" s="2" t="str">
        <f t="shared" si="85"/>
        <v>Error?</v>
      </c>
    </row>
    <row r="5565" spans="1:4" x14ac:dyDescent="0.2">
      <c r="A5565" s="5">
        <v>5504</v>
      </c>
      <c r="B5565" s="138">
        <f>'Revenues 9-14'!F44</f>
        <v>12177</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30230</v>
      </c>
      <c r="C5579" s="2" t="s">
        <v>594</v>
      </c>
      <c r="D5579" s="2" t="str">
        <f t="shared" si="86"/>
        <v>Error?</v>
      </c>
    </row>
    <row r="5580" spans="1:4" x14ac:dyDescent="0.2">
      <c r="A5580" s="5">
        <v>5519</v>
      </c>
      <c r="B5580" s="138">
        <f>'Revenues 9-14'!F65</f>
        <v>5617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5617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1587731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14280</v>
      </c>
      <c r="D5615" s="2" t="str">
        <f t="shared" si="86"/>
        <v>Error?</v>
      </c>
    </row>
    <row r="5616" spans="1:4" x14ac:dyDescent="0.2">
      <c r="A5616" s="10">
        <v>5555</v>
      </c>
      <c r="D5616" s="2" t="str">
        <f t="shared" si="86"/>
        <v>OK</v>
      </c>
    </row>
    <row r="5617" spans="1:4" x14ac:dyDescent="0.2">
      <c r="A5617" s="5">
        <v>5556</v>
      </c>
      <c r="B5617" s="138">
        <f>'Revenues 9-14'!F152</f>
        <v>1537592</v>
      </c>
      <c r="D5617" s="2" t="str">
        <f t="shared" si="86"/>
        <v>Error?</v>
      </c>
    </row>
    <row r="5618" spans="1:4" x14ac:dyDescent="0.2">
      <c r="A5618" s="5">
        <v>5557</v>
      </c>
      <c r="B5618" s="138">
        <f>'Revenues 9-14'!F154</f>
        <v>1551872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1551872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1551872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3139603</v>
      </c>
      <c r="C5720" s="2" t="s">
        <v>594</v>
      </c>
      <c r="D5720" s="2" t="str">
        <f t="shared" si="88"/>
        <v>Error?</v>
      </c>
    </row>
    <row r="5721" spans="1:4" x14ac:dyDescent="0.2">
      <c r="A5721" s="5">
        <v>5660</v>
      </c>
      <c r="B5721" s="138">
        <f>'Revenues 9-14'!G5</f>
        <v>1236927</v>
      </c>
      <c r="D5721" s="2" t="str">
        <f t="shared" si="88"/>
        <v>Error?</v>
      </c>
    </row>
    <row r="5722" spans="1:4" x14ac:dyDescent="0.2">
      <c r="A5722" s="5">
        <v>5661</v>
      </c>
      <c r="B5722" s="138">
        <f>'Revenues 9-14'!G7</f>
        <v>0</v>
      </c>
      <c r="D5722" s="2" t="str">
        <f t="shared" si="88"/>
        <v>Error?</v>
      </c>
    </row>
    <row r="5723" spans="1:4" x14ac:dyDescent="0.2">
      <c r="A5723" s="5">
        <v>5662</v>
      </c>
      <c r="B5723" s="138">
        <f>'Revenues 9-14'!G8</f>
        <v>388629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1625556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113731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113731</v>
      </c>
      <c r="C5730" s="2" t="s">
        <v>594</v>
      </c>
      <c r="D5730" s="2" t="str">
        <f t="shared" si="88"/>
        <v>Error?</v>
      </c>
    </row>
    <row r="5731" spans="1:4" x14ac:dyDescent="0.2">
      <c r="A5731" s="5">
        <v>5670</v>
      </c>
      <c r="B5731" s="138">
        <f>'Revenues 9-14'!G65</f>
        <v>25628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25628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1764915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600</v>
      </c>
      <c r="D5885" s="2" t="str">
        <f t="shared" si="90"/>
        <v>Error?</v>
      </c>
    </row>
    <row r="5886" spans="1:4" x14ac:dyDescent="0.2">
      <c r="A5886" s="5">
        <v>5825</v>
      </c>
      <c r="B5886" s="138">
        <f>'Revenues 9-14'!H108</f>
        <v>600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600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187551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187551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187551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14425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14425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14425</v>
      </c>
      <c r="C6023" s="2" t="s">
        <v>594</v>
      </c>
      <c r="D6023" s="2" t="str">
        <f t="shared" si="93"/>
        <v>Error?</v>
      </c>
    </row>
    <row r="6024" spans="1:5" x14ac:dyDescent="0.2">
      <c r="A6024" s="5">
        <v>5963</v>
      </c>
      <c r="B6024" s="138">
        <f>'Revenues 9-14'!G109</f>
        <v>1764915</v>
      </c>
      <c r="C6024" s="2" t="s">
        <v>594</v>
      </c>
      <c r="D6024" s="2" t="str">
        <f t="shared" si="93"/>
        <v>Error?</v>
      </c>
    </row>
    <row r="6025" spans="1:5" x14ac:dyDescent="0.2">
      <c r="A6025" s="5">
        <v>5964</v>
      </c>
      <c r="B6025" s="138">
        <f>'Revenues 9-14'!H109</f>
        <v>600</v>
      </c>
      <c r="C6025" s="2" t="s">
        <v>594</v>
      </c>
      <c r="D6025" s="2" t="str">
        <f t="shared" si="93"/>
        <v>Error?</v>
      </c>
    </row>
    <row r="6026" spans="1:5" x14ac:dyDescent="0.2">
      <c r="A6026" s="5">
        <v>5965</v>
      </c>
      <c r="B6026" s="138">
        <f>'Revenues 9-14'!I109</f>
        <v>187551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14425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261787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90228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3080.39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633152</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388384</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173604</v>
      </c>
      <c r="D6113" s="2" t="str">
        <f t="shared" si="94"/>
        <v>Error?</v>
      </c>
      <c r="E6113" s="2" t="s">
        <v>199</v>
      </c>
    </row>
    <row r="6114" spans="1:5" x14ac:dyDescent="0.2">
      <c r="A6114">
        <v>6053</v>
      </c>
      <c r="B6114" s="138">
        <f>'Assets-Liab 5-6'!D11</f>
        <v>8977</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131859</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639078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38007</v>
      </c>
      <c r="D6142" s="2" t="str">
        <f t="shared" si="94"/>
        <v>Error?</v>
      </c>
      <c r="E6142" s="2" t="s">
        <v>199</v>
      </c>
    </row>
    <row r="6143" spans="1:5" x14ac:dyDescent="0.2">
      <c r="A6143">
        <v>6082</v>
      </c>
      <c r="B6143" s="138">
        <f>'Assets-Liab 5-6'!D27</f>
        <v>40193</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33477</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2596323</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290924</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290924</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216295</v>
      </c>
      <c r="D6214" s="2" t="str">
        <f t="shared" si="96"/>
        <v>Error?</v>
      </c>
      <c r="E6214" s="2" t="s">
        <v>199</v>
      </c>
    </row>
    <row r="6215" spans="1:5" x14ac:dyDescent="0.2">
      <c r="A6215">
        <v>6154</v>
      </c>
      <c r="B6215" s="138">
        <f>'Assets-Liab 5-6'!J39</f>
        <v>131859</v>
      </c>
      <c r="D6215" s="2" t="str">
        <f t="shared" si="96"/>
        <v>Error?</v>
      </c>
      <c r="E6215" s="2" t="s">
        <v>199</v>
      </c>
    </row>
    <row r="6216" spans="1:5" x14ac:dyDescent="0.2">
      <c r="A6216">
        <v>6155</v>
      </c>
      <c r="B6216" s="138">
        <f>'Assets-Liab 5-6'!J41</f>
        <v>639078</v>
      </c>
      <c r="D6216" s="2" t="str">
        <f t="shared" si="96"/>
        <v>Error?</v>
      </c>
      <c r="E6216" s="2" t="s">
        <v>199</v>
      </c>
    </row>
    <row r="6217" spans="1:5" x14ac:dyDescent="0.2">
      <c r="A6217">
        <v>6156</v>
      </c>
      <c r="B6217" s="138">
        <f>'Assets-Liab 5-6'!J4</f>
        <v>365659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141560</v>
      </c>
      <c r="D6219" s="2" t="str">
        <f t="shared" si="96"/>
        <v>Error?</v>
      </c>
      <c r="E6219" s="2" t="s">
        <v>199</v>
      </c>
    </row>
    <row r="6220" spans="1:5" x14ac:dyDescent="0.2">
      <c r="A6220">
        <v>6159</v>
      </c>
      <c r="B6220" s="138">
        <f>'Acct Summary 7-8'!J4</f>
        <v>392821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392821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392821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367676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367676</v>
      </c>
      <c r="D6229" s="2" t="str">
        <f t="shared" si="96"/>
        <v>Error?</v>
      </c>
      <c r="E6229" s="2" t="s">
        <v>199</v>
      </c>
    </row>
    <row r="6230" spans="1:5" x14ac:dyDescent="0.2">
      <c r="A6230">
        <v>6169</v>
      </c>
      <c r="B6230" s="138">
        <f>'Acct Summary 7-8'!J20</f>
        <v>25145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25145</v>
      </c>
      <c r="D6263" s="2" t="str">
        <f t="shared" si="96"/>
        <v>Error?</v>
      </c>
      <c r="E6263" s="2" t="s">
        <v>199</v>
      </c>
    </row>
    <row r="6264" spans="1:5" x14ac:dyDescent="0.2">
      <c r="A6264">
        <v>6203</v>
      </c>
      <c r="B6264" s="138">
        <f>'Acct Summary 7-8'!J79</f>
        <v>323009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348154</v>
      </c>
      <c r="D6266" s="2" t="str">
        <f t="shared" si="96"/>
        <v>Error?</v>
      </c>
      <c r="E6266" s="2" t="s">
        <v>199</v>
      </c>
    </row>
    <row r="6267" spans="1:5" x14ac:dyDescent="0.2">
      <c r="A6267">
        <v>6206</v>
      </c>
      <c r="B6267" s="138">
        <f>'Acct Summary 7-8'!C82</f>
        <v>-344515</v>
      </c>
      <c r="D6267" s="2" t="str">
        <f t="shared" si="96"/>
        <v>Error?</v>
      </c>
      <c r="E6267" s="2" t="s">
        <v>199</v>
      </c>
    </row>
    <row r="6268" spans="1:5" x14ac:dyDescent="0.2">
      <c r="A6268">
        <v>6207</v>
      </c>
      <c r="B6268" s="138">
        <f>'Acct Summary 7-8'!D82</f>
        <v>1817546</v>
      </c>
      <c r="D6268" s="2" t="str">
        <f t="shared" si="96"/>
        <v>Error?</v>
      </c>
      <c r="E6268" s="2" t="s">
        <v>199</v>
      </c>
    </row>
    <row r="6269" spans="1:5" x14ac:dyDescent="0.2">
      <c r="A6269">
        <v>6208</v>
      </c>
      <c r="B6269" s="138">
        <f>'Acct Summary 7-8'!E82</f>
        <v>50506</v>
      </c>
      <c r="D6269" s="2" t="str">
        <f t="shared" si="96"/>
        <v>Error?</v>
      </c>
      <c r="E6269" s="2" t="s">
        <v>199</v>
      </c>
    </row>
    <row r="6270" spans="1:5" x14ac:dyDescent="0.2">
      <c r="A6270">
        <v>6209</v>
      </c>
      <c r="B6270" s="138">
        <f>'Acct Summary 7-8'!F82</f>
        <v>685092</v>
      </c>
      <c r="D6270" s="2" t="str">
        <f t="shared" si="96"/>
        <v>Error?</v>
      </c>
      <c r="E6270" s="2" t="s">
        <v>199</v>
      </c>
    </row>
    <row r="6271" spans="1:5" x14ac:dyDescent="0.2">
      <c r="A6271">
        <v>6210</v>
      </c>
      <c r="B6271" s="138">
        <f>'Acct Summary 7-8'!G82</f>
        <v>451102</v>
      </c>
      <c r="D6271" s="2" t="str">
        <f t="shared" ref="D6271:D6334" si="97">IF(ISBLANK(B6271),"OK",IF(A6271-B6271=0,"OK","Error?"))</f>
        <v>Error?</v>
      </c>
      <c r="E6271" s="2" t="s">
        <v>199</v>
      </c>
    </row>
    <row r="6272" spans="1:5" x14ac:dyDescent="0.2">
      <c r="A6272">
        <v>6211</v>
      </c>
      <c r="B6272" s="138">
        <f>'Acct Summary 7-8'!H82</f>
        <v>600</v>
      </c>
      <c r="D6272" s="2" t="str">
        <f t="shared" si="97"/>
        <v>Error?</v>
      </c>
      <c r="E6272" s="2" t="s">
        <v>199</v>
      </c>
    </row>
    <row r="6273" spans="1:5" x14ac:dyDescent="0.2">
      <c r="A6273">
        <v>6212</v>
      </c>
      <c r="B6273" s="138">
        <f>'Acct Summary 7-8'!I82</f>
        <v>-1935643</v>
      </c>
      <c r="D6273" s="2" t="str">
        <f t="shared" si="97"/>
        <v>Error?</v>
      </c>
      <c r="E6273" s="2" t="s">
        <v>199</v>
      </c>
    </row>
    <row r="6274" spans="1:5" x14ac:dyDescent="0.2">
      <c r="A6274">
        <v>6213</v>
      </c>
      <c r="B6274" s="138">
        <f>'Acct Summary 7-8'!J82</f>
        <v>25145</v>
      </c>
      <c r="D6274" s="2" t="str">
        <f t="shared" si="97"/>
        <v>Error?</v>
      </c>
      <c r="E6274" s="2" t="s">
        <v>199</v>
      </c>
    </row>
    <row r="6275" spans="1:5" x14ac:dyDescent="0.2">
      <c r="A6275">
        <v>6214</v>
      </c>
      <c r="B6275" s="138">
        <f>'Acct Summary 7-8'!K82</f>
        <v>-1043152</v>
      </c>
      <c r="D6275" s="2" t="str">
        <f t="shared" si="97"/>
        <v>Error?</v>
      </c>
      <c r="E6275" s="2" t="s">
        <v>199</v>
      </c>
    </row>
    <row r="6276" spans="1:5" x14ac:dyDescent="0.2">
      <c r="A6276">
        <v>6215</v>
      </c>
      <c r="B6276" s="138">
        <f>'Acct Summary 7-8'!C83</f>
        <v>-3.10264973663298E-2</v>
      </c>
      <c r="D6276" s="2" t="str">
        <f t="shared" si="97"/>
        <v>Error?</v>
      </c>
      <c r="E6276" s="2" t="s">
        <v>199</v>
      </c>
    </row>
    <row r="6277" spans="1:5" x14ac:dyDescent="0.2">
      <c r="A6277">
        <v>6216</v>
      </c>
      <c r="B6277" s="138">
        <f>'Acct Summary 7-8'!D83</f>
        <v>0.95333972548706958</v>
      </c>
      <c r="D6277" s="2" t="str">
        <f t="shared" si="97"/>
        <v>Error?</v>
      </c>
      <c r="E6277" s="2" t="s">
        <v>199</v>
      </c>
    </row>
    <row r="6278" spans="1:5" x14ac:dyDescent="0.2">
      <c r="A6278">
        <v>6217</v>
      </c>
      <c r="B6278" s="138">
        <f>'Acct Summary 7-8'!E83</f>
        <v>6.0214002563261898E-2</v>
      </c>
      <c r="D6278" s="2" t="str">
        <f t="shared" si="97"/>
        <v>Error?</v>
      </c>
      <c r="E6278" s="2" t="s">
        <v>199</v>
      </c>
    </row>
    <row r="6279" spans="1:5" x14ac:dyDescent="0.2">
      <c r="A6279">
        <v>6218</v>
      </c>
      <c r="B6279" s="138">
        <f>'Acct Summary 7-8'!F83</f>
        <v>0.73950715498528197</v>
      </c>
      <c r="D6279" s="2" t="str">
        <f t="shared" si="97"/>
        <v>Error?</v>
      </c>
      <c r="E6279" s="2" t="s">
        <v>199</v>
      </c>
    </row>
    <row r="6280" spans="1:5" x14ac:dyDescent="0.2">
      <c r="A6280">
        <v>6219</v>
      </c>
      <c r="B6280" s="138">
        <f>'Acct Summary 7-8'!G83</f>
        <v>0.24799709287782556</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-0.31550031180961391</v>
      </c>
      <c r="D6282" s="2" t="str">
        <f t="shared" si="97"/>
        <v>Error?</v>
      </c>
      <c r="E6282" s="2" t="s">
        <v>199</v>
      </c>
    </row>
    <row r="6283" spans="1:5" x14ac:dyDescent="0.2">
      <c r="A6283">
        <v>6222</v>
      </c>
      <c r="B6283" s="138">
        <f>'Acct Summary 7-8'!J83</f>
        <v>7.2223786025724254E-2</v>
      </c>
      <c r="D6283" s="2" t="str">
        <f t="shared" si="97"/>
        <v>Error?</v>
      </c>
      <c r="E6283" s="2" t="s">
        <v>199</v>
      </c>
    </row>
    <row r="6284" spans="1:5" x14ac:dyDescent="0.2">
      <c r="A6284">
        <v>6223</v>
      </c>
      <c r="B6284" s="138">
        <f>'Acct Summary 7-8'!K83</f>
        <v>-5795.2888888888892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388434</v>
      </c>
      <c r="D6300" s="2" t="str">
        <f t="shared" si="97"/>
        <v>Error?</v>
      </c>
      <c r="E6300" s="2" t="s">
        <v>199</v>
      </c>
    </row>
    <row r="6301" spans="1:5" x14ac:dyDescent="0.2">
      <c r="A6301">
        <v>6240</v>
      </c>
      <c r="B6301" s="138">
        <f>'Revenues 9-14'!J12</f>
        <v>388434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4387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4387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392821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255965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51614</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280591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365818</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518257</v>
      </c>
      <c r="D6880" s="2" t="str">
        <f t="shared" si="106"/>
        <v>Error?</v>
      </c>
    </row>
    <row r="6881" spans="1:4" x14ac:dyDescent="0.2">
      <c r="A6881">
        <v>6820</v>
      </c>
      <c r="B6881" s="138">
        <f>'Expenditures 15-22'!K22</f>
        <v>518257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51614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870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870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5347</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5347</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216142</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216142</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222359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273973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207714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207714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207714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367676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207714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392821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14142</v>
      </c>
      <c r="D7073" s="2" t="str">
        <f t="shared" si="109"/>
        <v>Error?</v>
      </c>
    </row>
    <row r="7074" spans="1:4" x14ac:dyDescent="0.2">
      <c r="A7074">
        <v>7013</v>
      </c>
      <c r="B7074" s="138">
        <f>'Expenditures 15-22'!K216</f>
        <v>14142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16029</v>
      </c>
      <c r="D7077" s="2" t="str">
        <f t="shared" si="109"/>
        <v>Error?</v>
      </c>
    </row>
    <row r="7078" spans="1:4" x14ac:dyDescent="0.2">
      <c r="A7078">
        <v>7017</v>
      </c>
      <c r="B7078" s="138">
        <f>'Expenditures 15-22'!K220</f>
        <v>16029</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145314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145314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27628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27628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12942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12942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69010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69010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367676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367676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367676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367676</v>
      </c>
      <c r="D7224" s="2" t="str">
        <f t="shared" si="111"/>
        <v>Error?</v>
      </c>
    </row>
    <row r="7225" spans="1:4" x14ac:dyDescent="0.2">
      <c r="A7225">
        <v>7164</v>
      </c>
      <c r="B7225" s="138">
        <f>'Expenditures 15-22'!K343</f>
        <v>25145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19759</v>
      </c>
      <c r="D7246" s="2" t="str">
        <f t="shared" si="112"/>
        <v>Error?</v>
      </c>
    </row>
    <row r="7247" spans="1:4" x14ac:dyDescent="0.2">
      <c r="A7247">
        <f t="shared" si="113"/>
        <v>7186</v>
      </c>
      <c r="B7247" s="138">
        <f>'Expenditures 15-22'!E7</f>
        <v>957</v>
      </c>
      <c r="D7247" s="2" t="str">
        <f t="shared" si="112"/>
        <v>Error?</v>
      </c>
    </row>
    <row r="7248" spans="1:4" x14ac:dyDescent="0.2">
      <c r="A7248">
        <f t="shared" si="113"/>
        <v>7187</v>
      </c>
      <c r="B7248" s="138">
        <f>'Expenditures 15-22'!F7</f>
        <v>3910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297058</v>
      </c>
      <c r="D7257" s="2" t="str">
        <f t="shared" si="112"/>
        <v>Error?</v>
      </c>
    </row>
    <row r="7258" spans="1:4" x14ac:dyDescent="0.2">
      <c r="A7258">
        <f t="shared" si="113"/>
        <v>7197</v>
      </c>
      <c r="B7258" s="138">
        <f>'Expenditures 15-22'!D11</f>
        <v>51143</v>
      </c>
      <c r="D7258" s="2" t="str">
        <f t="shared" si="112"/>
        <v>Error?</v>
      </c>
    </row>
    <row r="7259" spans="1:4" x14ac:dyDescent="0.2">
      <c r="A7259">
        <f t="shared" si="113"/>
        <v>7198</v>
      </c>
      <c r="B7259" s="138">
        <f>'Expenditures 15-22'!E11</f>
        <v>17420</v>
      </c>
      <c r="D7259" s="2" t="str">
        <f t="shared" si="112"/>
        <v>Error?</v>
      </c>
    </row>
    <row r="7260" spans="1:4" x14ac:dyDescent="0.2">
      <c r="A7260">
        <f t="shared" si="113"/>
        <v>7199</v>
      </c>
      <c r="B7260" s="138">
        <f>'Expenditures 15-22'!F11</f>
        <v>197</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481687</v>
      </c>
      <c r="D7624" s="2" t="str">
        <f t="shared" si="124"/>
        <v>Error?</v>
      </c>
      <c r="E7624" s="2" t="s">
        <v>19</v>
      </c>
    </row>
    <row r="7625" spans="1:5" x14ac:dyDescent="0.2">
      <c r="A7625">
        <f t="shared" si="123"/>
        <v>7564</v>
      </c>
      <c r="B7625" s="138">
        <f>'Cap Outlay Deprec 26'!I17</f>
        <v>48168.7</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1369162.7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100572</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100572</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12210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12210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247913</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1935643</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1780106.1799999997</v>
      </c>
      <c r="D7759" s="2" t="str">
        <f t="shared" si="127"/>
        <v>Error?</v>
      </c>
      <c r="E7759" s="4" t="s">
        <v>1400</v>
      </c>
    </row>
    <row r="7760" spans="1:6" x14ac:dyDescent="0.2">
      <c r="A7760">
        <v>7699</v>
      </c>
      <c r="B7760" s="138">
        <f>'Aud Quest 2'!J90</f>
        <v>1780107.1799999997</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6212625.2299999995</v>
      </c>
      <c r="D7797" s="2" t="str">
        <f t="shared" si="127"/>
        <v>Error?</v>
      </c>
      <c r="E7797" s="4" t="s">
        <v>2020</v>
      </c>
    </row>
    <row r="7798" spans="1:5" x14ac:dyDescent="0.2">
      <c r="A7798">
        <v>7737</v>
      </c>
      <c r="B7798" s="138">
        <f>'Contracts Paid in CY 29'!F141</f>
        <v>600000</v>
      </c>
      <c r="D7798" s="2" t="str">
        <f t="shared" si="127"/>
        <v>Error?</v>
      </c>
      <c r="E7798" s="4" t="s">
        <v>2020</v>
      </c>
    </row>
    <row r="7799" spans="1:5" x14ac:dyDescent="0.2">
      <c r="A7799">
        <v>7738</v>
      </c>
      <c r="B7799" s="138">
        <f>'Contracts Paid in CY 29'!G141</f>
        <v>5395160.2299999995</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1" zoomScale="110" zoomScaleNormal="110" workbookViewId="0">
      <selection activeCell="G32" sqref="G3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4" t="s">
        <v>1253</v>
      </c>
      <c r="B2" s="2424"/>
      <c r="C2" s="2424"/>
      <c r="D2" s="2424"/>
      <c r="E2" s="2424"/>
      <c r="F2" s="2424"/>
      <c r="G2" s="2424"/>
      <c r="H2" s="2424"/>
      <c r="I2" s="2424"/>
      <c r="J2" s="2424"/>
      <c r="K2" s="2424"/>
      <c r="L2" s="2424"/>
    </row>
    <row r="3" spans="1:29" ht="13.5" customHeight="1" x14ac:dyDescent="0.2">
      <c r="A3" s="2410" t="s">
        <v>1252</v>
      </c>
      <c r="B3" s="2410"/>
      <c r="C3" s="2410"/>
      <c r="D3" s="2410"/>
      <c r="E3" s="2410"/>
      <c r="F3" s="2410"/>
      <c r="G3" s="2410"/>
      <c r="H3" s="2410"/>
      <c r="I3" s="2410"/>
      <c r="J3" s="2410"/>
      <c r="K3" s="2410"/>
      <c r="L3" s="2410"/>
    </row>
    <row r="4" spans="1:29" ht="13.5" customHeight="1" x14ac:dyDescent="0.2">
      <c r="A4" s="2424" t="s">
        <v>1799</v>
      </c>
      <c r="B4" s="2441"/>
      <c r="C4" s="2441"/>
      <c r="D4" s="2441"/>
      <c r="E4" s="2441"/>
      <c r="F4" s="2441"/>
      <c r="G4" s="2441"/>
      <c r="H4" s="2441"/>
      <c r="I4" s="2441"/>
      <c r="J4" s="2441"/>
      <c r="K4" s="2441"/>
      <c r="L4" s="244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4" t="str">
        <f>COVER!A17</f>
        <v>SD 45 DuPage County</v>
      </c>
      <c r="B7" s="2405"/>
      <c r="C7" s="2405"/>
      <c r="D7" s="2442"/>
      <c r="E7" s="2443">
        <f>COVER!A13</f>
        <v>19022045002</v>
      </c>
      <c r="F7" s="2444"/>
      <c r="G7" s="2411" t="str">
        <f>COVER!T23</f>
        <v>065-033233</v>
      </c>
      <c r="H7" s="2412"/>
      <c r="I7" s="2412"/>
      <c r="J7" s="2412"/>
      <c r="K7" s="2412"/>
      <c r="L7" s="241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4"/>
      <c r="B9" s="2415"/>
      <c r="C9" s="2415"/>
      <c r="D9" s="2415"/>
      <c r="E9" s="2415"/>
      <c r="F9" s="2416"/>
      <c r="G9" s="2417" t="str">
        <f>COVER!T13</f>
        <v>Lauterbach and Amen, LLP</v>
      </c>
      <c r="H9" s="2418"/>
      <c r="I9" s="2418"/>
      <c r="J9" s="2418"/>
      <c r="K9" s="2418"/>
      <c r="L9" s="2419"/>
    </row>
    <row r="10" spans="1:29" ht="13.5" customHeight="1" x14ac:dyDescent="0.2">
      <c r="A10" s="2401" t="str">
        <f>COVER!A38</f>
        <v>Mr. Anthony Palmisao</v>
      </c>
      <c r="B10" s="2402"/>
      <c r="C10" s="2402"/>
      <c r="D10" s="2402"/>
      <c r="E10" s="2402"/>
      <c r="F10" s="2403"/>
      <c r="G10" s="2417" t="str">
        <f>COVER!T17</f>
        <v>668 N. River Road</v>
      </c>
      <c r="H10" s="2430"/>
      <c r="I10" s="2430"/>
      <c r="J10" s="2430"/>
      <c r="K10" s="2430"/>
      <c r="L10" s="2431"/>
    </row>
    <row r="11" spans="1:29" ht="13.5" customHeight="1" x14ac:dyDescent="0.2">
      <c r="A11" s="1185" t="s">
        <v>1599</v>
      </c>
      <c r="B11" s="1186"/>
      <c r="C11" s="1187"/>
      <c r="D11" s="1192"/>
      <c r="E11" s="1187"/>
      <c r="F11" s="1191"/>
      <c r="G11" s="2417" t="str">
        <f>COVER!T19</f>
        <v>Naperville</v>
      </c>
      <c r="H11" s="2430"/>
      <c r="I11" s="2430"/>
      <c r="J11" s="2430"/>
      <c r="K11" s="2430"/>
      <c r="L11" s="2431"/>
    </row>
    <row r="12" spans="1:29" ht="13.5" customHeight="1" x14ac:dyDescent="0.2">
      <c r="A12" s="2435" t="s">
        <v>1598</v>
      </c>
      <c r="B12" s="2436"/>
      <c r="C12" s="2436"/>
      <c r="D12" s="2436"/>
      <c r="E12" s="2436"/>
      <c r="F12" s="2437"/>
      <c r="G12" s="2432"/>
      <c r="H12" s="2433"/>
      <c r="I12" s="2433"/>
      <c r="J12" s="2433"/>
      <c r="K12" s="2433"/>
      <c r="L12" s="2434"/>
    </row>
    <row r="13" spans="1:29" ht="13.5" customHeight="1" x14ac:dyDescent="0.2">
      <c r="A13" s="2417"/>
      <c r="B13" s="2430"/>
      <c r="C13" s="2430"/>
      <c r="D13" s="2430"/>
      <c r="E13" s="2430"/>
      <c r="F13" s="2431"/>
      <c r="G13" s="2425" t="s">
        <v>1600</v>
      </c>
      <c r="H13" s="2426"/>
      <c r="I13" s="2438" t="str">
        <f>COVER!T25</f>
        <v>mberan@lauterbachamen.com</v>
      </c>
      <c r="J13" s="2439"/>
      <c r="K13" s="2439"/>
      <c r="L13" s="2440"/>
    </row>
    <row r="14" spans="1:29" ht="13.5" customHeight="1" x14ac:dyDescent="0.2">
      <c r="A14" s="2417" t="str">
        <f>COVER!A19</f>
        <v>255 W. Vermont Street</v>
      </c>
      <c r="B14" s="2430"/>
      <c r="C14" s="2430"/>
      <c r="D14" s="2430"/>
      <c r="E14" s="2430"/>
      <c r="F14" s="2431"/>
      <c r="G14" s="1196" t="s">
        <v>1247</v>
      </c>
      <c r="H14" s="1194"/>
      <c r="I14" s="1194"/>
      <c r="J14" s="1194"/>
      <c r="K14" s="1194"/>
      <c r="L14" s="1195"/>
    </row>
    <row r="15" spans="1:29" ht="13.5" customHeight="1" x14ac:dyDescent="0.2">
      <c r="A15" s="2417" t="str">
        <f>COVER!A21</f>
        <v>Villa Park</v>
      </c>
      <c r="B15" s="2430"/>
      <c r="C15" s="2430"/>
      <c r="D15" s="2430"/>
      <c r="E15" s="2430"/>
      <c r="F15" s="2431"/>
      <c r="G15" s="2427" t="str">
        <f>COVER!T15</f>
        <v>Matt Beran</v>
      </c>
      <c r="H15" s="2428"/>
      <c r="I15" s="2428"/>
      <c r="J15" s="2428"/>
      <c r="K15" s="2428"/>
      <c r="L15" s="2429"/>
    </row>
    <row r="16" spans="1:29" ht="12.2" customHeight="1" x14ac:dyDescent="0.2">
      <c r="A16" s="2407">
        <f>COVER!A25</f>
        <v>60181</v>
      </c>
      <c r="B16" s="2408"/>
      <c r="C16" s="2408"/>
      <c r="D16" s="2408"/>
      <c r="E16" s="2408"/>
      <c r="F16" s="2409"/>
      <c r="G16" s="2420"/>
      <c r="H16" s="2421"/>
      <c r="I16" s="2421"/>
      <c r="J16" s="2421"/>
      <c r="K16" s="2421"/>
      <c r="L16" s="2422"/>
    </row>
    <row r="17" spans="1:13" ht="12.2" customHeight="1" x14ac:dyDescent="0.2">
      <c r="A17" s="2423"/>
      <c r="B17" s="2408"/>
      <c r="C17" s="2408"/>
      <c r="D17" s="2408"/>
      <c r="E17" s="2408"/>
      <c r="F17" s="2409"/>
      <c r="G17" s="1196" t="s">
        <v>1246</v>
      </c>
      <c r="H17" s="1194"/>
      <c r="I17" s="1194"/>
      <c r="J17" s="1194"/>
      <c r="K17" s="1198" t="s">
        <v>1245</v>
      </c>
      <c r="L17" s="1191"/>
      <c r="M17" s="1184"/>
    </row>
    <row r="18" spans="1:13" ht="12.2" customHeight="1" x14ac:dyDescent="0.2">
      <c r="A18" s="2401"/>
      <c r="B18" s="2402"/>
      <c r="C18" s="2402"/>
      <c r="D18" s="2402"/>
      <c r="E18" s="2402"/>
      <c r="F18" s="2403"/>
      <c r="G18" s="2404" t="str">
        <f>COVER!T21</f>
        <v>630-393-1483</v>
      </c>
      <c r="H18" s="2405"/>
      <c r="I18" s="2405"/>
      <c r="J18" s="2405"/>
      <c r="K18" s="2404" t="str">
        <f>COVER!X21</f>
        <v>630-393-2516</v>
      </c>
      <c r="L18" s="240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2077</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2077</v>
      </c>
      <c r="C26" s="1203" t="s">
        <v>1801</v>
      </c>
    </row>
    <row r="27" spans="1:13" s="1199" customFormat="1" ht="9" customHeight="1" x14ac:dyDescent="0.2">
      <c r="B27" s="1204"/>
      <c r="C27" s="1203"/>
    </row>
    <row r="28" spans="1:13" s="1199" customFormat="1" ht="12.2" customHeight="1" x14ac:dyDescent="0.2">
      <c r="A28" s="1206"/>
      <c r="B28" s="1202" t="s">
        <v>2077</v>
      </c>
      <c r="C28" s="1203" t="s">
        <v>1802</v>
      </c>
    </row>
    <row r="29" spans="1:13" s="1199" customFormat="1" ht="9" customHeight="1" x14ac:dyDescent="0.2">
      <c r="A29" s="1206"/>
      <c r="B29" s="1204"/>
      <c r="C29" s="1203"/>
    </row>
    <row r="30" spans="1:13" s="1199" customFormat="1" ht="12.2" customHeight="1" x14ac:dyDescent="0.2">
      <c r="B30" s="1202" t="s">
        <v>2077</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2077</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2077</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2077</v>
      </c>
      <c r="C38" s="1203" t="s">
        <v>1647</v>
      </c>
    </row>
    <row r="39" spans="1:8" ht="9" customHeight="1" x14ac:dyDescent="0.2">
      <c r="B39" s="1204"/>
      <c r="C39" s="1207"/>
    </row>
    <row r="40" spans="1:8" s="1199" customFormat="1" ht="13.5" customHeight="1" x14ac:dyDescent="0.2">
      <c r="B40" s="1202" t="s">
        <v>2077</v>
      </c>
      <c r="C40" s="1203" t="s">
        <v>1648</v>
      </c>
    </row>
    <row r="41" spans="1:8" ht="9" customHeight="1" x14ac:dyDescent="0.2">
      <c r="A41" s="1208"/>
      <c r="B41" s="1204"/>
      <c r="C41" s="1207"/>
    </row>
    <row r="42" spans="1:8" s="1199" customFormat="1" ht="13.5" customHeight="1" x14ac:dyDescent="0.2">
      <c r="B42" s="1202" t="s">
        <v>2077</v>
      </c>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36" zoomScale="125" zoomScaleNormal="125" workbookViewId="0">
      <selection activeCell="D65" sqref="D65"/>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SD 45 DuPage County</v>
      </c>
      <c r="B1" s="2441"/>
      <c r="C1" s="2441"/>
      <c r="D1" s="2441"/>
    </row>
    <row r="2" spans="1:11" s="1215" customFormat="1" ht="12.75" x14ac:dyDescent="0.2">
      <c r="A2" s="2446">
        <f>'Single Audit Cover'!E7</f>
        <v>19022045002</v>
      </c>
      <c r="B2" s="2447"/>
      <c r="C2" s="2447"/>
      <c r="D2" s="2447"/>
    </row>
    <row r="3" spans="1:11" s="1215" customFormat="1" ht="12.75" x14ac:dyDescent="0.2">
      <c r="A3" s="2445" t="s">
        <v>1593</v>
      </c>
      <c r="B3" s="2441"/>
      <c r="C3" s="2441"/>
      <c r="D3" s="244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2077</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2077</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2077</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2077</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2077</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2077</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2077</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2077</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2077</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2077</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2077</v>
      </c>
      <c r="C42" s="1232">
        <v>11</v>
      </c>
      <c r="D42" s="1243" t="s">
        <v>1655</v>
      </c>
      <c r="E42" s="312"/>
    </row>
    <row r="43" spans="1:5" ht="3" customHeight="1" x14ac:dyDescent="0.2">
      <c r="A43" s="1222"/>
      <c r="B43" s="1239"/>
      <c r="C43" s="1240"/>
      <c r="D43" s="1221"/>
    </row>
    <row r="44" spans="1:5" x14ac:dyDescent="0.2">
      <c r="A44" s="1222"/>
      <c r="B44" s="1225" t="s">
        <v>2077</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2077</v>
      </c>
      <c r="C48" s="1226">
        <f>C44+1</f>
        <v>13</v>
      </c>
      <c r="D48" s="1237" t="s">
        <v>1656</v>
      </c>
    </row>
    <row r="49" spans="1:4" ht="3" customHeight="1" x14ac:dyDescent="0.2">
      <c r="A49" s="1222"/>
      <c r="B49" s="1229"/>
      <c r="C49" s="1226"/>
      <c r="D49" s="1237"/>
    </row>
    <row r="50" spans="1:4" x14ac:dyDescent="0.2">
      <c r="A50" s="1222"/>
      <c r="B50" s="1225" t="s">
        <v>2077</v>
      </c>
      <c r="C50" s="1226">
        <f>C48+1</f>
        <v>14</v>
      </c>
      <c r="D50" s="1237" t="s">
        <v>1274</v>
      </c>
    </row>
    <row r="51" spans="1:4" ht="3" customHeight="1" x14ac:dyDescent="0.2">
      <c r="A51" s="1222"/>
      <c r="B51" s="1229"/>
      <c r="C51" s="1226"/>
      <c r="D51" s="1237"/>
    </row>
    <row r="52" spans="1:4" x14ac:dyDescent="0.2">
      <c r="A52" s="1222"/>
      <c r="B52" s="1225" t="s">
        <v>2077</v>
      </c>
      <c r="C52" s="1226">
        <f>C50+1</f>
        <v>15</v>
      </c>
      <c r="D52" s="1237" t="s">
        <v>1273</v>
      </c>
    </row>
    <row r="53" spans="1:4" ht="3" customHeight="1" x14ac:dyDescent="0.2">
      <c r="A53" s="1222"/>
      <c r="B53" s="1229"/>
      <c r="C53" s="1226"/>
      <c r="D53" s="1237"/>
    </row>
    <row r="54" spans="1:4" x14ac:dyDescent="0.2">
      <c r="A54" s="1222"/>
      <c r="B54" s="1225" t="s">
        <v>2077</v>
      </c>
      <c r="C54" s="1226">
        <f>C52+1</f>
        <v>16</v>
      </c>
      <c r="D54" s="1237" t="s">
        <v>1272</v>
      </c>
    </row>
    <row r="55" spans="1:4" ht="3" customHeight="1" x14ac:dyDescent="0.2">
      <c r="A55" s="1222"/>
      <c r="B55" s="1229"/>
      <c r="C55" s="1226"/>
      <c r="D55" s="1237"/>
    </row>
    <row r="56" spans="1:4" x14ac:dyDescent="0.2">
      <c r="A56" s="1222"/>
      <c r="B56" s="1225" t="s">
        <v>2077</v>
      </c>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2077</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2077</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t="s">
        <v>2077</v>
      </c>
      <c r="C72" s="1226">
        <f>C56+1</f>
        <v>18</v>
      </c>
      <c r="D72" s="1247" t="s">
        <v>1817</v>
      </c>
    </row>
    <row r="73" spans="1:4" ht="3" customHeight="1" x14ac:dyDescent="0.2">
      <c r="A73" s="1222"/>
      <c r="B73" s="1229"/>
      <c r="C73" s="1226"/>
      <c r="D73" s="1247"/>
    </row>
    <row r="74" spans="1:4" x14ac:dyDescent="0.2">
      <c r="A74" s="1222"/>
      <c r="B74" s="1225" t="s">
        <v>2077</v>
      </c>
      <c r="C74" s="1226">
        <f>C72+1</f>
        <v>19</v>
      </c>
      <c r="D74" s="1237" t="s">
        <v>1267</v>
      </c>
    </row>
    <row r="75" spans="1:4" ht="3" customHeight="1" x14ac:dyDescent="0.2">
      <c r="A75" s="1222"/>
      <c r="B75" s="1229"/>
      <c r="C75" s="1226"/>
      <c r="D75" s="1237"/>
    </row>
    <row r="76" spans="1:4" x14ac:dyDescent="0.2">
      <c r="A76" s="1222"/>
      <c r="B76" s="1225" t="s">
        <v>2077</v>
      </c>
      <c r="C76" s="1226">
        <f>C74+1</f>
        <v>20</v>
      </c>
      <c r="D76" s="1248" t="s">
        <v>1818</v>
      </c>
    </row>
    <row r="77" spans="1:4" ht="3" customHeight="1" x14ac:dyDescent="0.2">
      <c r="A77" s="1222"/>
      <c r="B77" s="1229"/>
      <c r="C77" s="1226"/>
      <c r="D77" s="1248"/>
    </row>
    <row r="78" spans="1:4" x14ac:dyDescent="0.2">
      <c r="A78" s="1222"/>
      <c r="B78" s="1225" t="s">
        <v>2077</v>
      </c>
      <c r="C78" s="1226">
        <f>C76+1</f>
        <v>21</v>
      </c>
      <c r="D78" s="1221" t="s">
        <v>1819</v>
      </c>
    </row>
    <row r="79" spans="1:4" ht="3" customHeight="1" x14ac:dyDescent="0.2">
      <c r="A79" s="1222"/>
      <c r="B79" s="1229"/>
      <c r="C79" s="1226"/>
      <c r="D79" s="1221"/>
    </row>
    <row r="80" spans="1:4" x14ac:dyDescent="0.2">
      <c r="A80" s="1222"/>
      <c r="B80" s="1225" t="s">
        <v>2077</v>
      </c>
      <c r="C80" s="1226">
        <f>C78+1</f>
        <v>22</v>
      </c>
      <c r="D80" s="1249" t="s">
        <v>1820</v>
      </c>
    </row>
    <row r="81" spans="1:4" ht="3" customHeight="1" x14ac:dyDescent="0.2">
      <c r="A81" s="1222"/>
      <c r="B81" s="1229"/>
      <c r="C81" s="1226"/>
      <c r="D81" s="1249"/>
    </row>
    <row r="82" spans="1:4" x14ac:dyDescent="0.2">
      <c r="A82" s="1222"/>
      <c r="B82" s="1225" t="s">
        <v>2077</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2077</v>
      </c>
      <c r="C85" s="1226">
        <f>C82+1</f>
        <v>24</v>
      </c>
      <c r="D85" s="1237" t="s">
        <v>1265</v>
      </c>
    </row>
    <row r="86" spans="1:4" ht="3" customHeight="1" x14ac:dyDescent="0.2">
      <c r="A86" s="1222"/>
      <c r="B86" s="1229"/>
      <c r="C86" s="1226"/>
      <c r="D86" s="1237"/>
    </row>
    <row r="87" spans="1:4" x14ac:dyDescent="0.2">
      <c r="A87" s="1222"/>
      <c r="B87" s="1225" t="s">
        <v>2077</v>
      </c>
      <c r="C87" s="1226">
        <f>C85+1</f>
        <v>25</v>
      </c>
      <c r="D87" s="1237" t="s">
        <v>1264</v>
      </c>
    </row>
    <row r="88" spans="1:4" ht="3" customHeight="1" x14ac:dyDescent="0.2">
      <c r="A88" s="1222"/>
      <c r="B88" s="1229"/>
      <c r="C88" s="1226"/>
      <c r="D88" s="1237"/>
    </row>
    <row r="89" spans="1:4" x14ac:dyDescent="0.2">
      <c r="A89" s="1222"/>
      <c r="B89" s="1225" t="s">
        <v>2077</v>
      </c>
      <c r="C89" s="1226">
        <f>C87+1</f>
        <v>26</v>
      </c>
      <c r="D89" s="1237" t="s">
        <v>1263</v>
      </c>
    </row>
    <row r="90" spans="1:4" ht="3" customHeight="1" x14ac:dyDescent="0.2">
      <c r="A90" s="1222"/>
      <c r="B90" s="1229"/>
      <c r="C90" s="1226"/>
      <c r="D90" s="1237"/>
    </row>
    <row r="91" spans="1:4" x14ac:dyDescent="0.2">
      <c r="A91" s="1222"/>
      <c r="B91" s="1225" t="s">
        <v>2077</v>
      </c>
      <c r="C91" s="1226">
        <f>C89+1</f>
        <v>27</v>
      </c>
      <c r="D91" s="1237" t="s">
        <v>1822</v>
      </c>
    </row>
    <row r="92" spans="1:4" x14ac:dyDescent="0.2">
      <c r="A92" s="1222"/>
      <c r="B92" s="1250"/>
      <c r="C92" s="1244" t="s">
        <v>2109</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2077</v>
      </c>
      <c r="C96" s="1226">
        <f>C91+1</f>
        <v>28</v>
      </c>
      <c r="D96" s="1237" t="s">
        <v>1823</v>
      </c>
    </row>
    <row r="97" spans="1:4" ht="3" customHeight="1" x14ac:dyDescent="0.2">
      <c r="A97" s="1222"/>
      <c r="B97" s="1229"/>
      <c r="C97" s="1226"/>
      <c r="D97" s="1237"/>
    </row>
    <row r="98" spans="1:4" x14ac:dyDescent="0.2">
      <c r="A98" s="1222"/>
      <c r="B98" s="1225" t="s">
        <v>2077</v>
      </c>
      <c r="C98" s="1226">
        <f>C96+1</f>
        <v>29</v>
      </c>
      <c r="D98" s="1251" t="s">
        <v>1824</v>
      </c>
    </row>
    <row r="99" spans="1:4" ht="3" customHeight="1" x14ac:dyDescent="0.2">
      <c r="A99" s="1222"/>
      <c r="B99" s="1229"/>
      <c r="C99" s="1226"/>
      <c r="D99" s="1251"/>
    </row>
    <row r="100" spans="1:4" x14ac:dyDescent="0.2">
      <c r="A100" s="1222"/>
      <c r="B100" s="1225" t="s">
        <v>2077</v>
      </c>
      <c r="C100" s="1226">
        <f>C98+1</f>
        <v>30</v>
      </c>
      <c r="D100" s="1237" t="s">
        <v>1825</v>
      </c>
    </row>
    <row r="101" spans="1:4" ht="3" customHeight="1" x14ac:dyDescent="0.2">
      <c r="A101" s="1222"/>
      <c r="B101" s="1229"/>
      <c r="C101" s="1226"/>
      <c r="D101" s="1252"/>
    </row>
    <row r="102" spans="1:4" x14ac:dyDescent="0.2">
      <c r="A102" s="1222"/>
      <c r="B102" s="1225" t="s">
        <v>2077</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2077</v>
      </c>
      <c r="C106" s="1226">
        <f>C102+1</f>
        <v>32</v>
      </c>
      <c r="D106" s="1221" t="s">
        <v>1661</v>
      </c>
    </row>
    <row r="107" spans="1:4" ht="3" customHeight="1" x14ac:dyDescent="0.2">
      <c r="A107" s="1222"/>
      <c r="B107" s="1229"/>
      <c r="C107" s="1226"/>
      <c r="D107" s="1221"/>
    </row>
    <row r="108" spans="1:4" x14ac:dyDescent="0.2">
      <c r="A108" s="1222"/>
      <c r="B108" s="1225" t="s">
        <v>2109</v>
      </c>
      <c r="C108" s="1226">
        <v>33</v>
      </c>
      <c r="D108" s="1221" t="s">
        <v>1826</v>
      </c>
    </row>
    <row r="109" spans="1:4" ht="3" customHeight="1" x14ac:dyDescent="0.2">
      <c r="A109" s="1222"/>
      <c r="B109" s="1229"/>
      <c r="C109" s="1226"/>
      <c r="D109" s="1221"/>
    </row>
    <row r="110" spans="1:4" x14ac:dyDescent="0.2">
      <c r="A110" s="1222"/>
      <c r="B110" s="1225" t="s">
        <v>2109</v>
      </c>
      <c r="C110" s="1226">
        <f>C108+1</f>
        <v>34</v>
      </c>
      <c r="D110" s="1221" t="s">
        <v>1260</v>
      </c>
    </row>
    <row r="111" spans="1:4" ht="3" customHeight="1" x14ac:dyDescent="0.2">
      <c r="A111" s="1222"/>
      <c r="B111" s="1229" t="s">
        <v>1917</v>
      </c>
      <c r="C111" s="1226"/>
      <c r="D111" s="1221"/>
    </row>
    <row r="112" spans="1:4" x14ac:dyDescent="0.2">
      <c r="A112" s="1222"/>
      <c r="B112" s="1225" t="s">
        <v>2109</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2109</v>
      </c>
      <c r="C115" s="1226">
        <f>C112+1</f>
        <v>36</v>
      </c>
      <c r="D115" s="1237" t="s">
        <v>1257</v>
      </c>
    </row>
    <row r="116" spans="1:4" ht="3" customHeight="1" x14ac:dyDescent="0.2">
      <c r="A116" s="1222"/>
      <c r="B116" s="1229"/>
      <c r="C116" s="1226"/>
      <c r="D116" s="1237"/>
    </row>
    <row r="117" spans="1:4" x14ac:dyDescent="0.2">
      <c r="A117" s="1222"/>
      <c r="B117" s="1225" t="s">
        <v>2109</v>
      </c>
      <c r="C117" s="1226">
        <f>C115+1</f>
        <v>37</v>
      </c>
      <c r="D117" s="1237" t="s">
        <v>1827</v>
      </c>
    </row>
    <row r="118" spans="1:4" ht="3" customHeight="1" x14ac:dyDescent="0.2">
      <c r="A118" s="1222"/>
      <c r="B118" s="1229"/>
      <c r="C118" s="1226"/>
      <c r="D118" s="1237"/>
    </row>
    <row r="119" spans="1:4" x14ac:dyDescent="0.2">
      <c r="A119" s="1222"/>
      <c r="B119" s="1225" t="s">
        <v>2109</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2109</v>
      </c>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9"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SD 45 DuPage County</v>
      </c>
      <c r="B1" s="2449"/>
      <c r="C1" s="2449"/>
      <c r="D1" s="2449"/>
      <c r="E1" s="2449"/>
    </row>
    <row r="2" spans="1:5" x14ac:dyDescent="0.2">
      <c r="A2" s="2450">
        <f>'Single Audit Cover'!E7</f>
        <v>19022045002</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3327401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90228</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-479591</v>
      </c>
    </row>
    <row r="19" spans="1:4" ht="13.5" thickBot="1" x14ac:dyDescent="0.25">
      <c r="A19" s="1265" t="s">
        <v>1297</v>
      </c>
      <c r="D19" s="1266">
        <f>SUM(D10:D17)</f>
        <v>2938038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2938038</v>
      </c>
    </row>
    <row r="33" spans="1:4" x14ac:dyDescent="0.2">
      <c r="D33" s="1269"/>
    </row>
    <row r="34" spans="1:4" x14ac:dyDescent="0.2">
      <c r="A34" s="317" t="s">
        <v>1294</v>
      </c>
    </row>
    <row r="35" spans="1:4" x14ac:dyDescent="0.2">
      <c r="A35" s="317" t="s">
        <v>1293</v>
      </c>
      <c r="B35" s="1258" t="s">
        <v>1292</v>
      </c>
      <c r="D35" s="1270">
        <v>2938038</v>
      </c>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2938038</v>
      </c>
    </row>
    <row r="49" spans="2:4" x14ac:dyDescent="0.2">
      <c r="B49" s="1272" t="s">
        <v>1288</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4" zoomScale="120" zoomScaleNormal="120" workbookViewId="0">
      <selection activeCell="C34" sqref="C3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SD 45 DuPage County</v>
      </c>
      <c r="B1" s="2454"/>
      <c r="C1" s="2454"/>
      <c r="D1" s="2454"/>
      <c r="E1" s="2454"/>
      <c r="F1" s="2454"/>
    </row>
    <row r="2" spans="1:7" ht="13.5" customHeight="1" x14ac:dyDescent="0.2">
      <c r="A2" s="2455">
        <f>'Single Audit Cover'!E7</f>
        <v>19022045002</v>
      </c>
      <c r="B2" s="2455"/>
      <c r="C2" s="2455"/>
      <c r="D2" s="2455"/>
      <c r="E2" s="2455"/>
      <c r="F2" s="2455"/>
      <c r="G2" s="1275"/>
    </row>
    <row r="3" spans="1:7" ht="15.75" customHeight="1" x14ac:dyDescent="0.2">
      <c r="A3" s="2456" t="s">
        <v>1333</v>
      </c>
      <c r="B3" s="2456"/>
      <c r="C3" s="2456"/>
      <c r="D3" s="2456"/>
      <c r="E3" s="2456"/>
      <c r="F3" s="2456"/>
    </row>
    <row r="4" spans="1:7" ht="13.5" customHeight="1" x14ac:dyDescent="0.2">
      <c r="A4" s="2457" t="str">
        <f>'Single Audit Cover'!A4</f>
        <v>Year Ending June 30, 2018</v>
      </c>
      <c r="B4" s="2457"/>
      <c r="C4" s="2457"/>
      <c r="D4" s="2457"/>
      <c r="E4" s="2457"/>
      <c r="F4" s="2457"/>
    </row>
    <row r="5" spans="1:7" ht="8.25" customHeight="1" x14ac:dyDescent="0.2">
      <c r="C5" s="317"/>
      <c r="D5" s="317"/>
    </row>
    <row r="6" spans="1:7" ht="13.5" customHeight="1" x14ac:dyDescent="0.2">
      <c r="A6" s="1276" t="s">
        <v>1831</v>
      </c>
      <c r="C6" s="317"/>
      <c r="D6" s="317"/>
    </row>
    <row r="7" spans="1:7" ht="60.95" customHeight="1" x14ac:dyDescent="0.2">
      <c r="A7" s="2453" t="s">
        <v>1832</v>
      </c>
      <c r="B7" s="2453"/>
      <c r="C7" s="2453"/>
      <c r="D7" s="2453"/>
      <c r="E7" s="2453"/>
      <c r="F7" s="2453"/>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t="s">
        <v>2077</v>
      </c>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3" t="s">
        <v>1834</v>
      </c>
      <c r="B13" s="2453"/>
      <c r="C13" s="2453"/>
      <c r="D13" s="2453"/>
      <c r="E13" s="2453"/>
      <c r="F13" s="2453"/>
    </row>
    <row r="14" spans="1:7" ht="9.75" customHeight="1" x14ac:dyDescent="0.2">
      <c r="C14" s="1260"/>
      <c r="D14" s="1260"/>
    </row>
    <row r="15" spans="1:7" ht="13.5" customHeight="1" x14ac:dyDescent="0.2">
      <c r="C15" s="1870" t="s">
        <v>1332</v>
      </c>
      <c r="D15" s="2459" t="s">
        <v>1331</v>
      </c>
      <c r="E15" s="2459"/>
      <c r="F15" s="2459"/>
    </row>
    <row r="16" spans="1:7" ht="13.5" customHeight="1" x14ac:dyDescent="0.2">
      <c r="A16" s="1282"/>
      <c r="B16" s="1276" t="s">
        <v>1330</v>
      </c>
      <c r="C16" s="1870" t="s">
        <v>1329</v>
      </c>
      <c r="D16" s="2460" t="s">
        <v>1670</v>
      </c>
      <c r="E16" s="2460"/>
      <c r="F16" s="2460"/>
    </row>
    <row r="17" spans="1:6" ht="20.45" customHeight="1" x14ac:dyDescent="0.2">
      <c r="A17" s="1283"/>
      <c r="B17" s="1284"/>
      <c r="C17" s="1285"/>
      <c r="D17" s="2458"/>
      <c r="E17" s="2458"/>
      <c r="F17" s="2458"/>
    </row>
    <row r="18" spans="1:6" ht="20.65" customHeight="1" x14ac:dyDescent="0.2">
      <c r="A18" s="1283"/>
      <c r="B18" s="1284"/>
      <c r="C18" s="1285"/>
      <c r="D18" s="2458"/>
      <c r="E18" s="2458"/>
      <c r="F18" s="2458"/>
    </row>
    <row r="19" spans="1:6" ht="20.65" customHeight="1" x14ac:dyDescent="0.2">
      <c r="A19" s="1283"/>
      <c r="B19" s="1284"/>
      <c r="C19" s="1285"/>
      <c r="D19" s="2458"/>
      <c r="E19" s="2458"/>
      <c r="F19" s="2458"/>
    </row>
    <row r="20" spans="1:6" ht="20.65" customHeight="1" x14ac:dyDescent="0.2">
      <c r="A20" s="1283"/>
      <c r="B20" s="1284"/>
      <c r="C20" s="1285"/>
      <c r="D20" s="2458"/>
      <c r="E20" s="2458"/>
      <c r="F20" s="2458"/>
    </row>
    <row r="21" spans="1:6" ht="20.65" customHeight="1" x14ac:dyDescent="0.2">
      <c r="A21" s="1283"/>
      <c r="B21" s="1284"/>
      <c r="C21" s="1285"/>
      <c r="D21" s="2458"/>
      <c r="E21" s="2458"/>
      <c r="F21" s="2458"/>
    </row>
    <row r="22" spans="1:6" ht="20.65" customHeight="1" x14ac:dyDescent="0.2">
      <c r="A22" s="1283"/>
      <c r="B22" s="1284"/>
      <c r="C22" s="1285"/>
      <c r="D22" s="2458"/>
      <c r="E22" s="2458"/>
      <c r="F22" s="2458"/>
    </row>
    <row r="23" spans="1:6" ht="20.65" customHeight="1" x14ac:dyDescent="0.2">
      <c r="A23" s="1283"/>
      <c r="B23" s="1284"/>
      <c r="C23" s="1285"/>
      <c r="D23" s="2458"/>
      <c r="E23" s="2458"/>
      <c r="F23" s="2458"/>
    </row>
    <row r="24" spans="1:6" ht="20.65" customHeight="1" x14ac:dyDescent="0.2">
      <c r="A24" s="1283"/>
      <c r="B24" s="1284"/>
      <c r="C24" s="1285"/>
      <c r="D24" s="2458"/>
      <c r="E24" s="2458"/>
      <c r="F24" s="2458"/>
    </row>
    <row r="25" spans="1:6" ht="20.65" customHeight="1" x14ac:dyDescent="0.2">
      <c r="A25" s="1283"/>
      <c r="B25" s="1284"/>
      <c r="C25" s="1285"/>
      <c r="D25" s="2458"/>
      <c r="E25" s="2458"/>
      <c r="F25" s="2458"/>
    </row>
    <row r="26" spans="1:6" ht="20.65" customHeight="1" x14ac:dyDescent="0.2">
      <c r="A26" s="1283"/>
      <c r="B26" s="1284"/>
      <c r="C26" s="1285"/>
      <c r="D26" s="2458"/>
      <c r="E26" s="2458"/>
      <c r="F26" s="2458"/>
    </row>
    <row r="27" spans="1:6" ht="20.65" customHeight="1" x14ac:dyDescent="0.2">
      <c r="A27" s="1283"/>
      <c r="B27" s="1284"/>
      <c r="C27" s="1285"/>
      <c r="D27" s="2458"/>
      <c r="E27" s="2458"/>
      <c r="F27" s="2458"/>
    </row>
    <row r="28" spans="1:6" ht="20.65" customHeight="1" x14ac:dyDescent="0.2">
      <c r="A28" s="1283"/>
      <c r="B28" s="1284"/>
      <c r="C28" s="1285"/>
      <c r="D28" s="2458"/>
      <c r="E28" s="2458"/>
      <c r="F28" s="2458"/>
    </row>
    <row r="29" spans="1:6" ht="20.65" customHeight="1" x14ac:dyDescent="0.2">
      <c r="A29" s="1283"/>
      <c r="B29" s="1284"/>
      <c r="C29" s="1285"/>
      <c r="D29" s="2458"/>
      <c r="E29" s="2458"/>
      <c r="F29" s="2458"/>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62" t="s">
        <v>1835</v>
      </c>
      <c r="B32" s="2462"/>
      <c r="C32" s="2462"/>
      <c r="D32" s="2462"/>
      <c r="E32" s="2462"/>
      <c r="F32" s="2462"/>
    </row>
    <row r="33" spans="1:6" ht="13.5" customHeight="1" x14ac:dyDescent="0.2">
      <c r="A33" s="328" t="s">
        <v>1509</v>
      </c>
      <c r="B33" s="328"/>
      <c r="C33" s="1288">
        <f>' SEFA'!F17+' SEFA'!F18</f>
        <v>90227.57</v>
      </c>
      <c r="D33" s="1927"/>
      <c r="E33" s="1286"/>
    </row>
    <row r="34" spans="1:6" ht="13.5" customHeight="1" x14ac:dyDescent="0.2">
      <c r="A34" s="328" t="s">
        <v>1949</v>
      </c>
      <c r="B34" s="328"/>
      <c r="C34" s="1289">
        <v>0</v>
      </c>
      <c r="D34" s="1927" t="s">
        <v>1671</v>
      </c>
      <c r="E34" s="2463">
        <f>+C33+C34</f>
        <v>90227.57</v>
      </c>
      <c r="F34" s="2464"/>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5" t="s">
        <v>1672</v>
      </c>
      <c r="C49" s="2465"/>
      <c r="D49" s="2465"/>
      <c r="E49" s="1399"/>
    </row>
    <row r="50" spans="1:5" s="1300" customFormat="1" ht="3.75" customHeight="1" x14ac:dyDescent="0.2">
      <c r="A50" s="1299"/>
      <c r="B50" s="1869"/>
      <c r="C50" s="1869"/>
      <c r="D50" s="1869"/>
      <c r="E50" s="1399"/>
    </row>
    <row r="51" spans="1:5" s="1300" customFormat="1" ht="20.25" customHeight="1" x14ac:dyDescent="0.2">
      <c r="A51" s="1301">
        <v>6</v>
      </c>
      <c r="B51" s="2461" t="s">
        <v>1632</v>
      </c>
      <c r="C51" s="2461"/>
      <c r="D51" s="2461"/>
    </row>
    <row r="52" spans="1:5" ht="14.25" customHeight="1" x14ac:dyDescent="0.2">
      <c r="A52" s="1301"/>
      <c r="B52" s="2461"/>
      <c r="C52" s="2461"/>
      <c r="D52" s="2461"/>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68"/>
  <sheetViews>
    <sheetView showGridLines="0" topLeftCell="A25" zoomScaleNormal="100" workbookViewId="0">
      <selection activeCell="J31" sqref="J3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0" t="str">
        <f>'Single Audit Cover'!A7</f>
        <v>SD 45 DuPage County</v>
      </c>
      <c r="C1" s="2466"/>
      <c r="D1" s="2466"/>
      <c r="E1" s="2466"/>
      <c r="F1" s="2466"/>
      <c r="G1" s="2466"/>
      <c r="H1" s="2466"/>
      <c r="I1" s="2466"/>
      <c r="J1" s="2466"/>
      <c r="K1" s="2466"/>
      <c r="L1" s="2466"/>
      <c r="M1" s="2466"/>
    </row>
    <row r="2" spans="2:14" ht="15" x14ac:dyDescent="0.2">
      <c r="B2" s="2455">
        <f>'Single Audit Cover'!E7</f>
        <v>19022045002</v>
      </c>
      <c r="C2" s="2455"/>
      <c r="D2" s="2455"/>
      <c r="E2" s="2455"/>
      <c r="F2" s="2455"/>
      <c r="G2" s="2455"/>
      <c r="H2" s="2455"/>
      <c r="I2" s="2455"/>
      <c r="J2" s="2455"/>
      <c r="K2" s="2455"/>
      <c r="L2" s="2455"/>
      <c r="M2" s="2455"/>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2110</v>
      </c>
      <c r="C11" s="1338"/>
      <c r="D11" s="1339"/>
      <c r="E11" s="1340"/>
      <c r="F11" s="1340"/>
      <c r="G11" s="1340"/>
      <c r="H11" s="1340"/>
      <c r="I11" s="1340"/>
      <c r="J11" s="1340"/>
      <c r="K11" s="1340"/>
      <c r="L11" s="1340">
        <f>+G11+I11+K11</f>
        <v>0</v>
      </c>
      <c r="M11" s="1340"/>
    </row>
    <row r="12" spans="2:14" ht="20.100000000000001" customHeight="1" x14ac:dyDescent="0.2">
      <c r="B12" s="1955" t="s">
        <v>2111</v>
      </c>
      <c r="C12" s="1341"/>
      <c r="D12" s="1342"/>
      <c r="E12" s="1343"/>
      <c r="F12" s="1343"/>
      <c r="G12" s="1343"/>
      <c r="H12" s="1343"/>
      <c r="I12" s="1343"/>
      <c r="J12" s="1343"/>
      <c r="K12" s="1343"/>
      <c r="L12" s="1340">
        <f t="shared" ref="L12:L28" si="0">+G12+I12+K12</f>
        <v>0</v>
      </c>
      <c r="M12" s="1343"/>
    </row>
    <row r="13" spans="2:14" ht="20.100000000000001" customHeight="1" x14ac:dyDescent="0.2">
      <c r="B13" s="1956" t="s">
        <v>1119</v>
      </c>
      <c r="C13" s="1341">
        <v>10.553000000000001</v>
      </c>
      <c r="D13" s="1342" t="s">
        <v>2112</v>
      </c>
      <c r="E13" s="1343">
        <v>108684</v>
      </c>
      <c r="F13" s="1343">
        <v>20615.990000000002</v>
      </c>
      <c r="G13" s="1343">
        <v>108684</v>
      </c>
      <c r="H13" s="1343">
        <v>0</v>
      </c>
      <c r="I13" s="1343">
        <v>20615.990000000002</v>
      </c>
      <c r="J13" s="1343">
        <v>0</v>
      </c>
      <c r="K13" s="1343">
        <v>0</v>
      </c>
      <c r="L13" s="1340">
        <f t="shared" si="0"/>
        <v>129299.99</v>
      </c>
      <c r="M13" s="1343"/>
    </row>
    <row r="14" spans="2:14" ht="20.100000000000001" customHeight="1" x14ac:dyDescent="0.2">
      <c r="B14" s="1956" t="s">
        <v>1119</v>
      </c>
      <c r="C14" s="1341">
        <v>10.553000000000001</v>
      </c>
      <c r="D14" s="1342" t="s">
        <v>2113</v>
      </c>
      <c r="E14" s="1343">
        <v>0</v>
      </c>
      <c r="F14" s="1343">
        <v>109301.16</v>
      </c>
      <c r="G14" s="1343">
        <v>0</v>
      </c>
      <c r="H14" s="1343">
        <v>0</v>
      </c>
      <c r="I14" s="1343">
        <v>109301.16</v>
      </c>
      <c r="J14" s="1343">
        <v>0</v>
      </c>
      <c r="K14" s="1343">
        <v>0</v>
      </c>
      <c r="L14" s="1340">
        <f t="shared" si="0"/>
        <v>109301.16</v>
      </c>
      <c r="M14" s="1343"/>
    </row>
    <row r="15" spans="2:14" ht="20.100000000000001" customHeight="1" x14ac:dyDescent="0.2">
      <c r="B15" s="1956" t="s">
        <v>2114</v>
      </c>
      <c r="C15" s="1341">
        <v>10.555</v>
      </c>
      <c r="D15" s="1342" t="s">
        <v>2115</v>
      </c>
      <c r="E15" s="1343">
        <v>511972</v>
      </c>
      <c r="F15" s="1343">
        <v>105970.24000000001</v>
      </c>
      <c r="G15" s="1343">
        <v>511972</v>
      </c>
      <c r="H15" s="1343">
        <v>0</v>
      </c>
      <c r="I15" s="1343">
        <v>105970.24000000001</v>
      </c>
      <c r="J15" s="1343">
        <v>0</v>
      </c>
      <c r="K15" s="1343">
        <v>0</v>
      </c>
      <c r="L15" s="1340">
        <f t="shared" si="0"/>
        <v>617942.24</v>
      </c>
      <c r="M15" s="1343"/>
    </row>
    <row r="16" spans="2:14" ht="20.100000000000001" customHeight="1" x14ac:dyDescent="0.2">
      <c r="B16" s="1956" t="s">
        <v>2114</v>
      </c>
      <c r="C16" s="1341">
        <v>10.555</v>
      </c>
      <c r="D16" s="1342" t="s">
        <v>2116</v>
      </c>
      <c r="E16" s="1343">
        <v>0</v>
      </c>
      <c r="F16" s="1343">
        <v>508342.69</v>
      </c>
      <c r="G16" s="1343">
        <v>0</v>
      </c>
      <c r="H16" s="1343">
        <v>0</v>
      </c>
      <c r="I16" s="1343">
        <v>508342.69</v>
      </c>
      <c r="J16" s="1343">
        <v>0</v>
      </c>
      <c r="K16" s="1343">
        <v>0</v>
      </c>
      <c r="L16" s="1340">
        <f t="shared" si="0"/>
        <v>508342.69</v>
      </c>
      <c r="M16" s="1343"/>
    </row>
    <row r="17" spans="2:14" ht="20.100000000000001" customHeight="1" x14ac:dyDescent="0.2">
      <c r="B17" s="1956" t="s">
        <v>2117</v>
      </c>
      <c r="C17" s="1341">
        <v>10.555</v>
      </c>
      <c r="D17" s="1342" t="s">
        <v>2109</v>
      </c>
      <c r="E17" s="1343">
        <v>0</v>
      </c>
      <c r="F17" s="1343">
        <v>50234.46</v>
      </c>
      <c r="G17" s="1343">
        <v>0</v>
      </c>
      <c r="H17" s="1343">
        <v>0</v>
      </c>
      <c r="I17" s="1343">
        <v>50234.46</v>
      </c>
      <c r="J17" s="1343">
        <v>0</v>
      </c>
      <c r="K17" s="1343">
        <v>0</v>
      </c>
      <c r="L17" s="1340">
        <f t="shared" si="0"/>
        <v>50234.46</v>
      </c>
      <c r="M17" s="1343"/>
    </row>
    <row r="18" spans="2:14" ht="20.100000000000001" customHeight="1" x14ac:dyDescent="0.2">
      <c r="B18" s="1956" t="s">
        <v>2118</v>
      </c>
      <c r="C18" s="1341"/>
      <c r="D18" s="1342" t="s">
        <v>2109</v>
      </c>
      <c r="E18" s="1343">
        <v>0</v>
      </c>
      <c r="F18" s="1343">
        <v>39993.11</v>
      </c>
      <c r="G18" s="1343">
        <v>0</v>
      </c>
      <c r="H18" s="1343">
        <v>0</v>
      </c>
      <c r="I18" s="1343">
        <v>39993.11</v>
      </c>
      <c r="J18" s="1343">
        <v>0</v>
      </c>
      <c r="K18" s="1343">
        <v>0</v>
      </c>
      <c r="L18" s="1340">
        <f t="shared" si="0"/>
        <v>39993.11</v>
      </c>
      <c r="M18" s="1343"/>
    </row>
    <row r="19" spans="2:14" ht="20.100000000000001" customHeight="1" x14ac:dyDescent="0.2">
      <c r="B19" s="1957" t="s">
        <v>2119</v>
      </c>
      <c r="C19" s="1341"/>
      <c r="D19" s="1342"/>
      <c r="E19" s="1343">
        <f t="shared" ref="E19:K19" si="1">SUM(E13:E18)</f>
        <v>620656</v>
      </c>
      <c r="F19" s="1958">
        <f t="shared" si="1"/>
        <v>834457.65</v>
      </c>
      <c r="G19" s="1343">
        <f t="shared" si="1"/>
        <v>620656</v>
      </c>
      <c r="H19" s="1343">
        <f t="shared" si="1"/>
        <v>0</v>
      </c>
      <c r="I19" s="1958">
        <f t="shared" si="1"/>
        <v>834457.65</v>
      </c>
      <c r="J19" s="1343">
        <f t="shared" si="1"/>
        <v>0</v>
      </c>
      <c r="K19" s="1343">
        <f t="shared" si="1"/>
        <v>0</v>
      </c>
      <c r="L19" s="1340">
        <f t="shared" si="0"/>
        <v>1455113.65</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t="s">
        <v>2120</v>
      </c>
      <c r="C21" s="1341"/>
      <c r="D21" s="1342"/>
      <c r="E21" s="1343"/>
      <c r="F21" s="1343"/>
      <c r="G21" s="1343"/>
      <c r="H21" s="1343"/>
      <c r="I21" s="1343"/>
      <c r="J21" s="1343"/>
      <c r="K21" s="1343"/>
      <c r="L21" s="1340">
        <f t="shared" si="0"/>
        <v>0</v>
      </c>
      <c r="M21" s="1343"/>
    </row>
    <row r="22" spans="2:14" ht="20.100000000000001" customHeight="1" x14ac:dyDescent="0.2">
      <c r="B22" s="1955" t="s">
        <v>2111</v>
      </c>
      <c r="C22" s="1341"/>
      <c r="D22" s="1342"/>
      <c r="E22" s="1343"/>
      <c r="F22" s="1343"/>
      <c r="G22" s="1343"/>
      <c r="H22" s="1343"/>
      <c r="I22" s="1343"/>
      <c r="J22" s="1343"/>
      <c r="K22" s="1343"/>
      <c r="L22" s="1340">
        <f t="shared" si="0"/>
        <v>0</v>
      </c>
      <c r="M22" s="1343"/>
    </row>
    <row r="23" spans="2:14" ht="20.100000000000001" customHeight="1" x14ac:dyDescent="0.2">
      <c r="B23" s="1956" t="s">
        <v>2121</v>
      </c>
      <c r="C23" s="1341">
        <v>84.01</v>
      </c>
      <c r="D23" s="1342" t="s">
        <v>2122</v>
      </c>
      <c r="E23" s="1343">
        <v>0</v>
      </c>
      <c r="F23" s="1343">
        <v>796470</v>
      </c>
      <c r="G23" s="1343">
        <v>0</v>
      </c>
      <c r="H23" s="1343">
        <v>0</v>
      </c>
      <c r="I23" s="1343">
        <v>796470</v>
      </c>
      <c r="J23" s="1343">
        <v>0</v>
      </c>
      <c r="K23" s="1343">
        <v>0</v>
      </c>
      <c r="L23" s="1340">
        <f t="shared" si="0"/>
        <v>796470</v>
      </c>
      <c r="M23" s="1343"/>
    </row>
    <row r="24" spans="2:14" ht="20.100000000000001" customHeight="1" x14ac:dyDescent="0.2">
      <c r="B24" s="1956" t="s">
        <v>782</v>
      </c>
      <c r="C24" s="1341">
        <v>84.367000000000004</v>
      </c>
      <c r="D24" s="1342" t="s">
        <v>2124</v>
      </c>
      <c r="E24" s="1343">
        <v>0</v>
      </c>
      <c r="F24" s="1343">
        <v>128326</v>
      </c>
      <c r="G24" s="1343">
        <v>0</v>
      </c>
      <c r="H24" s="1343">
        <v>0</v>
      </c>
      <c r="I24" s="1343">
        <v>128326</v>
      </c>
      <c r="J24" s="1343">
        <v>0</v>
      </c>
      <c r="K24" s="1343">
        <v>0</v>
      </c>
      <c r="L24" s="1340">
        <f t="shared" si="0"/>
        <v>128326</v>
      </c>
      <c r="M24" s="1343"/>
    </row>
    <row r="25" spans="2:14" ht="20.100000000000001" customHeight="1" x14ac:dyDescent="0.2">
      <c r="B25" s="1956" t="s">
        <v>2123</v>
      </c>
      <c r="C25" s="1341">
        <v>84.364999999999995</v>
      </c>
      <c r="D25" s="1342" t="s">
        <v>2125</v>
      </c>
      <c r="E25" s="1343">
        <v>0</v>
      </c>
      <c r="F25" s="1343">
        <v>195</v>
      </c>
      <c r="G25" s="1343">
        <v>0</v>
      </c>
      <c r="H25" s="1343">
        <v>0</v>
      </c>
      <c r="I25" s="1343">
        <v>195</v>
      </c>
      <c r="J25" s="1343">
        <v>0</v>
      </c>
      <c r="K25" s="1343">
        <v>0</v>
      </c>
      <c r="L25" s="1340">
        <f t="shared" si="0"/>
        <v>195</v>
      </c>
      <c r="M25" s="1343"/>
    </row>
    <row r="26" spans="2:14" ht="20.100000000000001" customHeight="1" x14ac:dyDescent="0.2">
      <c r="B26" s="1956" t="s">
        <v>2123</v>
      </c>
      <c r="C26" s="1341">
        <v>84.364999999999995</v>
      </c>
      <c r="D26" s="1342" t="s">
        <v>2126</v>
      </c>
      <c r="E26" s="1343">
        <v>0</v>
      </c>
      <c r="F26" s="1343">
        <v>7924</v>
      </c>
      <c r="G26" s="1343">
        <v>0</v>
      </c>
      <c r="H26" s="1343">
        <v>0</v>
      </c>
      <c r="I26" s="1343">
        <v>7924</v>
      </c>
      <c r="J26" s="1343">
        <v>0</v>
      </c>
      <c r="K26" s="1343">
        <v>0</v>
      </c>
      <c r="L26" s="1340">
        <f t="shared" si="0"/>
        <v>7924</v>
      </c>
      <c r="M26" s="1343"/>
    </row>
    <row r="27" spans="2:14" ht="20.100000000000001" customHeight="1" x14ac:dyDescent="0.2">
      <c r="B27" s="1956" t="s">
        <v>1531</v>
      </c>
      <c r="C27" s="1341">
        <v>84.364999999999995</v>
      </c>
      <c r="D27" s="1342" t="s">
        <v>2127</v>
      </c>
      <c r="E27" s="1343">
        <v>0</v>
      </c>
      <c r="F27" s="1343">
        <v>19708</v>
      </c>
      <c r="G27" s="1343">
        <v>0</v>
      </c>
      <c r="H27" s="1343">
        <v>0</v>
      </c>
      <c r="I27" s="1343">
        <v>19708</v>
      </c>
      <c r="J27" s="1343">
        <v>0</v>
      </c>
      <c r="K27" s="1343">
        <v>0</v>
      </c>
      <c r="L27" s="1340">
        <f t="shared" si="0"/>
        <v>19708</v>
      </c>
      <c r="M27" s="1343"/>
      <c r="N27" s="1344"/>
    </row>
    <row r="28" spans="2:14" ht="20.100000000000001" customHeight="1" x14ac:dyDescent="0.2">
      <c r="B28" s="1956" t="s">
        <v>1531</v>
      </c>
      <c r="C28" s="1341">
        <v>84.364999999999995</v>
      </c>
      <c r="D28" s="1342" t="s">
        <v>2128</v>
      </c>
      <c r="E28" s="1343">
        <v>0</v>
      </c>
      <c r="F28" s="1343">
        <v>124866</v>
      </c>
      <c r="G28" s="1343">
        <v>0</v>
      </c>
      <c r="H28" s="1343">
        <v>0</v>
      </c>
      <c r="I28" s="1343">
        <v>124866</v>
      </c>
      <c r="J28" s="1343">
        <v>0</v>
      </c>
      <c r="K28" s="1343">
        <v>0</v>
      </c>
      <c r="L28" s="1343">
        <f t="shared" si="0"/>
        <v>124866</v>
      </c>
      <c r="M28" s="1343"/>
      <c r="N28" s="1344"/>
    </row>
    <row r="29" spans="2:14" ht="20.100000000000001" customHeight="1" x14ac:dyDescent="0.2">
      <c r="B29" s="1337"/>
      <c r="C29" s="1341"/>
      <c r="D29" s="1342"/>
      <c r="E29" s="1343"/>
      <c r="F29" s="1343"/>
      <c r="G29" s="1343"/>
      <c r="H29" s="1343"/>
      <c r="I29" s="1343"/>
      <c r="J29" s="1343"/>
      <c r="K29" s="1343"/>
      <c r="L29" s="1343"/>
      <c r="M29" s="1343"/>
      <c r="N29" s="1344"/>
    </row>
    <row r="30" spans="2:14" ht="22.5" x14ac:dyDescent="0.2">
      <c r="B30" s="1955" t="s">
        <v>2129</v>
      </c>
      <c r="C30" s="1341"/>
      <c r="D30" s="1342"/>
      <c r="E30" s="1343"/>
      <c r="F30" s="1343"/>
      <c r="G30" s="1343"/>
      <c r="H30" s="1343"/>
      <c r="I30" s="1343"/>
      <c r="J30" s="1343"/>
      <c r="K30" s="1343"/>
      <c r="L30" s="1343"/>
      <c r="M30" s="1343"/>
      <c r="N30" s="1344"/>
    </row>
    <row r="31" spans="2:14" ht="20.100000000000001" customHeight="1" x14ac:dyDescent="0.2">
      <c r="B31" s="1956" t="s">
        <v>2130</v>
      </c>
      <c r="C31" s="1341">
        <v>84.027000000000001</v>
      </c>
      <c r="D31" s="1342">
        <v>4620</v>
      </c>
      <c r="E31" s="1343">
        <v>0</v>
      </c>
      <c r="F31" s="1343">
        <v>852105</v>
      </c>
      <c r="G31" s="1343">
        <v>0</v>
      </c>
      <c r="H31" s="1343">
        <v>0</v>
      </c>
      <c r="I31" s="1343">
        <v>852105</v>
      </c>
      <c r="J31" s="1343">
        <v>0</v>
      </c>
      <c r="K31" s="1343">
        <v>0</v>
      </c>
      <c r="L31" s="1343">
        <f>+G31+I31+K31</f>
        <v>852105</v>
      </c>
      <c r="M31" s="1343"/>
      <c r="N31" s="1344"/>
    </row>
    <row r="32" spans="2:14" ht="20.100000000000001" customHeight="1" x14ac:dyDescent="0.2">
      <c r="B32" s="1956" t="s">
        <v>2131</v>
      </c>
      <c r="C32" s="1341">
        <v>84.027000000000001</v>
      </c>
      <c r="D32" s="1342" t="s">
        <v>2132</v>
      </c>
      <c r="E32" s="1343">
        <v>0</v>
      </c>
      <c r="F32" s="1343">
        <v>40407.65</v>
      </c>
      <c r="G32" s="1343">
        <v>0</v>
      </c>
      <c r="H32" s="1343">
        <v>0</v>
      </c>
      <c r="I32" s="1343">
        <v>40407.65</v>
      </c>
      <c r="J32" s="1343">
        <v>0</v>
      </c>
      <c r="K32" s="1343">
        <v>0</v>
      </c>
      <c r="L32" s="1343">
        <f>+G32+I32+K32</f>
        <v>40407.65</v>
      </c>
      <c r="M32" s="1343"/>
      <c r="N32" s="1344"/>
    </row>
    <row r="33" spans="2:14" ht="20.100000000000001" customHeight="1" x14ac:dyDescent="0.2">
      <c r="B33" s="1956" t="s">
        <v>2133</v>
      </c>
      <c r="C33" s="1341">
        <v>84.173000000000002</v>
      </c>
      <c r="D33" s="1342">
        <v>4600</v>
      </c>
      <c r="E33" s="1343">
        <v>0</v>
      </c>
      <c r="F33" s="1343">
        <v>31930</v>
      </c>
      <c r="G33" s="1343">
        <v>0</v>
      </c>
      <c r="H33" s="1343">
        <v>0</v>
      </c>
      <c r="I33" s="1343">
        <v>31930</v>
      </c>
      <c r="J33" s="1343">
        <v>0</v>
      </c>
      <c r="K33" s="1343">
        <v>0</v>
      </c>
      <c r="L33" s="1343">
        <f>+G33+I33+K33</f>
        <v>31930</v>
      </c>
      <c r="M33" s="1343"/>
      <c r="N33" s="1344"/>
    </row>
    <row r="34" spans="2:14" ht="20.100000000000001" customHeight="1" x14ac:dyDescent="0.2">
      <c r="B34" s="1957" t="s">
        <v>2134</v>
      </c>
      <c r="C34" s="1341"/>
      <c r="D34" s="1342"/>
      <c r="E34" s="1343">
        <f t="shared" ref="E34:K34" si="2">SUM(E23:E33)</f>
        <v>0</v>
      </c>
      <c r="F34" s="1958">
        <f t="shared" si="2"/>
        <v>2001931.65</v>
      </c>
      <c r="G34" s="1343">
        <f t="shared" si="2"/>
        <v>0</v>
      </c>
      <c r="H34" s="1343">
        <f t="shared" si="2"/>
        <v>0</v>
      </c>
      <c r="I34" s="1958">
        <f t="shared" si="2"/>
        <v>2001931.65</v>
      </c>
      <c r="J34" s="1343">
        <f t="shared" si="2"/>
        <v>0</v>
      </c>
      <c r="K34" s="1343">
        <f t="shared" si="2"/>
        <v>0</v>
      </c>
      <c r="L34" s="1343">
        <f>+G34+I34+K34</f>
        <v>2001931.65</v>
      </c>
      <c r="M34" s="1343"/>
      <c r="N34" s="1344"/>
    </row>
    <row r="35" spans="2:14" ht="20.100000000000001" customHeight="1" x14ac:dyDescent="0.2">
      <c r="B35" s="1337"/>
      <c r="C35" s="1341"/>
      <c r="D35" s="1342"/>
      <c r="E35" s="1343"/>
      <c r="F35" s="1343"/>
      <c r="G35" s="1343"/>
      <c r="H35" s="1343"/>
      <c r="I35" s="1343"/>
      <c r="J35" s="1343"/>
      <c r="K35" s="1343"/>
      <c r="L35" s="1343"/>
      <c r="M35" s="1343"/>
      <c r="N35" s="1344"/>
    </row>
    <row r="36" spans="2:14" ht="20.100000000000001" customHeight="1" x14ac:dyDescent="0.2">
      <c r="B36" s="1957" t="s">
        <v>2135</v>
      </c>
      <c r="C36" s="1341"/>
      <c r="D36" s="1342"/>
      <c r="E36" s="1343"/>
      <c r="F36" s="1343"/>
      <c r="G36" s="1343"/>
      <c r="H36" s="1343"/>
      <c r="I36" s="1343"/>
      <c r="J36" s="1343"/>
      <c r="K36" s="1343"/>
      <c r="L36" s="1343"/>
      <c r="M36" s="1343"/>
      <c r="N36" s="1344"/>
    </row>
    <row r="37" spans="2:14" ht="20.100000000000001" customHeight="1" x14ac:dyDescent="0.2">
      <c r="B37" s="1955" t="s">
        <v>2136</v>
      </c>
      <c r="C37" s="1341"/>
      <c r="D37" s="1342"/>
      <c r="E37" s="1343"/>
      <c r="F37" s="1343"/>
      <c r="G37" s="1343"/>
      <c r="H37" s="1343"/>
      <c r="I37" s="1343"/>
      <c r="J37" s="1343"/>
      <c r="K37" s="1343"/>
      <c r="L37" s="1343"/>
      <c r="M37" s="1343"/>
      <c r="N37" s="1344"/>
    </row>
    <row r="38" spans="2:14" ht="20.100000000000001" customHeight="1" x14ac:dyDescent="0.2">
      <c r="B38" s="1956" t="s">
        <v>2137</v>
      </c>
      <c r="C38" s="1341">
        <v>93.778000000000006</v>
      </c>
      <c r="D38" s="1342" t="s">
        <v>2109</v>
      </c>
      <c r="E38" s="1343">
        <v>0</v>
      </c>
      <c r="F38" s="1343">
        <v>101648.46</v>
      </c>
      <c r="G38" s="1343">
        <v>0</v>
      </c>
      <c r="H38" s="1343">
        <v>0</v>
      </c>
      <c r="I38" s="1343">
        <v>101648.46</v>
      </c>
      <c r="J38" s="1343">
        <v>0</v>
      </c>
      <c r="K38" s="1343">
        <v>0</v>
      </c>
      <c r="L38" s="1343">
        <f>+G38+I38+K38</f>
        <v>101648.46</v>
      </c>
      <c r="M38" s="1343"/>
      <c r="N38" s="1344"/>
    </row>
    <row r="39" spans="2:14" ht="20.100000000000001" customHeight="1" x14ac:dyDescent="0.2">
      <c r="B39" s="1337"/>
      <c r="C39" s="1341"/>
      <c r="D39" s="1342"/>
      <c r="E39" s="1343"/>
      <c r="F39" s="1343"/>
      <c r="G39" s="1343"/>
      <c r="H39" s="1343"/>
      <c r="I39" s="1343"/>
      <c r="J39" s="1343"/>
      <c r="K39" s="1343"/>
      <c r="L39" s="1343"/>
      <c r="M39" s="1343"/>
      <c r="N39" s="1344"/>
    </row>
    <row r="40" spans="2:14" ht="20.100000000000001" customHeight="1" x14ac:dyDescent="0.2">
      <c r="B40" s="1957" t="s">
        <v>2138</v>
      </c>
      <c r="C40" s="1341"/>
      <c r="D40" s="1342"/>
      <c r="E40" s="1343"/>
      <c r="F40" s="1958">
        <f>F38+F34+F19</f>
        <v>2938037.76</v>
      </c>
      <c r="G40" s="1343"/>
      <c r="H40" s="1343"/>
      <c r="I40" s="1343"/>
      <c r="J40" s="1343"/>
      <c r="K40" s="1343"/>
      <c r="L40" s="1343"/>
      <c r="M40" s="1343"/>
      <c r="N40" s="1344"/>
    </row>
    <row r="41" spans="2:14" ht="20.100000000000001" customHeight="1" x14ac:dyDescent="0.2">
      <c r="B41" s="1345"/>
      <c r="C41" s="1346"/>
      <c r="D41" s="1347"/>
      <c r="E41" s="1348"/>
      <c r="F41" s="1348"/>
      <c r="G41" s="1348"/>
      <c r="H41" s="1348"/>
      <c r="I41" s="1348"/>
      <c r="J41" s="1348"/>
      <c r="K41" s="1348"/>
      <c r="L41" s="1348"/>
      <c r="M41" s="1348"/>
      <c r="N41" s="1344"/>
    </row>
    <row r="42" spans="2:14" ht="20.100000000000001" customHeight="1" x14ac:dyDescent="0.2">
      <c r="B42" s="1345"/>
      <c r="C42" s="1346"/>
      <c r="D42" s="1347"/>
      <c r="E42" s="1348"/>
      <c r="F42" s="1348"/>
      <c r="G42" s="1348"/>
      <c r="H42" s="1348"/>
      <c r="I42" s="1348"/>
      <c r="J42" s="1348"/>
      <c r="K42" s="1348"/>
      <c r="L42" s="1348"/>
      <c r="M42" s="1348"/>
      <c r="N42" s="1344"/>
    </row>
    <row r="43" spans="2:14" ht="20.100000000000001" customHeight="1" x14ac:dyDescent="0.2">
      <c r="B43" s="1345"/>
      <c r="C43" s="1346"/>
      <c r="D43" s="1347"/>
      <c r="E43" s="1348"/>
      <c r="F43" s="1348"/>
      <c r="G43" s="1348"/>
      <c r="H43" s="1348"/>
      <c r="I43" s="1348"/>
      <c r="J43" s="1348"/>
      <c r="K43" s="1348"/>
      <c r="L43" s="1348"/>
      <c r="M43" s="1348"/>
      <c r="N43" s="1344"/>
    </row>
    <row r="44" spans="2:14" ht="12.75" customHeight="1" x14ac:dyDescent="0.2">
      <c r="B44" s="1345"/>
      <c r="C44" s="1346"/>
      <c r="D44" s="1347"/>
      <c r="E44" s="1348"/>
      <c r="F44" s="1348"/>
      <c r="G44" s="1348"/>
      <c r="H44" s="1348"/>
      <c r="I44" s="1348"/>
      <c r="J44" s="1348"/>
      <c r="K44" s="1348"/>
      <c r="L44" s="1348"/>
      <c r="M44" s="1348"/>
      <c r="N44" s="1344"/>
    </row>
    <row r="45" spans="2:14" x14ac:dyDescent="0.2">
      <c r="B45" s="1257"/>
      <c r="C45" s="1349"/>
      <c r="D45" s="1350"/>
      <c r="E45" s="1257"/>
      <c r="F45" s="1257"/>
      <c r="G45" s="1250"/>
      <c r="H45" s="1250"/>
      <c r="I45" s="1250"/>
      <c r="J45" s="1250"/>
      <c r="K45" s="1250"/>
      <c r="L45" s="1250"/>
      <c r="M45" s="1257"/>
      <c r="N45" s="1344"/>
    </row>
    <row r="46" spans="2:14" ht="13.5" customHeight="1" x14ac:dyDescent="0.2">
      <c r="B46" s="1282" t="s">
        <v>1840</v>
      </c>
      <c r="C46" s="1349"/>
      <c r="D46" s="1350"/>
      <c r="E46" s="1257"/>
      <c r="F46" s="1257"/>
      <c r="G46" s="1250"/>
      <c r="H46" s="1250"/>
      <c r="I46" s="1250"/>
      <c r="J46" s="1250"/>
      <c r="K46" s="1250"/>
      <c r="L46" s="1250"/>
      <c r="M46" s="1257"/>
      <c r="N46" s="1344"/>
    </row>
    <row r="47" spans="2:14" ht="8.25" customHeight="1" x14ac:dyDescent="0.2">
      <c r="B47" s="1282"/>
      <c r="C47" s="1349"/>
      <c r="D47" s="1350"/>
      <c r="E47" s="1257"/>
      <c r="F47" s="1257"/>
      <c r="G47" s="1250"/>
      <c r="H47" s="1250"/>
      <c r="I47" s="1250"/>
      <c r="J47" s="1250"/>
      <c r="K47" s="1250"/>
      <c r="L47" s="1250"/>
      <c r="M47" s="1257"/>
      <c r="N47" s="1344"/>
    </row>
    <row r="48" spans="2:14" x14ac:dyDescent="0.2">
      <c r="B48" s="1351" t="s">
        <v>1951</v>
      </c>
      <c r="C48" s="1352"/>
      <c r="D48" s="1353"/>
      <c r="E48" s="1354"/>
      <c r="F48" s="1354"/>
      <c r="G48" s="1354"/>
      <c r="H48" s="1354"/>
      <c r="I48" s="317"/>
      <c r="J48" s="317"/>
    </row>
    <row r="49" spans="2:13" x14ac:dyDescent="0.2">
      <c r="B49" s="1277"/>
      <c r="C49" s="1355"/>
      <c r="D49" s="1356"/>
      <c r="E49" s="1278"/>
      <c r="F49" s="1278"/>
      <c r="G49" s="317"/>
      <c r="H49" s="317"/>
      <c r="I49" s="317"/>
      <c r="J49" s="317"/>
    </row>
    <row r="50" spans="2:13" ht="13.5" customHeight="1" x14ac:dyDescent="0.2">
      <c r="B50" s="1276" t="s">
        <v>1308</v>
      </c>
      <c r="G50" s="317"/>
      <c r="H50" s="317"/>
      <c r="I50" s="317"/>
      <c r="J50" s="317"/>
    </row>
    <row r="51" spans="2:13" ht="13.5" customHeight="1" x14ac:dyDescent="0.2">
      <c r="B51" s="1359"/>
      <c r="C51" s="1360"/>
      <c r="D51" s="1361"/>
      <c r="E51" s="1297"/>
      <c r="F51" s="1297"/>
      <c r="G51" s="1297"/>
      <c r="H51" s="1297"/>
      <c r="I51" s="1297"/>
      <c r="J51" s="1297"/>
      <c r="K51" s="1362"/>
      <c r="L51" s="1362"/>
      <c r="M51" s="1297"/>
    </row>
    <row r="52" spans="2:13" ht="9.6" customHeight="1" x14ac:dyDescent="0.2">
      <c r="B52" s="1363"/>
      <c r="G52" s="317"/>
      <c r="H52" s="317"/>
      <c r="I52" s="317"/>
      <c r="J52" s="317"/>
    </row>
    <row r="53" spans="2:13" ht="11.25" customHeight="1" x14ac:dyDescent="0.2">
      <c r="B53" s="1364" t="s">
        <v>1841</v>
      </c>
      <c r="C53" s="1365"/>
      <c r="D53" s="1365"/>
      <c r="E53" s="1365"/>
      <c r="F53" s="1365"/>
      <c r="G53" s="1365"/>
      <c r="H53" s="1365"/>
      <c r="I53" s="1366"/>
      <c r="J53" s="1366"/>
      <c r="K53" s="1366"/>
      <c r="L53" s="1366"/>
      <c r="M53" s="1366"/>
    </row>
    <row r="54" spans="2:13" ht="11.25" customHeight="1" x14ac:dyDescent="0.2">
      <c r="B54" s="1367" t="s">
        <v>1666</v>
      </c>
      <c r="C54" s="1366"/>
      <c r="D54" s="1366"/>
      <c r="E54" s="1366"/>
      <c r="F54" s="1366"/>
      <c r="G54" s="1366"/>
      <c r="H54" s="1366"/>
      <c r="I54" s="1366"/>
      <c r="J54" s="1366"/>
      <c r="K54" s="1366"/>
      <c r="L54" s="1366"/>
      <c r="M54" s="1366"/>
    </row>
    <row r="55" spans="2:13" ht="3.95" customHeight="1" x14ac:dyDescent="0.2">
      <c r="B55" s="1367"/>
      <c r="C55" s="1366"/>
      <c r="D55" s="1366"/>
      <c r="E55" s="1366"/>
      <c r="F55" s="1366"/>
      <c r="G55" s="1366"/>
      <c r="H55" s="1366"/>
      <c r="I55" s="1366"/>
      <c r="J55" s="1366"/>
      <c r="K55" s="1366"/>
      <c r="L55" s="1366"/>
      <c r="M55" s="1366"/>
    </row>
    <row r="56" spans="2:13" ht="11.25" customHeight="1" x14ac:dyDescent="0.2">
      <c r="B56" s="1364" t="s">
        <v>1842</v>
      </c>
      <c r="C56" s="1366"/>
      <c r="D56" s="1366"/>
      <c r="E56" s="1366"/>
      <c r="F56" s="1366"/>
      <c r="G56" s="1366"/>
      <c r="H56" s="1366"/>
      <c r="I56" s="1366"/>
      <c r="J56" s="1366"/>
      <c r="K56" s="1366"/>
      <c r="L56" s="1366"/>
      <c r="M56" s="1366"/>
    </row>
    <row r="57" spans="2:13" ht="11.25" customHeight="1" x14ac:dyDescent="0.2">
      <c r="B57" s="1300" t="s">
        <v>1667</v>
      </c>
      <c r="C57" s="1368"/>
      <c r="D57" s="1369"/>
      <c r="E57" s="1300"/>
      <c r="F57" s="1300"/>
      <c r="G57" s="1300"/>
      <c r="H57" s="1300"/>
      <c r="I57" s="1300"/>
      <c r="J57" s="1300"/>
      <c r="K57" s="1370"/>
      <c r="L57" s="1370"/>
      <c r="M57" s="1300"/>
    </row>
    <row r="58" spans="2:13" ht="3.95" customHeight="1" x14ac:dyDescent="0.2">
      <c r="B58" s="1300"/>
      <c r="C58" s="1368"/>
      <c r="D58" s="1369"/>
      <c r="E58" s="1300"/>
      <c r="F58" s="1300"/>
      <c r="G58" s="1300"/>
      <c r="H58" s="1300"/>
      <c r="I58" s="1300"/>
      <c r="J58" s="1300"/>
      <c r="K58" s="1370"/>
      <c r="L58" s="1370"/>
      <c r="M58" s="1300"/>
    </row>
    <row r="59" spans="2:13" ht="11.25" customHeight="1" x14ac:dyDescent="0.2">
      <c r="B59" s="1371" t="s">
        <v>1843</v>
      </c>
      <c r="C59" s="1368"/>
      <c r="D59" s="1369"/>
      <c r="E59" s="1300"/>
      <c r="F59" s="1300"/>
      <c r="G59" s="1300"/>
      <c r="H59" s="1300"/>
      <c r="I59" s="1300"/>
      <c r="J59" s="1300"/>
      <c r="K59" s="1370"/>
      <c r="L59" s="1370"/>
      <c r="M59" s="1300"/>
    </row>
    <row r="60" spans="2:13" ht="3.95" customHeight="1" x14ac:dyDescent="0.2">
      <c r="B60" s="1371"/>
      <c r="C60" s="1368"/>
      <c r="D60" s="1369"/>
      <c r="E60" s="1300"/>
      <c r="F60" s="1300"/>
      <c r="G60" s="1300"/>
      <c r="H60" s="1300"/>
      <c r="I60" s="1300"/>
      <c r="J60" s="1300"/>
      <c r="K60" s="1370"/>
      <c r="L60" s="1370"/>
      <c r="M60" s="1300"/>
    </row>
    <row r="61" spans="2:13" ht="11.25" customHeight="1" x14ac:dyDescent="0.2">
      <c r="B61" s="1372" t="s">
        <v>1844</v>
      </c>
      <c r="C61" s="1368"/>
      <c r="D61" s="1369"/>
      <c r="E61" s="1300"/>
      <c r="F61" s="1300"/>
      <c r="G61" s="1300"/>
      <c r="H61" s="1300"/>
      <c r="I61" s="1300"/>
      <c r="J61" s="1300"/>
      <c r="K61" s="1370"/>
      <c r="L61" s="1370"/>
      <c r="M61" s="1300"/>
    </row>
    <row r="62" spans="2:13" ht="11.25" customHeight="1" x14ac:dyDescent="0.2">
      <c r="B62" s="1300" t="s">
        <v>1668</v>
      </c>
      <c r="G62" s="317"/>
      <c r="H62" s="317"/>
      <c r="I62" s="317"/>
      <c r="J62" s="317"/>
    </row>
    <row r="63" spans="2:13" ht="11.1" customHeight="1" x14ac:dyDescent="0.2">
      <c r="B63" s="1300"/>
      <c r="G63" s="317"/>
      <c r="H63" s="317"/>
      <c r="I63" s="317"/>
      <c r="J63" s="317"/>
    </row>
    <row r="64" spans="2:13" ht="11.1" customHeight="1" x14ac:dyDescent="0.2">
      <c r="B64" s="1300"/>
      <c r="G64" s="317"/>
      <c r="H64" s="317"/>
      <c r="I64" s="317"/>
      <c r="J64" s="317"/>
    </row>
    <row r="65" spans="7:13" ht="13.5" customHeight="1" x14ac:dyDescent="0.2">
      <c r="M65" s="1373"/>
    </row>
    <row r="66" spans="7:13" ht="13.5" customHeight="1" x14ac:dyDescent="0.2">
      <c r="M66" s="1373"/>
    </row>
    <row r="67" spans="7:13" ht="13.5" customHeight="1" x14ac:dyDescent="0.2">
      <c r="M67" s="1373"/>
    </row>
    <row r="68" spans="7:13" ht="13.5" customHeight="1" x14ac:dyDescent="0.2">
      <c r="G68" s="317"/>
      <c r="H68" s="317"/>
      <c r="I68" s="317"/>
      <c r="J68" s="317"/>
    </row>
    <row r="69" spans="7:13" ht="13.5" customHeight="1" x14ac:dyDescent="0.2">
      <c r="G69" s="317"/>
      <c r="H69" s="317"/>
      <c r="I69" s="317"/>
      <c r="J69" s="317"/>
    </row>
    <row r="70" spans="7:13" ht="13.5" customHeight="1" x14ac:dyDescent="0.2">
      <c r="G70" s="317"/>
      <c r="H70" s="317"/>
      <c r="I70" s="317"/>
      <c r="J70" s="317"/>
    </row>
    <row r="71" spans="7:13" ht="13.5" customHeight="1" x14ac:dyDescent="0.2">
      <c r="G71" s="317"/>
      <c r="H71" s="317"/>
      <c r="I71" s="317"/>
      <c r="J71" s="317"/>
    </row>
    <row r="72" spans="7:13" ht="13.5" customHeight="1" x14ac:dyDescent="0.2">
      <c r="G72" s="317"/>
      <c r="H72" s="317"/>
      <c r="I72" s="317"/>
      <c r="J72" s="317"/>
    </row>
    <row r="73" spans="7:13" ht="13.5" customHeight="1" x14ac:dyDescent="0.2">
      <c r="G73" s="317"/>
      <c r="H73" s="317"/>
      <c r="I73" s="317"/>
      <c r="J73" s="317"/>
    </row>
    <row r="74" spans="7:13" ht="13.5" customHeight="1" x14ac:dyDescent="0.2">
      <c r="G74" s="317"/>
      <c r="H74" s="317"/>
      <c r="I74" s="317"/>
      <c r="J74" s="317"/>
    </row>
    <row r="75" spans="7:13" ht="13.5" customHeight="1" x14ac:dyDescent="0.2"/>
    <row r="76" spans="7:13" ht="13.5" customHeight="1" x14ac:dyDescent="0.2"/>
    <row r="77" spans="7:13" ht="13.5" customHeight="1" x14ac:dyDescent="0.2"/>
    <row r="78" spans="7:13" ht="25.5" customHeight="1" x14ac:dyDescent="0.2"/>
    <row r="79" spans="7:13" ht="25.5" customHeight="1" x14ac:dyDescent="0.2"/>
    <row r="80" spans="7: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4.7" customHeight="1" x14ac:dyDescent="0.2"/>
    <row r="128" ht="12.2"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4.7" customHeight="1" x14ac:dyDescent="0.2"/>
    <row r="168"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78" colorId="8" zoomScale="110" zoomScaleNormal="110" workbookViewId="0">
      <selection activeCell="I88" sqref="I8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v>14279.64</v>
      </c>
      <c r="G88" s="276">
        <v>1537591.68</v>
      </c>
      <c r="H88" s="276">
        <v>228234.86</v>
      </c>
      <c r="I88" s="276"/>
      <c r="J88" s="277">
        <f>SUM(E88:I88)</f>
        <v>1780106.1799999997</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1780107.1799999997</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1" zoomScale="110" zoomScaleNormal="110" workbookViewId="0">
      <selection activeCell="G41" sqref="G41:I4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SD 45 DuPage County</v>
      </c>
      <c r="C1" s="2474"/>
      <c r="D1" s="2474"/>
      <c r="E1" s="2474"/>
      <c r="F1" s="2474"/>
      <c r="G1" s="2474"/>
      <c r="H1" s="2474"/>
      <c r="I1" s="2474"/>
      <c r="J1" s="1422"/>
    </row>
    <row r="2" spans="2:10" s="317" customFormat="1" ht="12.75" customHeight="1" x14ac:dyDescent="0.2">
      <c r="B2" s="2475">
        <f>'Single Audit Cover'!E7</f>
        <v>19022045002</v>
      </c>
      <c r="C2" s="2476"/>
      <c r="D2" s="2476"/>
      <c r="E2" s="2476"/>
      <c r="F2" s="2476"/>
      <c r="G2" s="2476"/>
      <c r="H2" s="2476"/>
      <c r="I2" s="2476"/>
      <c r="J2" s="1422"/>
    </row>
    <row r="3" spans="2:10" s="317" customFormat="1" ht="12.75" customHeight="1" x14ac:dyDescent="0.2">
      <c r="B3" s="2477" t="s">
        <v>1347</v>
      </c>
      <c r="C3" s="2478"/>
      <c r="D3" s="2478"/>
      <c r="E3" s="2478"/>
      <c r="F3" s="2478"/>
      <c r="G3" s="2478"/>
      <c r="H3" s="2478"/>
      <c r="I3" s="2478"/>
      <c r="J3" s="1423"/>
    </row>
    <row r="4" spans="2:10" s="317" customFormat="1" ht="12.75" customHeight="1" x14ac:dyDescent="0.2">
      <c r="B4" s="2477" t="str">
        <f>'Single Audit Cover'!A4</f>
        <v>Year Ending June 30, 2018</v>
      </c>
      <c r="C4" s="2478"/>
      <c r="D4" s="2478"/>
      <c r="E4" s="2478"/>
      <c r="F4" s="2478"/>
      <c r="G4" s="2478"/>
      <c r="H4" s="2478"/>
      <c r="I4" s="247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7" t="s">
        <v>1346</v>
      </c>
      <c r="C7" s="2478"/>
      <c r="D7" s="2478"/>
      <c r="E7" s="2478"/>
      <c r="F7" s="2478"/>
      <c r="G7" s="2478"/>
      <c r="H7" s="2478"/>
      <c r="I7" s="247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9" t="s">
        <v>2139</v>
      </c>
      <c r="D11" s="247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2077</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2077</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2077</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2077</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2077</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0"/>
      <c r="E29" s="2480"/>
      <c r="F29" s="2480"/>
      <c r="G29" s="2480"/>
      <c r="H29" s="2480"/>
      <c r="I29" s="2480"/>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2077</v>
      </c>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1" t="s">
        <v>1854</v>
      </c>
      <c r="D37" s="2482"/>
      <c r="E37" s="2482"/>
      <c r="F37" s="2483"/>
      <c r="G37" s="2481" t="s">
        <v>1674</v>
      </c>
      <c r="H37" s="2482"/>
      <c r="I37" s="2483"/>
    </row>
    <row r="38" spans="2:9" ht="16.5" customHeight="1" x14ac:dyDescent="0.2">
      <c r="B38" s="1444">
        <v>84.01</v>
      </c>
      <c r="C38" s="2484" t="s">
        <v>974</v>
      </c>
      <c r="D38" s="2470"/>
      <c r="E38" s="2470"/>
      <c r="F38" s="2471"/>
      <c r="G38" s="2485">
        <f>' SEFA'!F23</f>
        <v>796470</v>
      </c>
      <c r="H38" s="2486"/>
      <c r="I38" s="2487"/>
    </row>
    <row r="39" spans="2:9" ht="16.5" customHeight="1" x14ac:dyDescent="0.2">
      <c r="B39" s="1444">
        <v>84.027000000000001</v>
      </c>
      <c r="C39" s="2469" t="s">
        <v>2147</v>
      </c>
      <c r="D39" s="2470"/>
      <c r="E39" s="2470"/>
      <c r="F39" s="2471"/>
      <c r="G39" s="2472">
        <f>' SEFA'!F31+' SEFA'!F32</f>
        <v>892512.65</v>
      </c>
      <c r="H39" s="2472"/>
      <c r="I39" s="2472"/>
    </row>
    <row r="40" spans="2:9" ht="16.5" customHeight="1" x14ac:dyDescent="0.2">
      <c r="B40" s="1444">
        <v>84.173000000000002</v>
      </c>
      <c r="C40" s="2469" t="s">
        <v>2148</v>
      </c>
      <c r="D40" s="2470"/>
      <c r="E40" s="2470"/>
      <c r="F40" s="2471"/>
      <c r="G40" s="2472">
        <f>' SEFA'!F33</f>
        <v>31930</v>
      </c>
      <c r="H40" s="2472"/>
      <c r="I40" s="2472"/>
    </row>
    <row r="41" spans="2:9" ht="16.5" customHeight="1" x14ac:dyDescent="0.2">
      <c r="B41" s="1444"/>
      <c r="C41" s="2469"/>
      <c r="D41" s="2470"/>
      <c r="E41" s="2470"/>
      <c r="F41" s="2471"/>
      <c r="G41" s="2472"/>
      <c r="H41" s="2472"/>
      <c r="I41" s="2472"/>
    </row>
    <row r="42" spans="2:9" ht="16.5" customHeight="1" x14ac:dyDescent="0.2">
      <c r="B42" s="1444"/>
      <c r="C42" s="2469"/>
      <c r="D42" s="2470"/>
      <c r="E42" s="2470"/>
      <c r="F42" s="2471"/>
      <c r="G42" s="2472"/>
      <c r="H42" s="2472"/>
      <c r="I42" s="2472"/>
    </row>
    <row r="43" spans="2:9" ht="16.5" customHeight="1" x14ac:dyDescent="0.2">
      <c r="B43" s="1444"/>
      <c r="C43" s="2488" t="s">
        <v>1675</v>
      </c>
      <c r="D43" s="2489"/>
      <c r="E43" s="2489"/>
      <c r="F43" s="2490"/>
      <c r="G43" s="2491">
        <f>SUM(G38:I42)</f>
        <v>1720912.65</v>
      </c>
      <c r="H43" s="2491"/>
      <c r="I43" s="2491"/>
    </row>
    <row r="44" spans="2:9" ht="12.75" customHeight="1" x14ac:dyDescent="0.2"/>
    <row r="45" spans="2:9" ht="12.75" customHeight="1" x14ac:dyDescent="0.2">
      <c r="B45" s="1435" t="s">
        <v>1952</v>
      </c>
      <c r="D45" s="2492">
        <v>2938038</v>
      </c>
      <c r="E45" s="2493"/>
    </row>
    <row r="46" spans="2:9" ht="5.25" customHeight="1" x14ac:dyDescent="0.2">
      <c r="B46" s="1445"/>
      <c r="D46" s="1446"/>
      <c r="E46" s="1447"/>
    </row>
    <row r="47" spans="2:9" ht="12.75" customHeight="1" x14ac:dyDescent="0.2">
      <c r="B47" s="1300" t="s">
        <v>1676</v>
      </c>
      <c r="C47" s="1300"/>
      <c r="D47" s="1448">
        <f>+G43/D45</f>
        <v>0.58573532745321877</v>
      </c>
      <c r="E47" s="1449"/>
      <c r="F47" s="1450"/>
      <c r="I47" s="1451"/>
    </row>
    <row r="48" spans="2:9" ht="9.9499999999999993" customHeight="1" x14ac:dyDescent="0.2"/>
    <row r="49" spans="1:9" x14ac:dyDescent="0.2">
      <c r="B49" s="1368" t="s">
        <v>1335</v>
      </c>
      <c r="C49" s="1282"/>
      <c r="D49" s="1282"/>
      <c r="E49" s="2494">
        <v>750000</v>
      </c>
      <c r="F49" s="2494"/>
      <c r="G49" s="2494"/>
      <c r="H49" s="322"/>
    </row>
    <row r="51" spans="1:9" ht="13.5" customHeight="1" x14ac:dyDescent="0.2">
      <c r="B51" s="1368" t="s">
        <v>1334</v>
      </c>
      <c r="C51" s="1282"/>
      <c r="E51" s="1438" t="s">
        <v>2077</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SD 45 DuPage County</v>
      </c>
      <c r="C1" s="2473"/>
      <c r="D1" s="2473"/>
      <c r="E1" s="2473"/>
      <c r="F1" s="2473"/>
      <c r="G1" s="2473"/>
      <c r="H1" s="2473"/>
      <c r="I1" s="2473"/>
      <c r="J1" s="2473"/>
      <c r="K1" s="2473"/>
      <c r="L1" s="1374"/>
      <c r="M1" s="1374"/>
    </row>
    <row r="2" spans="1:13" ht="12" customHeight="1" x14ac:dyDescent="0.2">
      <c r="B2" s="2475">
        <f>'Single Audit Cover'!E7</f>
        <v>19022045002</v>
      </c>
      <c r="C2" s="2475"/>
      <c r="D2" s="2475"/>
      <c r="E2" s="2475"/>
      <c r="F2" s="2475"/>
      <c r="G2" s="2475"/>
      <c r="H2" s="2475"/>
      <c r="I2" s="2475"/>
      <c r="J2" s="2475"/>
      <c r="K2" s="2475"/>
      <c r="L2" s="1375"/>
      <c r="M2" s="1376"/>
    </row>
    <row r="3" spans="1:13" ht="10.35" customHeight="1" x14ac:dyDescent="0.2">
      <c r="B3" s="2497" t="s">
        <v>1347</v>
      </c>
      <c r="C3" s="2497"/>
      <c r="D3" s="2497"/>
      <c r="E3" s="2497"/>
      <c r="F3" s="2497"/>
      <c r="G3" s="2497"/>
      <c r="H3" s="2497"/>
      <c r="I3" s="2497"/>
      <c r="J3" s="2497"/>
      <c r="K3" s="2497"/>
      <c r="L3" s="1377"/>
      <c r="M3" s="1377"/>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8" t="s">
        <v>1363</v>
      </c>
      <c r="C7" s="2498"/>
      <c r="D7" s="2499"/>
      <c r="E7" s="2499"/>
      <c r="F7" s="2499"/>
      <c r="G7" s="2499"/>
      <c r="H7" s="2499"/>
      <c r="I7" s="2499"/>
      <c r="J7" s="2499"/>
      <c r="K7" s="249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6"/>
      <c r="C14" s="2496"/>
      <c r="D14" s="2496"/>
      <c r="E14" s="2496"/>
      <c r="F14" s="2496"/>
      <c r="G14" s="2496"/>
      <c r="H14" s="2496"/>
      <c r="I14" s="2496"/>
      <c r="J14" s="2496"/>
      <c r="K14" s="249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6"/>
      <c r="C17" s="2496"/>
      <c r="D17" s="2496"/>
      <c r="E17" s="2496"/>
      <c r="F17" s="2496"/>
      <c r="G17" s="2496"/>
      <c r="H17" s="2496"/>
      <c r="I17" s="2496"/>
      <c r="J17" s="2496"/>
      <c r="K17" s="2496"/>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0"/>
      <c r="C20" s="2500"/>
      <c r="D20" s="2496"/>
      <c r="E20" s="2496"/>
      <c r="F20" s="2496"/>
      <c r="G20" s="2496"/>
      <c r="H20" s="2496"/>
      <c r="I20" s="2496"/>
      <c r="J20" s="2496"/>
      <c r="K20" s="2496"/>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6"/>
      <c r="C23" s="2496"/>
      <c r="D23" s="2496"/>
      <c r="E23" s="2496"/>
      <c r="F23" s="2496"/>
      <c r="G23" s="2496"/>
      <c r="H23" s="2496"/>
      <c r="I23" s="2496"/>
      <c r="J23" s="2496"/>
      <c r="K23" s="2496"/>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6"/>
      <c r="C26" s="2496"/>
      <c r="D26" s="2496"/>
      <c r="E26" s="2496"/>
      <c r="F26" s="2496"/>
      <c r="G26" s="2496"/>
      <c r="H26" s="2496"/>
      <c r="I26" s="2496"/>
      <c r="J26" s="2496"/>
      <c r="K26" s="2496"/>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5"/>
      <c r="C29" s="2495"/>
      <c r="D29" s="2496"/>
      <c r="E29" s="2496"/>
      <c r="F29" s="2496"/>
      <c r="G29" s="2496"/>
      <c r="H29" s="2496"/>
      <c r="I29" s="2496"/>
      <c r="J29" s="2496"/>
      <c r="K29" s="249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5"/>
      <c r="C32" s="2495"/>
      <c r="D32" s="2496"/>
      <c r="E32" s="2496"/>
      <c r="F32" s="2496"/>
      <c r="G32" s="2496"/>
      <c r="H32" s="2496"/>
      <c r="I32" s="2496"/>
      <c r="J32" s="2496"/>
      <c r="K32" s="249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SD 45 DuPage County</v>
      </c>
      <c r="C1" s="2501"/>
      <c r="D1" s="2501"/>
      <c r="E1" s="2501"/>
      <c r="F1" s="2501"/>
      <c r="G1" s="2501"/>
      <c r="H1" s="2501"/>
      <c r="I1" s="2501"/>
      <c r="J1" s="2501"/>
      <c r="K1" s="2501"/>
      <c r="L1" s="1465"/>
    </row>
    <row r="2" spans="1:12" ht="12.75" customHeight="1" x14ac:dyDescent="0.2">
      <c r="B2" s="2502">
        <f>'Single Audit Cover'!E7</f>
        <v>19022045002</v>
      </c>
      <c r="C2" s="2502"/>
      <c r="D2" s="2502"/>
      <c r="E2" s="2502"/>
      <c r="F2" s="2502"/>
      <c r="G2" s="2502"/>
      <c r="H2" s="2502"/>
      <c r="I2" s="2502"/>
      <c r="J2" s="2502"/>
      <c r="K2" s="2502"/>
      <c r="L2" s="1466"/>
    </row>
    <row r="3" spans="1:12" ht="12.75" customHeight="1" x14ac:dyDescent="0.2">
      <c r="B3" s="2497" t="s">
        <v>1347</v>
      </c>
      <c r="C3" s="2497"/>
      <c r="D3" s="2497"/>
      <c r="E3" s="2497"/>
      <c r="F3" s="2497"/>
      <c r="G3" s="2497"/>
      <c r="H3" s="2497"/>
      <c r="I3" s="2497"/>
      <c r="J3" s="2497"/>
      <c r="K3" s="2497"/>
      <c r="L3" s="1377"/>
    </row>
    <row r="4" spans="1:12" ht="12.75" customHeight="1" x14ac:dyDescent="0.2">
      <c r="B4" s="2497" t="str">
        <f>'Single Audit Cover'!A4</f>
        <v>Year Ending June 30, 2018</v>
      </c>
      <c r="C4" s="2497"/>
      <c r="D4" s="2497"/>
      <c r="E4" s="2497"/>
      <c r="F4" s="2497"/>
      <c r="G4" s="2497"/>
      <c r="H4" s="2497"/>
      <c r="I4" s="2497"/>
      <c r="J4" s="2497"/>
      <c r="K4" s="2497"/>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0"/>
      <c r="G12" s="2480"/>
      <c r="H12" s="2480"/>
      <c r="I12" s="2480"/>
      <c r="J12" s="2480"/>
      <c r="K12" s="248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4"/>
      <c r="E14" s="2504"/>
      <c r="F14" s="2504"/>
      <c r="H14" s="1475" t="s">
        <v>1370</v>
      </c>
      <c r="I14" s="2505"/>
      <c r="J14" s="2505"/>
      <c r="K14" s="2505"/>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5"/>
      <c r="E16" s="2505"/>
      <c r="F16" s="2505"/>
      <c r="G16" s="2505"/>
      <c r="H16" s="2505"/>
      <c r="I16" s="2505"/>
      <c r="J16" s="2505"/>
      <c r="K16" s="2505"/>
      <c r="L16" s="322"/>
    </row>
    <row r="17" spans="2:12" ht="13.5" customHeight="1" x14ac:dyDescent="0.2">
      <c r="B17" s="1387" t="s">
        <v>1368</v>
      </c>
      <c r="C17" s="1387"/>
      <c r="D17" s="2506"/>
      <c r="E17" s="2506"/>
      <c r="F17" s="2506"/>
      <c r="G17" s="2506"/>
      <c r="H17" s="2506"/>
      <c r="I17" s="2506"/>
      <c r="J17" s="2506"/>
      <c r="K17" s="2506"/>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6"/>
      <c r="C20" s="2496"/>
      <c r="D20" s="2496"/>
      <c r="E20" s="2496"/>
      <c r="F20" s="2496"/>
      <c r="G20" s="2496"/>
      <c r="H20" s="2496"/>
      <c r="I20" s="2496"/>
      <c r="J20" s="2496"/>
      <c r="K20" s="249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6"/>
      <c r="C23" s="2496"/>
      <c r="D23" s="2496"/>
      <c r="E23" s="2496"/>
      <c r="F23" s="2496"/>
      <c r="G23" s="2496"/>
      <c r="H23" s="2496"/>
      <c r="I23" s="2496"/>
      <c r="J23" s="2496"/>
      <c r="K23" s="249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6"/>
      <c r="C26" s="2496"/>
      <c r="D26" s="2496"/>
      <c r="E26" s="2496"/>
      <c r="F26" s="2496"/>
      <c r="G26" s="2496"/>
      <c r="H26" s="2496"/>
      <c r="I26" s="2496"/>
      <c r="J26" s="2496"/>
      <c r="K26" s="2496"/>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6"/>
      <c r="C29" s="2496"/>
      <c r="D29" s="2496"/>
      <c r="E29" s="2496"/>
      <c r="F29" s="2496"/>
      <c r="G29" s="2496"/>
      <c r="H29" s="2496"/>
      <c r="I29" s="2496"/>
      <c r="J29" s="2496"/>
      <c r="K29" s="2496"/>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6"/>
      <c r="C32" s="2496"/>
      <c r="D32" s="2496"/>
      <c r="E32" s="2496"/>
      <c r="F32" s="2496"/>
      <c r="G32" s="2496"/>
      <c r="H32" s="2496"/>
      <c r="I32" s="2496"/>
      <c r="J32" s="2496"/>
      <c r="K32" s="2496"/>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6"/>
      <c r="C35" s="2496"/>
      <c r="D35" s="2496"/>
      <c r="E35" s="2496"/>
      <c r="F35" s="2496"/>
      <c r="G35" s="2496"/>
      <c r="H35" s="2496"/>
      <c r="I35" s="2496"/>
      <c r="J35" s="2496"/>
      <c r="K35" s="2496"/>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6"/>
      <c r="C38" s="2496"/>
      <c r="D38" s="2496"/>
      <c r="E38" s="2496"/>
      <c r="F38" s="2496"/>
      <c r="G38" s="2496"/>
      <c r="H38" s="2496"/>
      <c r="I38" s="2496"/>
      <c r="J38" s="2496"/>
      <c r="K38" s="2496"/>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6"/>
      <c r="C41" s="2496"/>
      <c r="D41" s="2496"/>
      <c r="E41" s="2496"/>
      <c r="F41" s="2496"/>
      <c r="G41" s="2496"/>
      <c r="H41" s="2496"/>
      <c r="I41" s="2496"/>
      <c r="J41" s="2496"/>
      <c r="K41" s="2496"/>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25" sqref="B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3" t="str">
        <f>'Single Audit Cover'!A7</f>
        <v>SD 45 DuPage County</v>
      </c>
      <c r="C1" s="2473"/>
      <c r="D1" s="2473"/>
      <c r="E1" s="1491"/>
    </row>
    <row r="2" spans="2:5" s="1282" customFormat="1" ht="12.75" customHeight="1" x14ac:dyDescent="0.2">
      <c r="B2" s="2475">
        <f>'Single Audit Cover'!E7</f>
        <v>19022045002</v>
      </c>
      <c r="C2" s="2475"/>
      <c r="D2" s="2475"/>
      <c r="E2" s="1492"/>
    </row>
    <row r="3" spans="2:5" ht="12.75" customHeight="1" x14ac:dyDescent="0.2">
      <c r="B3" s="2497" t="s">
        <v>1869</v>
      </c>
      <c r="C3" s="2497"/>
      <c r="D3" s="2497"/>
      <c r="E3" s="1274"/>
    </row>
    <row r="4" spans="2:5" s="1282" customFormat="1" ht="12.75" customHeight="1" x14ac:dyDescent="0.2">
      <c r="B4" s="2507" t="str">
        <f>'Single Audit Cover'!A4</f>
        <v>Year Ending June 30, 2018</v>
      </c>
      <c r="C4" s="2507"/>
      <c r="D4" s="2507"/>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1027997939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2.6419999999999999E-2</v>
      </c>
      <c r="E10" s="356" t="s">
        <v>1062</v>
      </c>
      <c r="F10" s="355">
        <v>3.2399999999999998E-3</v>
      </c>
      <c r="G10" s="356" t="s">
        <v>1062</v>
      </c>
      <c r="H10" s="355">
        <v>1.5499999999999999E-3</v>
      </c>
      <c r="I10" s="356" t="s">
        <v>1063</v>
      </c>
      <c r="J10" s="1754">
        <f>ROUND(D10+F10+H10,5)</f>
        <v>3.1210000000000002E-2</v>
      </c>
      <c r="K10" s="222"/>
      <c r="L10" s="355">
        <v>0</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44965090</v>
      </c>
      <c r="E16" s="356"/>
      <c r="F16" s="1755">
        <f>SUM('Acct Summary 7-8'!C17,'Acct Summary 7-8'!D17,'Acct Summary 7-8'!F17)</f>
        <v>43852285</v>
      </c>
      <c r="G16" s="356"/>
      <c r="H16" s="1755">
        <f>SUM(D16-F16)</f>
        <v>1112805</v>
      </c>
      <c r="I16" s="222"/>
      <c r="J16" s="1755">
        <f>SUM('Acct Summary 7-8'!C81,'Acct Summary 7-8'!D81,'Acct Summary 7-8'!F81,'Acct Summary 7-8'!I81)</f>
        <v>20071971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70931857.791000009</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34023604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SD 45 DuPage County</v>
      </c>
      <c r="E7" s="391"/>
      <c r="G7" s="252"/>
      <c r="H7" s="387"/>
      <c r="I7" s="387"/>
      <c r="J7" s="387"/>
      <c r="K7" s="387"/>
      <c r="L7" s="329"/>
      <c r="M7" s="329"/>
      <c r="N7" s="329"/>
      <c r="O7" s="329"/>
      <c r="P7" s="329"/>
    </row>
    <row r="8" spans="1:18" ht="12.75" x14ac:dyDescent="0.2">
      <c r="A8" s="329"/>
      <c r="B8" s="329"/>
      <c r="C8" s="389" t="s">
        <v>1187</v>
      </c>
      <c r="D8" s="392">
        <f>COVER!A13</f>
        <v>19022045002</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20071971</v>
      </c>
      <c r="I12" s="404"/>
      <c r="J12" s="404"/>
      <c r="K12" s="405">
        <f>TRUNC((H12/H13*100000),5)/100000</f>
        <v>0.44639009949999997</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44965090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43852285</v>
      </c>
      <c r="I17" s="404"/>
      <c r="J17" s="416"/>
      <c r="K17" s="405">
        <f>TRUNC((H17/H18*100000),5)/100000</f>
        <v>0.97525180080000007</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44965090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38178924</v>
      </c>
      <c r="I24" s="422"/>
      <c r="J24" s="422"/>
      <c r="K24" s="423">
        <f>TRUNC(((H24/H25*100000)/100000),2)</f>
        <v>313.42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121811.90278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27271243.324760001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34023604</v>
      </c>
      <c r="I32" s="420"/>
      <c r="J32" s="420"/>
      <c r="K32" s="423">
        <f>TRUNC(100-((((H32/H33*100))*100)/100),2)</f>
        <v>52.03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70931857.791000009</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3" activePane="bottomLeft" state="frozen"/>
      <selection activeCell="A47" sqref="A47"/>
      <selection pane="bottomLeft" activeCell="C38" sqref="C38:C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1"/>
      <c r="D3" s="1582"/>
      <c r="E3" s="1582"/>
      <c r="F3" s="1582"/>
      <c r="G3" s="1582"/>
      <c r="H3" s="1582"/>
      <c r="I3" s="1582"/>
      <c r="J3" s="1582"/>
      <c r="K3" s="1582"/>
      <c r="L3" s="1582"/>
      <c r="M3" s="1583"/>
      <c r="N3" s="1584"/>
    </row>
    <row r="4" spans="1:14" ht="13.5" customHeight="1" x14ac:dyDescent="0.2">
      <c r="A4" s="463" t="s">
        <v>1750</v>
      </c>
      <c r="B4" s="464"/>
      <c r="C4" s="465">
        <v>27125728</v>
      </c>
      <c r="D4" s="466">
        <v>3528993</v>
      </c>
      <c r="E4" s="466">
        <v>2345602</v>
      </c>
      <c r="F4" s="466">
        <v>1389049</v>
      </c>
      <c r="G4" s="466">
        <v>2675576</v>
      </c>
      <c r="H4" s="466">
        <v>600</v>
      </c>
      <c r="I4" s="466">
        <v>6135154</v>
      </c>
      <c r="J4" s="467">
        <v>365659</v>
      </c>
      <c r="K4" s="466">
        <v>180</v>
      </c>
      <c r="L4" s="466">
        <v>111844</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v>13186096</v>
      </c>
      <c r="D6" s="466">
        <v>1508141</v>
      </c>
      <c r="E6" s="466">
        <v>1428107</v>
      </c>
      <c r="F6" s="466">
        <v>774830</v>
      </c>
      <c r="G6" s="471">
        <v>811845</v>
      </c>
      <c r="H6" s="471"/>
      <c r="I6" s="466"/>
      <c r="J6" s="474">
        <v>141560</v>
      </c>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633152</v>
      </c>
      <c r="D8" s="467"/>
      <c r="E8" s="467"/>
      <c r="F8" s="467">
        <v>388384</v>
      </c>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v>173604</v>
      </c>
      <c r="D11" s="467">
        <v>8977</v>
      </c>
      <c r="E11" s="467"/>
      <c r="F11" s="467"/>
      <c r="G11" s="467"/>
      <c r="H11" s="467"/>
      <c r="I11" s="478"/>
      <c r="J11" s="478">
        <v>131859</v>
      </c>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41118580</v>
      </c>
      <c r="D13" s="1759">
        <f t="shared" ref="D13:L13" si="0">SUM(D4:D12)</f>
        <v>5046111</v>
      </c>
      <c r="E13" s="1759">
        <f t="shared" si="0"/>
        <v>3773709</v>
      </c>
      <c r="F13" s="1759">
        <f t="shared" si="0"/>
        <v>2552263</v>
      </c>
      <c r="G13" s="1759">
        <f t="shared" si="0"/>
        <v>3487421</v>
      </c>
      <c r="H13" s="1759">
        <f t="shared" si="0"/>
        <v>600</v>
      </c>
      <c r="I13" s="1759">
        <f t="shared" si="0"/>
        <v>6135154</v>
      </c>
      <c r="J13" s="1759">
        <f t="shared" si="0"/>
        <v>639078</v>
      </c>
      <c r="K13" s="1759">
        <f t="shared" si="0"/>
        <v>180</v>
      </c>
      <c r="L13" s="1759">
        <f t="shared" si="0"/>
        <v>111844</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f>
        <v>1680195</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f>
        <v>50392207</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f>
        <v>3326493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E38</f>
        <v>838775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33184829</v>
      </c>
    </row>
    <row r="23" spans="1:14" ht="13.5" customHeight="1" thickBot="1" x14ac:dyDescent="0.25">
      <c r="A23" s="1758" t="s">
        <v>664</v>
      </c>
      <c r="B23" s="1763"/>
      <c r="C23" s="468"/>
      <c r="D23" s="468"/>
      <c r="E23" s="468"/>
      <c r="F23" s="468"/>
      <c r="G23" s="468"/>
      <c r="H23" s="468"/>
      <c r="I23" s="468"/>
      <c r="J23" s="468"/>
      <c r="K23" s="468"/>
      <c r="L23" s="468"/>
      <c r="M23" s="1710">
        <f>SUM(M15:M22)</f>
        <v>55398895</v>
      </c>
      <c r="N23" s="1710">
        <f>SUM(N21:N22)</f>
        <v>34023604</v>
      </c>
    </row>
    <row r="24" spans="1:14" ht="18" customHeight="1" thickTop="1" x14ac:dyDescent="0.2">
      <c r="A24" s="2132" t="s">
        <v>619</v>
      </c>
      <c r="B24" s="2133"/>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38007</v>
      </c>
      <c r="D27" s="467">
        <v>40193</v>
      </c>
      <c r="E27" s="467"/>
      <c r="F27" s="467">
        <v>33477</v>
      </c>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2596323</v>
      </c>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v>27380354</v>
      </c>
      <c r="D32" s="492">
        <v>3099414</v>
      </c>
      <c r="E32" s="474">
        <v>2934934</v>
      </c>
      <c r="F32" s="474">
        <v>1592369</v>
      </c>
      <c r="G32" s="474">
        <v>1668440</v>
      </c>
      <c r="H32" s="474"/>
      <c r="I32" s="474"/>
      <c r="J32" s="474">
        <v>290924</v>
      </c>
      <c r="K32" s="479"/>
      <c r="L32" s="468"/>
      <c r="M32" s="468"/>
      <c r="N32" s="468"/>
    </row>
    <row r="33" spans="1:14" ht="13.5" customHeight="1" x14ac:dyDescent="0.2">
      <c r="A33" s="493" t="s">
        <v>321</v>
      </c>
      <c r="B33" s="491">
        <v>493</v>
      </c>
      <c r="C33" s="467"/>
      <c r="D33" s="467"/>
      <c r="E33" s="467"/>
      <c r="F33" s="467"/>
      <c r="G33" s="467"/>
      <c r="H33" s="467"/>
      <c r="I33" s="467"/>
      <c r="J33" s="467"/>
      <c r="K33" s="467"/>
      <c r="L33" s="467">
        <v>111844</v>
      </c>
      <c r="M33" s="468"/>
      <c r="N33" s="469"/>
    </row>
    <row r="34" spans="1:14" ht="13.5" customHeight="1" thickBot="1" x14ac:dyDescent="0.25">
      <c r="A34" s="1760" t="s">
        <v>675</v>
      </c>
      <c r="B34" s="1761"/>
      <c r="C34" s="1762">
        <f>SUM(C25:C33)</f>
        <v>30014684</v>
      </c>
      <c r="D34" s="1762">
        <f t="shared" ref="D34:K34" si="1">SUM(D25:D33)</f>
        <v>3139607</v>
      </c>
      <c r="E34" s="1762">
        <f t="shared" si="1"/>
        <v>2934934</v>
      </c>
      <c r="F34" s="1762">
        <f t="shared" si="1"/>
        <v>1625846</v>
      </c>
      <c r="G34" s="1762">
        <f t="shared" si="1"/>
        <v>1668440</v>
      </c>
      <c r="H34" s="1762">
        <f t="shared" si="1"/>
        <v>0</v>
      </c>
      <c r="I34" s="1762">
        <f t="shared" si="1"/>
        <v>0</v>
      </c>
      <c r="J34" s="1762">
        <f t="shared" si="1"/>
        <v>290924</v>
      </c>
      <c r="K34" s="1762">
        <f t="shared" si="1"/>
        <v>0</v>
      </c>
      <c r="L34" s="1743">
        <f>SUM(L33)</f>
        <v>111844</v>
      </c>
      <c r="M34" s="468"/>
      <c r="N34" s="480"/>
    </row>
    <row r="35" spans="1:14" ht="18" customHeight="1" thickTop="1" x14ac:dyDescent="0.2">
      <c r="A35" s="2134" t="s">
        <v>550</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34023604</v>
      </c>
    </row>
    <row r="37" spans="1:14" ht="13.5" thickBot="1" x14ac:dyDescent="0.25">
      <c r="A37" s="1758" t="s">
        <v>674</v>
      </c>
      <c r="B37" s="1763"/>
      <c r="C37" s="477"/>
      <c r="D37" s="477"/>
      <c r="E37" s="477"/>
      <c r="F37" s="477"/>
      <c r="G37" s="477"/>
      <c r="H37" s="477"/>
      <c r="I37" s="477"/>
      <c r="J37" s="477"/>
      <c r="K37" s="477"/>
      <c r="L37" s="480"/>
      <c r="M37" s="468"/>
      <c r="N37" s="1710">
        <f>SUM(N36:N36)</f>
        <v>34023604</v>
      </c>
    </row>
    <row r="38" spans="1:14" s="329" customFormat="1" ht="13.5" customHeight="1" thickTop="1" x14ac:dyDescent="0.2">
      <c r="A38" s="496" t="s">
        <v>440</v>
      </c>
      <c r="B38" s="483">
        <v>714</v>
      </c>
      <c r="C38" s="466">
        <v>10930292</v>
      </c>
      <c r="D38" s="466">
        <v>1897527</v>
      </c>
      <c r="E38" s="466">
        <v>838775</v>
      </c>
      <c r="F38" s="466">
        <v>926417</v>
      </c>
      <c r="G38" s="466">
        <v>1818981</v>
      </c>
      <c r="H38" s="466">
        <v>600</v>
      </c>
      <c r="I38" s="466"/>
      <c r="J38" s="467">
        <v>216295</v>
      </c>
      <c r="K38" s="466">
        <v>180</v>
      </c>
      <c r="L38" s="481"/>
      <c r="M38" s="497"/>
      <c r="N38" s="497"/>
    </row>
    <row r="39" spans="1:14" s="329" customFormat="1" ht="13.5" customHeight="1" x14ac:dyDescent="0.2">
      <c r="A39" s="496" t="s">
        <v>360</v>
      </c>
      <c r="B39" s="483">
        <v>730</v>
      </c>
      <c r="C39" s="466">
        <v>173604</v>
      </c>
      <c r="D39" s="466">
        <v>8977</v>
      </c>
      <c r="E39" s="466"/>
      <c r="F39" s="466"/>
      <c r="G39" s="466"/>
      <c r="H39" s="466"/>
      <c r="I39" s="466">
        <v>6135154</v>
      </c>
      <c r="J39" s="467">
        <v>131859</v>
      </c>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55398895</v>
      </c>
      <c r="N40" s="497"/>
    </row>
    <row r="41" spans="1:14" ht="13.5" customHeight="1" thickBot="1" x14ac:dyDescent="0.25">
      <c r="A41" s="1758" t="s">
        <v>676</v>
      </c>
      <c r="B41" s="1728"/>
      <c r="C41" s="1710">
        <f>(SUM(C34,C37,C38,C39))</f>
        <v>41118580</v>
      </c>
      <c r="D41" s="1710">
        <f t="shared" ref="D41:L41" si="2">SUM(D34,D37,D38:D39)</f>
        <v>5046111</v>
      </c>
      <c r="E41" s="1710">
        <f t="shared" si="2"/>
        <v>3773709</v>
      </c>
      <c r="F41" s="1710">
        <f t="shared" si="2"/>
        <v>2552263</v>
      </c>
      <c r="G41" s="1710">
        <f t="shared" si="2"/>
        <v>3487421</v>
      </c>
      <c r="H41" s="1710">
        <f t="shared" si="2"/>
        <v>600</v>
      </c>
      <c r="I41" s="1710">
        <f t="shared" si="2"/>
        <v>6135154</v>
      </c>
      <c r="J41" s="1710">
        <f t="shared" si="2"/>
        <v>639078</v>
      </c>
      <c r="K41" s="1710">
        <f t="shared" si="2"/>
        <v>180</v>
      </c>
      <c r="L41" s="1710">
        <f t="shared" si="2"/>
        <v>111844</v>
      </c>
      <c r="M41" s="1710">
        <f>SUM(M40)</f>
        <v>55398895</v>
      </c>
      <c r="N41" s="1710">
        <f>SUM(N37)</f>
        <v>34023604</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5" activePane="bottomLeft" state="frozenSplit"/>
      <selection activeCell="A47" sqref="A47"/>
      <selection pane="bottomLeft" activeCell="C4" sqref="C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5"/>
      <c r="D3" s="1596"/>
      <c r="E3" s="1596"/>
      <c r="F3" s="1596"/>
      <c r="G3" s="1596"/>
      <c r="H3" s="1596"/>
      <c r="I3" s="1596"/>
      <c r="J3" s="1596"/>
      <c r="K3" s="1597"/>
      <c r="L3" s="506"/>
    </row>
    <row r="4" spans="1:13" ht="15.75" customHeight="1" x14ac:dyDescent="0.2">
      <c r="A4" s="1953" t="s">
        <v>1579</v>
      </c>
      <c r="B4" s="1954">
        <v>1000</v>
      </c>
      <c r="C4" s="1764">
        <f>'Revenues 9-14'!C109</f>
        <v>27692711</v>
      </c>
      <c r="D4" s="1764">
        <f>'Revenues 9-14'!D109</f>
        <v>4119211</v>
      </c>
      <c r="E4" s="1764">
        <f>'Revenues 9-14'!E109</f>
        <v>2715917</v>
      </c>
      <c r="F4" s="1764">
        <f>'Revenues 9-14'!F109</f>
        <v>1587731</v>
      </c>
      <c r="G4" s="1764">
        <f>'Revenues 9-14'!G109</f>
        <v>1764915</v>
      </c>
      <c r="H4" s="1764">
        <f>'Revenues 9-14'!H109</f>
        <v>600</v>
      </c>
      <c r="I4" s="1764">
        <f>'Revenues 9-14'!I109</f>
        <v>187551</v>
      </c>
      <c r="J4" s="1764">
        <f>'Revenues 9-14'!J109</f>
        <v>392821</v>
      </c>
      <c r="K4" s="1764">
        <f>'Revenues 9-14'!K109</f>
        <v>14425</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6498613</v>
      </c>
      <c r="D6" s="1765">
        <f>'Revenues 9-14'!D173</f>
        <v>0</v>
      </c>
      <c r="E6" s="1765">
        <f>'Revenues 9-14'!E173</f>
        <v>0</v>
      </c>
      <c r="F6" s="1765">
        <f>'Revenues 9-14'!F173</f>
        <v>1551872</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3327401</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37518725</v>
      </c>
      <c r="D8" s="1710">
        <f t="shared" ref="D8:K8" si="0">SUM(D4:D7)</f>
        <v>4119211</v>
      </c>
      <c r="E8" s="1710">
        <f t="shared" si="0"/>
        <v>2715917</v>
      </c>
      <c r="F8" s="1710">
        <f t="shared" si="0"/>
        <v>3139603</v>
      </c>
      <c r="G8" s="1710">
        <f t="shared" si="0"/>
        <v>1764915</v>
      </c>
      <c r="H8" s="1710">
        <f t="shared" si="0"/>
        <v>600</v>
      </c>
      <c r="I8" s="1710">
        <f t="shared" si="0"/>
        <v>187551</v>
      </c>
      <c r="J8" s="1710">
        <f t="shared" si="0"/>
        <v>392821</v>
      </c>
      <c r="K8" s="1710">
        <f t="shared" si="0"/>
        <v>14425</v>
      </c>
      <c r="L8" s="347"/>
    </row>
    <row r="9" spans="1:13" ht="15.75" thickTop="1" x14ac:dyDescent="0.2">
      <c r="A9" s="514" t="s">
        <v>1752</v>
      </c>
      <c r="B9" s="515">
        <v>3998</v>
      </c>
      <c r="C9" s="481">
        <v>17758051</v>
      </c>
      <c r="D9" s="516"/>
      <c r="E9" s="481"/>
      <c r="F9" s="481"/>
      <c r="G9" s="517"/>
      <c r="H9" s="481"/>
      <c r="I9" s="509" t="s">
        <v>1231</v>
      </c>
      <c r="J9" s="478"/>
      <c r="K9" s="481"/>
      <c r="L9" s="347"/>
    </row>
    <row r="10" spans="1:13" s="519" customFormat="1" ht="13.5" thickBot="1" x14ac:dyDescent="0.25">
      <c r="A10" s="1758" t="s">
        <v>1235</v>
      </c>
      <c r="B10" s="1731"/>
      <c r="C10" s="1710">
        <f>SUM(C8:C9)</f>
        <v>55276776</v>
      </c>
      <c r="D10" s="1710">
        <f t="shared" ref="D10:K10" si="1">SUM(D8:D9)</f>
        <v>4119211</v>
      </c>
      <c r="E10" s="1710">
        <f t="shared" si="1"/>
        <v>2715917</v>
      </c>
      <c r="F10" s="1710">
        <f t="shared" si="1"/>
        <v>3139603</v>
      </c>
      <c r="G10" s="1710">
        <f t="shared" si="1"/>
        <v>1764915</v>
      </c>
      <c r="H10" s="1710">
        <f t="shared" si="1"/>
        <v>600</v>
      </c>
      <c r="I10" s="1710">
        <f t="shared" si="1"/>
        <v>187551</v>
      </c>
      <c r="J10" s="1710">
        <f t="shared" si="1"/>
        <v>392821</v>
      </c>
      <c r="K10" s="1710">
        <f t="shared" si="1"/>
        <v>14425</v>
      </c>
      <c r="L10" s="518"/>
    </row>
    <row r="11" spans="1:13" s="519" customFormat="1" ht="16.7" customHeight="1" thickTop="1" x14ac:dyDescent="0.2">
      <c r="A11" s="2130" t="s">
        <v>1238</v>
      </c>
      <c r="B11" s="2131"/>
      <c r="C11" s="1592"/>
      <c r="D11" s="1593"/>
      <c r="E11" s="1593"/>
      <c r="F11" s="1593"/>
      <c r="G11" s="1593"/>
      <c r="H11" s="1593"/>
      <c r="I11" s="1593"/>
      <c r="J11" s="1593"/>
      <c r="K11" s="1594"/>
      <c r="L11" s="518"/>
    </row>
    <row r="12" spans="1:13" ht="15.75" customHeight="1" x14ac:dyDescent="0.2">
      <c r="A12" s="1598" t="s">
        <v>476</v>
      </c>
      <c r="B12" s="1600">
        <v>1000</v>
      </c>
      <c r="C12" s="1764">
        <f>'Expenditures 15-22'!K33</f>
        <v>23557990</v>
      </c>
      <c r="D12" s="520" t="s">
        <v>1231</v>
      </c>
      <c r="E12" s="468" t="s">
        <v>1231</v>
      </c>
      <c r="F12" s="468" t="s">
        <v>1231</v>
      </c>
      <c r="G12" s="1764">
        <f>'Expenditures 15-22'!K229</f>
        <v>478616</v>
      </c>
      <c r="H12" s="521"/>
      <c r="I12" s="468" t="s">
        <v>1231</v>
      </c>
      <c r="J12" s="468" t="s">
        <v>1231</v>
      </c>
      <c r="K12" s="521" t="s">
        <v>1231</v>
      </c>
      <c r="L12" s="347"/>
    </row>
    <row r="13" spans="1:13" ht="15.75" customHeight="1" x14ac:dyDescent="0.2">
      <c r="A13" s="1598" t="s">
        <v>477</v>
      </c>
      <c r="B13" s="1600">
        <v>2000</v>
      </c>
      <c r="C13" s="1765">
        <f>'Expenditures 15-22'!K74</f>
        <v>12553575</v>
      </c>
      <c r="D13" s="1765">
        <f>'Expenditures 15-22'!K129</f>
        <v>3526468</v>
      </c>
      <c r="E13" s="469" t="s">
        <v>1231</v>
      </c>
      <c r="F13" s="1765">
        <f>'Expenditures 15-22'!K184</f>
        <v>2454511</v>
      </c>
      <c r="G13" s="1765">
        <f>'Expenditures 15-22'!K279</f>
        <v>829136</v>
      </c>
      <c r="H13" s="1765">
        <f>'Expenditures 15-22'!K303</f>
        <v>898391</v>
      </c>
      <c r="I13" s="468" t="s">
        <v>1231</v>
      </c>
      <c r="J13" s="1765">
        <f>'Expenditures 15-22'!K330</f>
        <v>367676</v>
      </c>
      <c r="K13" s="1769">
        <f>'Expenditures 15-22'!K352</f>
        <v>1057577</v>
      </c>
      <c r="L13" s="347"/>
    </row>
    <row r="14" spans="1:13" ht="15.75" customHeight="1" x14ac:dyDescent="0.2">
      <c r="A14" s="1598" t="s">
        <v>469</v>
      </c>
      <c r="B14" s="1600">
        <v>3000</v>
      </c>
      <c r="C14" s="1765">
        <f>'Expenditures 15-22'!K75</f>
        <v>138700</v>
      </c>
      <c r="D14" s="1765">
        <f>'Expenditures 15-22'!K130</f>
        <v>0</v>
      </c>
      <c r="E14" s="520" t="s">
        <v>1231</v>
      </c>
      <c r="F14" s="1765">
        <f>'Expenditures 15-22'!K185</f>
        <v>0</v>
      </c>
      <c r="G14" s="1765">
        <f>'Expenditures 15-22'!K280</f>
        <v>6061</v>
      </c>
      <c r="H14" s="512"/>
      <c r="I14" s="468" t="s">
        <v>1231</v>
      </c>
      <c r="J14" s="468" t="s">
        <v>1231</v>
      </c>
      <c r="K14" s="512" t="s">
        <v>1231</v>
      </c>
      <c r="L14" s="347"/>
    </row>
    <row r="15" spans="1:13" ht="15.75" customHeight="1" x14ac:dyDescent="0.2">
      <c r="A15" s="1598" t="s">
        <v>109</v>
      </c>
      <c r="B15" s="1600">
        <v>4000</v>
      </c>
      <c r="C15" s="1765">
        <f>'Expenditures 15-22'!K102</f>
        <v>1621041</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10923449</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37871306</v>
      </c>
      <c r="D17" s="1710">
        <f t="shared" si="2"/>
        <v>3526468</v>
      </c>
      <c r="E17" s="1710">
        <f t="shared" si="2"/>
        <v>10923449</v>
      </c>
      <c r="F17" s="1710">
        <f t="shared" si="2"/>
        <v>2454511</v>
      </c>
      <c r="G17" s="1710">
        <f t="shared" si="2"/>
        <v>1313813</v>
      </c>
      <c r="H17" s="1710">
        <f t="shared" si="2"/>
        <v>898391</v>
      </c>
      <c r="I17" s="468"/>
      <c r="J17" s="1710">
        <f>SUM(J12:J16)</f>
        <v>367676</v>
      </c>
      <c r="K17" s="1710">
        <f>SUM(K12:K16)</f>
        <v>1057577</v>
      </c>
      <c r="L17" s="347"/>
    </row>
    <row r="18" spans="1:12" ht="15" customHeight="1" thickTop="1" x14ac:dyDescent="0.2">
      <c r="A18" s="1766" t="s">
        <v>1753</v>
      </c>
      <c r="B18" s="1767">
        <v>4180</v>
      </c>
      <c r="C18" s="1764">
        <f t="shared" ref="C18:H18" si="3">C9</f>
        <v>17758051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55629357</v>
      </c>
      <c r="D19" s="1710">
        <f t="shared" si="4"/>
        <v>3526468</v>
      </c>
      <c r="E19" s="1710">
        <f t="shared" si="4"/>
        <v>10923449</v>
      </c>
      <c r="F19" s="1710">
        <f t="shared" si="4"/>
        <v>2454511</v>
      </c>
      <c r="G19" s="1710">
        <f t="shared" si="4"/>
        <v>1313813</v>
      </c>
      <c r="H19" s="1710">
        <f t="shared" si="4"/>
        <v>898391</v>
      </c>
      <c r="I19" s="468"/>
      <c r="J19" s="1710">
        <f>SUM(J17:J18)</f>
        <v>367676</v>
      </c>
      <c r="K19" s="1710">
        <f>SUM(K17:K18)</f>
        <v>1057577</v>
      </c>
      <c r="L19" s="347"/>
    </row>
    <row r="20" spans="1:12" ht="16.5" thickTop="1" thickBot="1" x14ac:dyDescent="0.25">
      <c r="A20" s="2146" t="s">
        <v>1754</v>
      </c>
      <c r="B20" s="2147"/>
      <c r="C20" s="1768">
        <f>C8-C17</f>
        <v>-352581</v>
      </c>
      <c r="D20" s="1768">
        <f t="shared" ref="D20:K20" si="5">D8-D17</f>
        <v>592743</v>
      </c>
      <c r="E20" s="1768">
        <f t="shared" si="5"/>
        <v>-8207532</v>
      </c>
      <c r="F20" s="1768">
        <f t="shared" si="5"/>
        <v>685092</v>
      </c>
      <c r="G20" s="1768">
        <f t="shared" si="5"/>
        <v>451102</v>
      </c>
      <c r="H20" s="1768">
        <f t="shared" si="5"/>
        <v>-897791</v>
      </c>
      <c r="I20" s="1768">
        <f t="shared" si="5"/>
        <v>187551</v>
      </c>
      <c r="J20" s="1768">
        <f t="shared" si="5"/>
        <v>25145</v>
      </c>
      <c r="K20" s="1768">
        <f t="shared" si="5"/>
        <v>-1043152</v>
      </c>
      <c r="L20" s="347"/>
    </row>
    <row r="21" spans="1:12" ht="16.7"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v>1935643</v>
      </c>
      <c r="E25" s="467"/>
      <c r="F25" s="467"/>
      <c r="G25" s="467"/>
      <c r="H25" s="467"/>
      <c r="I25" s="477"/>
      <c r="J25" s="467"/>
      <c r="K25" s="467"/>
      <c r="L25" s="524"/>
    </row>
    <row r="26" spans="1:12" s="485" customFormat="1" ht="13.5" customHeight="1" x14ac:dyDescent="0.2">
      <c r="A26" s="1511" t="s">
        <v>193</v>
      </c>
      <c r="B26" s="483">
        <v>7120</v>
      </c>
      <c r="C26" s="467">
        <v>8066</v>
      </c>
      <c r="D26" s="467">
        <v>187551</v>
      </c>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1" t="s">
        <v>432</v>
      </c>
      <c r="B33" s="525">
        <v>7210</v>
      </c>
      <c r="C33" s="467"/>
      <c r="D33" s="467"/>
      <c r="E33" s="467">
        <v>7610000</v>
      </c>
      <c r="F33" s="467"/>
      <c r="G33" s="477"/>
      <c r="H33" s="467"/>
      <c r="I33" s="467"/>
      <c r="J33" s="467"/>
      <c r="K33" s="467"/>
      <c r="L33" s="524"/>
    </row>
    <row r="34" spans="1:12" s="485" customFormat="1" x14ac:dyDescent="0.2">
      <c r="A34" s="1511" t="s">
        <v>1058</v>
      </c>
      <c r="B34" s="525">
        <v>7220</v>
      </c>
      <c r="C34" s="467"/>
      <c r="D34" s="467"/>
      <c r="E34" s="467">
        <v>656104</v>
      </c>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v>898391</v>
      </c>
      <c r="I43" s="467">
        <v>8066</v>
      </c>
      <c r="J43" s="467"/>
      <c r="K43" s="467"/>
      <c r="L43" s="524"/>
    </row>
    <row r="44" spans="1:12" s="485" customFormat="1" ht="13.5" customHeight="1" thickBot="1" x14ac:dyDescent="0.25">
      <c r="A44" s="2160" t="s">
        <v>392</v>
      </c>
      <c r="B44" s="2161"/>
      <c r="C44" s="1725">
        <f>SUM(C24:C43)</f>
        <v>8066</v>
      </c>
      <c r="D44" s="1725">
        <f t="shared" ref="D44:K44" si="6">SUM(D24:D43)</f>
        <v>2123194</v>
      </c>
      <c r="E44" s="1725">
        <f t="shared" si="6"/>
        <v>8266104</v>
      </c>
      <c r="F44" s="1725">
        <f t="shared" si="6"/>
        <v>0</v>
      </c>
      <c r="G44" s="1725">
        <f t="shared" si="6"/>
        <v>0</v>
      </c>
      <c r="H44" s="1725">
        <f t="shared" si="6"/>
        <v>898391</v>
      </c>
      <c r="I44" s="1725">
        <f t="shared" si="6"/>
        <v>8066</v>
      </c>
      <c r="J44" s="1725">
        <f t="shared" si="6"/>
        <v>0</v>
      </c>
      <c r="K44" s="1725">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1935643</v>
      </c>
      <c r="J47" s="477"/>
      <c r="K47" s="477"/>
      <c r="L47" s="529"/>
    </row>
    <row r="48" spans="1:12" s="485" customFormat="1" ht="15" x14ac:dyDescent="0.2">
      <c r="A48" s="1512" t="s">
        <v>1759</v>
      </c>
      <c r="B48" s="483">
        <v>8120</v>
      </c>
      <c r="C48" s="480"/>
      <c r="D48" s="480"/>
      <c r="E48" s="477"/>
      <c r="F48" s="480"/>
      <c r="G48" s="477"/>
      <c r="H48" s="477"/>
      <c r="I48" s="1765">
        <f>SUM(C26:H26,J26,K26)</f>
        <v>195617</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v>898391</v>
      </c>
      <c r="E75" s="530">
        <v>8066</v>
      </c>
      <c r="F75" s="532"/>
      <c r="G75" s="532"/>
      <c r="H75" s="532"/>
      <c r="I75" s="530"/>
      <c r="J75" s="530"/>
      <c r="K75" s="532"/>
      <c r="L75" s="524"/>
    </row>
    <row r="76" spans="1:12" s="485" customFormat="1" ht="14.25" thickTop="1" thickBot="1" x14ac:dyDescent="0.25">
      <c r="A76" s="2136" t="s">
        <v>460</v>
      </c>
      <c r="B76" s="2137"/>
      <c r="C76" s="1725">
        <f t="shared" ref="C76:K76" si="7">SUM(C47:C75)</f>
        <v>0</v>
      </c>
      <c r="D76" s="1725">
        <f t="shared" si="7"/>
        <v>898391</v>
      </c>
      <c r="E76" s="1725">
        <f t="shared" si="7"/>
        <v>8066</v>
      </c>
      <c r="F76" s="1725">
        <f t="shared" si="7"/>
        <v>0</v>
      </c>
      <c r="G76" s="1725">
        <f t="shared" si="7"/>
        <v>0</v>
      </c>
      <c r="H76" s="1725">
        <f t="shared" si="7"/>
        <v>0</v>
      </c>
      <c r="I76" s="1725">
        <f t="shared" si="7"/>
        <v>2131260</v>
      </c>
      <c r="J76" s="1725">
        <f t="shared" si="7"/>
        <v>0</v>
      </c>
      <c r="K76" s="1725">
        <f t="shared" si="7"/>
        <v>0</v>
      </c>
      <c r="L76" s="524"/>
    </row>
    <row r="77" spans="1:12" ht="14.25" thickTop="1" thickBot="1" x14ac:dyDescent="0.25">
      <c r="A77" s="2138" t="s">
        <v>1239</v>
      </c>
      <c r="B77" s="2139"/>
      <c r="C77" s="1725">
        <f t="shared" ref="C77:K77" si="8">C44-C76</f>
        <v>8066</v>
      </c>
      <c r="D77" s="1725">
        <f t="shared" si="8"/>
        <v>1224803</v>
      </c>
      <c r="E77" s="1725">
        <f t="shared" si="8"/>
        <v>8258038</v>
      </c>
      <c r="F77" s="1725">
        <f t="shared" si="8"/>
        <v>0</v>
      </c>
      <c r="G77" s="1725">
        <f t="shared" si="8"/>
        <v>0</v>
      </c>
      <c r="H77" s="1725">
        <f t="shared" si="8"/>
        <v>898391</v>
      </c>
      <c r="I77" s="1725">
        <f t="shared" si="8"/>
        <v>-2123194</v>
      </c>
      <c r="J77" s="1725">
        <f t="shared" si="8"/>
        <v>0</v>
      </c>
      <c r="K77" s="1725">
        <f t="shared" si="8"/>
        <v>0</v>
      </c>
      <c r="L77" s="347"/>
    </row>
    <row r="78" spans="1:12" ht="21.75" customHeight="1" thickTop="1" thickBot="1" x14ac:dyDescent="0.25">
      <c r="A78" s="2142" t="s">
        <v>618</v>
      </c>
      <c r="B78" s="2143"/>
      <c r="C78" s="1724">
        <f t="shared" ref="C78:K78" si="9">C20+C77</f>
        <v>-344515</v>
      </c>
      <c r="D78" s="1724">
        <f t="shared" si="9"/>
        <v>1817546</v>
      </c>
      <c r="E78" s="1724">
        <f t="shared" si="9"/>
        <v>50506</v>
      </c>
      <c r="F78" s="1724">
        <f t="shared" si="9"/>
        <v>685092</v>
      </c>
      <c r="G78" s="1724">
        <f t="shared" si="9"/>
        <v>451102</v>
      </c>
      <c r="H78" s="1724">
        <f t="shared" si="9"/>
        <v>600</v>
      </c>
      <c r="I78" s="1724">
        <f t="shared" si="9"/>
        <v>-1935643</v>
      </c>
      <c r="J78" s="1724">
        <f t="shared" si="9"/>
        <v>25145</v>
      </c>
      <c r="K78" s="1724">
        <f t="shared" si="9"/>
        <v>-1043152</v>
      </c>
      <c r="L78" s="533"/>
    </row>
    <row r="79" spans="1:12" ht="13.5" thickTop="1" x14ac:dyDescent="0.2">
      <c r="A79" s="1516" t="s">
        <v>2073</v>
      </c>
      <c r="B79" s="534"/>
      <c r="C79" s="478">
        <v>11448411</v>
      </c>
      <c r="D79" s="535">
        <v>88958</v>
      </c>
      <c r="E79" s="535">
        <v>788269</v>
      </c>
      <c r="F79" s="535">
        <v>241325</v>
      </c>
      <c r="G79" s="535">
        <v>1367879</v>
      </c>
      <c r="H79" s="535">
        <v>0</v>
      </c>
      <c r="I79" s="535">
        <v>8070797</v>
      </c>
      <c r="J79" s="535">
        <v>323009</v>
      </c>
      <c r="K79" s="535">
        <v>1043332</v>
      </c>
      <c r="L79" s="347"/>
    </row>
    <row r="80" spans="1:12" x14ac:dyDescent="0.2">
      <c r="A80" s="2148" t="s">
        <v>1898</v>
      </c>
      <c r="B80" s="2149"/>
      <c r="C80" s="467"/>
      <c r="D80" s="467"/>
      <c r="E80" s="467"/>
      <c r="F80" s="467"/>
      <c r="G80" s="467"/>
      <c r="H80" s="467"/>
      <c r="I80" s="467"/>
      <c r="J80" s="467"/>
      <c r="K80" s="467"/>
      <c r="L80" s="347"/>
    </row>
    <row r="81" spans="1:12" ht="13.5" thickBot="1" x14ac:dyDescent="0.25">
      <c r="A81" s="2140" t="s">
        <v>2074</v>
      </c>
      <c r="B81" s="2141"/>
      <c r="C81" s="1710">
        <f>(SUM(C78:C80))</f>
        <v>11103896</v>
      </c>
      <c r="D81" s="1710">
        <f>SUM(D78:D80)</f>
        <v>1906504</v>
      </c>
      <c r="E81" s="1710">
        <f t="shared" ref="E81:K81" si="10">SUM(E78:E80)</f>
        <v>838775</v>
      </c>
      <c r="F81" s="1710">
        <f t="shared" si="10"/>
        <v>926417</v>
      </c>
      <c r="G81" s="1710">
        <f t="shared" si="10"/>
        <v>1818981</v>
      </c>
      <c r="H81" s="1710">
        <f t="shared" si="10"/>
        <v>600</v>
      </c>
      <c r="I81" s="1710">
        <f t="shared" si="10"/>
        <v>6135154</v>
      </c>
      <c r="J81" s="1710">
        <f t="shared" si="10"/>
        <v>348154</v>
      </c>
      <c r="K81" s="1710">
        <f t="shared" si="10"/>
        <v>180</v>
      </c>
      <c r="L81" s="347"/>
    </row>
    <row r="82" spans="1:12" ht="0.75" customHeight="1" thickTop="1" thickBot="1" x14ac:dyDescent="0.25">
      <c r="A82" s="536" t="s">
        <v>361</v>
      </c>
      <c r="B82" s="537"/>
      <c r="C82" s="538">
        <f>(C81-C79)</f>
        <v>-344515</v>
      </c>
      <c r="D82" s="538">
        <f t="shared" ref="D82:K82" si="11">(D81-D79)</f>
        <v>1817546</v>
      </c>
      <c r="E82" s="538">
        <f t="shared" si="11"/>
        <v>50506</v>
      </c>
      <c r="F82" s="538">
        <f t="shared" si="11"/>
        <v>685092</v>
      </c>
      <c r="G82" s="538">
        <f t="shared" si="11"/>
        <v>451102</v>
      </c>
      <c r="H82" s="538">
        <f t="shared" si="11"/>
        <v>600</v>
      </c>
      <c r="I82" s="538">
        <f t="shared" si="11"/>
        <v>-1935643</v>
      </c>
      <c r="J82" s="538">
        <f t="shared" si="11"/>
        <v>25145</v>
      </c>
      <c r="K82" s="538">
        <f t="shared" si="11"/>
        <v>-1043152</v>
      </c>
    </row>
    <row r="83" spans="1:12" ht="14.25" hidden="1" thickTop="1" thickBot="1" x14ac:dyDescent="0.25">
      <c r="A83" s="539" t="s">
        <v>362</v>
      </c>
      <c r="B83" s="464"/>
      <c r="C83" s="540">
        <f>C82/C81</f>
        <v>-3.10264973663298E-2</v>
      </c>
      <c r="D83" s="540">
        <f t="shared" ref="D83:K83" si="12">D82/D81</f>
        <v>0.95333972548706958</v>
      </c>
      <c r="E83" s="540">
        <f t="shared" si="12"/>
        <v>6.0214002563261898E-2</v>
      </c>
      <c r="F83" s="540">
        <f t="shared" si="12"/>
        <v>0.73950715498528197</v>
      </c>
      <c r="G83" s="540">
        <f t="shared" si="12"/>
        <v>0.24799709287782556</v>
      </c>
      <c r="H83" s="540">
        <f t="shared" si="12"/>
        <v>1</v>
      </c>
      <c r="I83" s="540">
        <f t="shared" si="12"/>
        <v>-0.31550031180961391</v>
      </c>
      <c r="J83" s="540">
        <f t="shared" si="12"/>
        <v>7.2223786025724254E-2</v>
      </c>
      <c r="K83" s="540">
        <f t="shared" si="12"/>
        <v>-5795.2888888888892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57" activePane="bottomLeft" state="frozen"/>
      <selection activeCell="A47" sqref="A47"/>
      <selection pane="bottomLeft" activeCell="D65" sqref="D6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1905</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26468207</v>
      </c>
      <c r="D5" s="481">
        <v>3248208</v>
      </c>
      <c r="E5" s="466">
        <v>2707687</v>
      </c>
      <c r="F5" s="548">
        <v>1551884</v>
      </c>
      <c r="G5" s="466">
        <v>1236927</v>
      </c>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242985</v>
      </c>
      <c r="D7" s="466"/>
      <c r="E7" s="468"/>
      <c r="F7" s="467"/>
      <c r="G7" s="467"/>
      <c r="H7" s="467"/>
      <c r="I7" s="468"/>
      <c r="J7" s="468"/>
      <c r="K7" s="468"/>
    </row>
    <row r="8" spans="1:12" x14ac:dyDescent="0.2">
      <c r="A8" s="463" t="s">
        <v>433</v>
      </c>
      <c r="B8" s="470">
        <v>1150</v>
      </c>
      <c r="C8" s="475"/>
      <c r="D8" s="475"/>
      <c r="E8" s="477"/>
      <c r="F8" s="477"/>
      <c r="G8" s="481">
        <v>388629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v>388434</v>
      </c>
      <c r="K11" s="466"/>
      <c r="L11" s="552"/>
    </row>
    <row r="12" spans="1:12" ht="12.75" customHeight="1" thickBot="1" x14ac:dyDescent="0.25">
      <c r="A12" s="1727" t="s">
        <v>29</v>
      </c>
      <c r="B12" s="1728"/>
      <c r="C12" s="1729">
        <f t="shared" ref="C12:K12" si="0">SUM(C5:C11)</f>
        <v>26711192</v>
      </c>
      <c r="D12" s="1729">
        <f t="shared" si="0"/>
        <v>3248208</v>
      </c>
      <c r="E12" s="1729">
        <f t="shared" si="0"/>
        <v>2707687</v>
      </c>
      <c r="F12" s="1729">
        <f t="shared" si="0"/>
        <v>1551884</v>
      </c>
      <c r="G12" s="1729">
        <f t="shared" si="0"/>
        <v>1625556</v>
      </c>
      <c r="H12" s="1729">
        <f t="shared" si="0"/>
        <v>0</v>
      </c>
      <c r="I12" s="1729">
        <f t="shared" si="0"/>
        <v>0</v>
      </c>
      <c r="J12" s="1729">
        <f t="shared" si="0"/>
        <v>388434</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170597</v>
      </c>
      <c r="E16" s="466"/>
      <c r="F16" s="466"/>
      <c r="G16" s="466">
        <v>113731</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170597</v>
      </c>
      <c r="E18" s="1732">
        <f t="shared" si="1"/>
        <v>0</v>
      </c>
      <c r="F18" s="1732">
        <f t="shared" si="1"/>
        <v>0</v>
      </c>
      <c r="G18" s="1732">
        <f t="shared" si="1"/>
        <v>113731</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20336</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20336</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18053</v>
      </c>
      <c r="G43" s="468"/>
      <c r="H43" s="468"/>
      <c r="I43" s="468"/>
      <c r="J43" s="468"/>
      <c r="K43" s="468"/>
    </row>
    <row r="44" spans="1:11" ht="12.75" customHeight="1" x14ac:dyDescent="0.2">
      <c r="A44" s="463" t="s">
        <v>402</v>
      </c>
      <c r="B44" s="470">
        <v>1413</v>
      </c>
      <c r="C44" s="468"/>
      <c r="D44" s="468"/>
      <c r="E44" s="468"/>
      <c r="F44" s="466">
        <v>12177</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30230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191780</v>
      </c>
      <c r="D65" s="466">
        <v>17027</v>
      </c>
      <c r="E65" s="466">
        <v>8065</v>
      </c>
      <c r="F65" s="467">
        <v>5617</v>
      </c>
      <c r="G65" s="466">
        <v>25628</v>
      </c>
      <c r="H65" s="466"/>
      <c r="I65" s="466">
        <v>187551</v>
      </c>
      <c r="J65" s="467">
        <v>4387</v>
      </c>
      <c r="K65" s="466">
        <v>14425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191780</v>
      </c>
      <c r="D67" s="1710">
        <f t="shared" ref="D67:K67" si="2">SUM(D65:D66)</f>
        <v>17027</v>
      </c>
      <c r="E67" s="1710">
        <f t="shared" si="2"/>
        <v>8065</v>
      </c>
      <c r="F67" s="1710">
        <f t="shared" si="2"/>
        <v>5617</v>
      </c>
      <c r="G67" s="1710">
        <f t="shared" si="2"/>
        <v>25628</v>
      </c>
      <c r="H67" s="1710">
        <f t="shared" si="2"/>
        <v>0</v>
      </c>
      <c r="I67" s="1710">
        <f t="shared" si="2"/>
        <v>187551</v>
      </c>
      <c r="J67" s="1710">
        <f t="shared" si="2"/>
        <v>4387</v>
      </c>
      <c r="K67" s="1710">
        <f t="shared" si="2"/>
        <v>14425</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261787</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6479</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1261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269527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12905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21532</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81313</v>
      </c>
      <c r="D81" s="466"/>
      <c r="E81" s="468"/>
      <c r="F81" s="468"/>
      <c r="G81" s="468"/>
      <c r="H81" s="468"/>
      <c r="I81" s="468"/>
      <c r="J81" s="468"/>
      <c r="K81" s="468"/>
    </row>
    <row r="82" spans="1:11" ht="12.75" customHeight="1" thickBot="1" x14ac:dyDescent="0.25">
      <c r="A82" s="1730" t="s">
        <v>259</v>
      </c>
      <c r="B82" s="1731"/>
      <c r="C82" s="1729">
        <f>SUM(C77:C81)</f>
        <v>115750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132081</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v>1260</v>
      </c>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133341</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98316</v>
      </c>
      <c r="E95" s="521"/>
      <c r="F95" s="521"/>
      <c r="G95" s="521"/>
      <c r="H95" s="521"/>
      <c r="I95" s="521"/>
      <c r="J95" s="521"/>
      <c r="K95" s="521"/>
    </row>
    <row r="96" spans="1:11" ht="12.75" customHeight="1" x14ac:dyDescent="0.2">
      <c r="A96" s="463" t="s">
        <v>409</v>
      </c>
      <c r="B96" s="470">
        <v>1920</v>
      </c>
      <c r="C96" s="551">
        <v>95197</v>
      </c>
      <c r="D96" s="551">
        <v>276820</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40606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114982</v>
      </c>
      <c r="D107" s="466">
        <v>308243</v>
      </c>
      <c r="E107" s="466">
        <v>165</v>
      </c>
      <c r="F107" s="466"/>
      <c r="G107" s="466"/>
      <c r="H107" s="466">
        <v>600</v>
      </c>
      <c r="I107" s="466"/>
      <c r="J107" s="467"/>
      <c r="K107" s="466"/>
    </row>
    <row r="108" spans="1:12" ht="12.75" customHeight="1" thickBot="1" x14ac:dyDescent="0.25">
      <c r="A108" s="1730" t="s">
        <v>508</v>
      </c>
      <c r="B108" s="1734"/>
      <c r="C108" s="1729">
        <f>SUM(C95:C107)</f>
        <v>250785</v>
      </c>
      <c r="D108" s="1729">
        <f t="shared" ref="D108:K108" si="3">SUM(D95:D107)</f>
        <v>683379</v>
      </c>
      <c r="E108" s="1729">
        <f t="shared" si="3"/>
        <v>165</v>
      </c>
      <c r="F108" s="1729">
        <f t="shared" si="3"/>
        <v>0</v>
      </c>
      <c r="G108" s="1729">
        <f t="shared" si="3"/>
        <v>0</v>
      </c>
      <c r="H108" s="1729">
        <f t="shared" si="3"/>
        <v>600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27692711</v>
      </c>
      <c r="D109" s="1737">
        <f t="shared" si="4"/>
        <v>4119211</v>
      </c>
      <c r="E109" s="1737">
        <f t="shared" si="4"/>
        <v>2715917</v>
      </c>
      <c r="F109" s="1737">
        <f t="shared" si="4"/>
        <v>1587731</v>
      </c>
      <c r="G109" s="1737">
        <f t="shared" si="4"/>
        <v>1764915</v>
      </c>
      <c r="H109" s="1737">
        <f t="shared" si="4"/>
        <v>600</v>
      </c>
      <c r="I109" s="1737">
        <f t="shared" si="4"/>
        <v>187551</v>
      </c>
      <c r="J109" s="1737">
        <f t="shared" si="4"/>
        <v>392821</v>
      </c>
      <c r="K109" s="1724">
        <f t="shared" si="4"/>
        <v>14425</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5672390</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5672390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228235</v>
      </c>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v>32415</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260650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288458</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288458</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11098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14280</v>
      </c>
      <c r="G151" s="467"/>
      <c r="H151" s="468"/>
      <c r="I151" s="468"/>
      <c r="J151" s="468"/>
      <c r="K151" s="468"/>
    </row>
    <row r="152" spans="1:11" ht="12.75" customHeight="1" x14ac:dyDescent="0.2">
      <c r="A152" s="463" t="s">
        <v>1117</v>
      </c>
      <c r="B152" s="562">
        <v>3510</v>
      </c>
      <c r="C152" s="551"/>
      <c r="D152" s="466"/>
      <c r="E152" s="561"/>
      <c r="F152" s="466">
        <v>1537592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1551872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261344</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v>4673</v>
      </c>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4" t="s">
        <v>418</v>
      </c>
      <c r="B172" s="2165"/>
      <c r="C172" s="1744">
        <f t="shared" ref="C172:K172" si="6">SUM(C131,C140,C144,C145:C149,C154,C155:C170,C171)</f>
        <v>826223</v>
      </c>
      <c r="D172" s="1744">
        <f t="shared" si="6"/>
        <v>0</v>
      </c>
      <c r="E172" s="1744">
        <f t="shared" si="6"/>
        <v>0</v>
      </c>
      <c r="F172" s="1744">
        <f t="shared" si="6"/>
        <v>1551872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6498613</v>
      </c>
      <c r="D173" s="1737">
        <f>SUM(D121,D172)</f>
        <v>0</v>
      </c>
      <c r="E173" s="1737">
        <f>SUM(E121,E172)</f>
        <v>0</v>
      </c>
      <c r="F173" s="1737">
        <f t="shared" ref="F173:K173" si="7">SUM(F121,F172)</f>
        <v>1551872</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0" t="s">
        <v>1764</v>
      </c>
      <c r="B178" s="217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4" t="s">
        <v>1763</v>
      </c>
      <c r="B179" s="217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2" t="s">
        <v>818</v>
      </c>
      <c r="B184" s="217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8" t="s">
        <v>1906</v>
      </c>
      <c r="B185" s="216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614313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129917</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744230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796470</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796470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31930</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852105</v>
      </c>
      <c r="D220" s="466"/>
      <c r="E220" s="468"/>
      <c r="F220" s="466"/>
      <c r="G220" s="466"/>
      <c r="H220" s="468"/>
      <c r="I220" s="468"/>
      <c r="J220" s="468"/>
      <c r="K220" s="468"/>
    </row>
    <row r="221" spans="1:11" ht="12.75" customHeight="1" x14ac:dyDescent="0.2">
      <c r="A221" s="463" t="s">
        <v>1114</v>
      </c>
      <c r="B221" s="470">
        <v>4625</v>
      </c>
      <c r="C221" s="551">
        <v>40408</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924443</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v>8119</v>
      </c>
      <c r="D263" s="468"/>
      <c r="E263" s="468"/>
      <c r="F263" s="578"/>
      <c r="G263" s="573"/>
      <c r="H263" s="468"/>
      <c r="I263" s="468"/>
      <c r="J263" s="468"/>
      <c r="K263" s="468"/>
    </row>
    <row r="264" spans="1:11" ht="12.75" customHeight="1" thickTop="1" thickBot="1" x14ac:dyDescent="0.25">
      <c r="A264" s="463" t="s">
        <v>1532</v>
      </c>
      <c r="B264" s="470">
        <v>4909</v>
      </c>
      <c r="C264" s="576">
        <v>144574</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128326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101648</v>
      </c>
      <c r="D270" s="576"/>
      <c r="E270" s="468"/>
      <c r="F270" s="576"/>
      <c r="G270" s="576"/>
      <c r="H270" s="468"/>
      <c r="I270" s="468"/>
      <c r="J270" s="468"/>
      <c r="K270" s="468"/>
    </row>
    <row r="271" spans="1:11" ht="12.75" customHeight="1" thickTop="1" thickBot="1" x14ac:dyDescent="0.25">
      <c r="A271" s="463" t="s">
        <v>395</v>
      </c>
      <c r="B271" s="470">
        <v>4992</v>
      </c>
      <c r="C271" s="575">
        <v>479591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3327401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3327401</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37518725</v>
      </c>
      <c r="D275" s="1737">
        <f t="shared" si="12"/>
        <v>4119211</v>
      </c>
      <c r="E275" s="1737">
        <f t="shared" si="12"/>
        <v>2715917</v>
      </c>
      <c r="F275" s="1737">
        <f t="shared" si="12"/>
        <v>3139603</v>
      </c>
      <c r="G275" s="1737">
        <f t="shared" si="12"/>
        <v>1764915</v>
      </c>
      <c r="H275" s="1737">
        <f t="shared" si="12"/>
        <v>600</v>
      </c>
      <c r="I275" s="1737">
        <f t="shared" si="12"/>
        <v>187551</v>
      </c>
      <c r="J275" s="1737">
        <f t="shared" si="12"/>
        <v>392821</v>
      </c>
      <c r="K275" s="1724">
        <f t="shared" si="12"/>
        <v>14425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99" activePane="bottomLeft" state="frozen"/>
      <selection activeCell="A47" sqref="A47"/>
      <selection pane="bottomLeft" activeCell="K115" sqref="K11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4" t="s">
        <v>315</v>
      </c>
      <c r="B3" s="2185"/>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12024251</v>
      </c>
      <c r="D5" s="466">
        <v>458650</v>
      </c>
      <c r="E5" s="466">
        <v>9748</v>
      </c>
      <c r="F5" s="466">
        <v>801694</v>
      </c>
      <c r="G5" s="466"/>
      <c r="H5" s="466">
        <v>1728</v>
      </c>
      <c r="I5" s="467">
        <v>51614</v>
      </c>
      <c r="J5" s="467"/>
      <c r="K5" s="1693">
        <f>SUM(C5:J5)</f>
        <v>13347685</v>
      </c>
      <c r="L5" s="466">
        <v>13996969</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255965</v>
      </c>
      <c r="D7" s="467">
        <v>19759</v>
      </c>
      <c r="E7" s="467">
        <v>957</v>
      </c>
      <c r="F7" s="467">
        <v>3910</v>
      </c>
      <c r="G7" s="467"/>
      <c r="H7" s="467"/>
      <c r="I7" s="467"/>
      <c r="J7" s="467"/>
      <c r="K7" s="1693">
        <f t="shared" ref="K7:K32" si="0">SUM(C7:J7)</f>
        <v>280591</v>
      </c>
      <c r="L7" s="466">
        <v>272748</v>
      </c>
    </row>
    <row r="8" spans="1:14" x14ac:dyDescent="0.2">
      <c r="A8" s="1526" t="s">
        <v>166</v>
      </c>
      <c r="B8" s="615">
        <v>1200</v>
      </c>
      <c r="C8" s="466">
        <v>4923341</v>
      </c>
      <c r="D8" s="466">
        <v>481752</v>
      </c>
      <c r="E8" s="466">
        <v>7239</v>
      </c>
      <c r="F8" s="466">
        <v>62396</v>
      </c>
      <c r="G8" s="466"/>
      <c r="H8" s="466"/>
      <c r="I8" s="467"/>
      <c r="J8" s="467"/>
      <c r="K8" s="1693">
        <f t="shared" si="0"/>
        <v>5474728</v>
      </c>
      <c r="L8" s="466">
        <v>5621095</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890068</v>
      </c>
      <c r="D10" s="466">
        <v>24734</v>
      </c>
      <c r="E10" s="466"/>
      <c r="F10" s="466">
        <v>89</v>
      </c>
      <c r="G10" s="466"/>
      <c r="H10" s="466"/>
      <c r="I10" s="467"/>
      <c r="J10" s="467"/>
      <c r="K10" s="1693">
        <f t="shared" si="0"/>
        <v>914891</v>
      </c>
      <c r="L10" s="466">
        <v>878358</v>
      </c>
    </row>
    <row r="11" spans="1:14" x14ac:dyDescent="0.2">
      <c r="A11" s="1526" t="s">
        <v>1192</v>
      </c>
      <c r="B11" s="615" t="s">
        <v>163</v>
      </c>
      <c r="C11" s="467">
        <v>297058</v>
      </c>
      <c r="D11" s="467">
        <v>51143</v>
      </c>
      <c r="E11" s="467">
        <v>17420</v>
      </c>
      <c r="F11" s="467">
        <v>197</v>
      </c>
      <c r="G11" s="467"/>
      <c r="H11" s="467"/>
      <c r="I11" s="467"/>
      <c r="J11" s="467"/>
      <c r="K11" s="1693">
        <f t="shared" si="0"/>
        <v>365818</v>
      </c>
      <c r="L11" s="466">
        <v>405111</v>
      </c>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111445</v>
      </c>
      <c r="D14" s="466">
        <v>653</v>
      </c>
      <c r="E14" s="466">
        <v>7860</v>
      </c>
      <c r="F14" s="466">
        <v>66741</v>
      </c>
      <c r="G14" s="466"/>
      <c r="H14" s="466">
        <v>6051</v>
      </c>
      <c r="I14" s="467"/>
      <c r="J14" s="467"/>
      <c r="K14" s="1693">
        <f t="shared" si="0"/>
        <v>192750</v>
      </c>
      <c r="L14" s="466">
        <v>137650</v>
      </c>
    </row>
    <row r="15" spans="1:14" x14ac:dyDescent="0.2">
      <c r="A15" s="1526" t="s">
        <v>1021</v>
      </c>
      <c r="B15" s="615">
        <v>1600</v>
      </c>
      <c r="C15" s="466">
        <v>92994</v>
      </c>
      <c r="D15" s="466">
        <v>269</v>
      </c>
      <c r="E15" s="466">
        <v>304</v>
      </c>
      <c r="F15" s="466">
        <v>266</v>
      </c>
      <c r="G15" s="466"/>
      <c r="H15" s="466"/>
      <c r="I15" s="467"/>
      <c r="J15" s="467"/>
      <c r="K15" s="1693">
        <f t="shared" si="0"/>
        <v>93833</v>
      </c>
      <c r="L15" s="466">
        <v>94370</v>
      </c>
    </row>
    <row r="16" spans="1:14" x14ac:dyDescent="0.2">
      <c r="A16" s="1526" t="s">
        <v>1044</v>
      </c>
      <c r="B16" s="615" t="s">
        <v>444</v>
      </c>
      <c r="C16" s="466">
        <v>263664</v>
      </c>
      <c r="D16" s="466">
        <v>11617</v>
      </c>
      <c r="E16" s="466"/>
      <c r="F16" s="466">
        <v>11864</v>
      </c>
      <c r="G16" s="466"/>
      <c r="H16" s="466"/>
      <c r="I16" s="467"/>
      <c r="J16" s="467"/>
      <c r="K16" s="1693">
        <f t="shared" si="0"/>
        <v>287145</v>
      </c>
      <c r="L16" s="466">
        <v>271681</v>
      </c>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1805208</v>
      </c>
      <c r="D18" s="466">
        <v>212275</v>
      </c>
      <c r="E18" s="466">
        <v>15230</v>
      </c>
      <c r="F18" s="466">
        <v>49579</v>
      </c>
      <c r="G18" s="466"/>
      <c r="H18" s="466"/>
      <c r="I18" s="467"/>
      <c r="J18" s="467"/>
      <c r="K18" s="1693">
        <f t="shared" si="0"/>
        <v>2082292</v>
      </c>
      <c r="L18" s="466">
        <v>1858113</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f>245+518012</f>
        <v>518257</v>
      </c>
      <c r="I22" s="617"/>
      <c r="J22" s="477"/>
      <c r="K22" s="1693">
        <f t="shared" si="0"/>
        <v>518257</v>
      </c>
      <c r="L22" s="471">
        <v>470000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20663994</v>
      </c>
      <c r="D33" s="1692">
        <f t="shared" ref="D33:L33" si="1">SUM(D5:D32)</f>
        <v>1260852</v>
      </c>
      <c r="E33" s="1692">
        <f t="shared" si="1"/>
        <v>58758</v>
      </c>
      <c r="F33" s="1692">
        <f t="shared" si="1"/>
        <v>996736</v>
      </c>
      <c r="G33" s="1692">
        <f t="shared" si="1"/>
        <v>0</v>
      </c>
      <c r="H33" s="1692">
        <f t="shared" si="1"/>
        <v>526036</v>
      </c>
      <c r="I33" s="1692">
        <f t="shared" si="1"/>
        <v>51614</v>
      </c>
      <c r="J33" s="1692">
        <f t="shared" si="1"/>
        <v>0</v>
      </c>
      <c r="K33" s="1692">
        <f t="shared" si="1"/>
        <v>23557990</v>
      </c>
      <c r="L33" s="1692">
        <f t="shared" si="1"/>
        <v>24006095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689344</v>
      </c>
      <c r="D36" s="481">
        <v>70262</v>
      </c>
      <c r="E36" s="481"/>
      <c r="F36" s="481">
        <v>1458</v>
      </c>
      <c r="G36" s="481"/>
      <c r="H36" s="481"/>
      <c r="I36" s="467"/>
      <c r="J36" s="467"/>
      <c r="K36" s="1693">
        <f t="shared" ref="K36:K41" si="2">SUM(C36:J36)</f>
        <v>761064</v>
      </c>
      <c r="L36" s="466">
        <v>769363</v>
      </c>
    </row>
    <row r="37" spans="1:14" x14ac:dyDescent="0.2">
      <c r="A37" s="1526" t="s">
        <v>1151</v>
      </c>
      <c r="B37" s="615">
        <v>2120</v>
      </c>
      <c r="C37" s="466">
        <v>147648</v>
      </c>
      <c r="D37" s="466">
        <v>14355</v>
      </c>
      <c r="E37" s="466"/>
      <c r="F37" s="466"/>
      <c r="G37" s="466"/>
      <c r="H37" s="466"/>
      <c r="I37" s="467"/>
      <c r="J37" s="467"/>
      <c r="K37" s="1693">
        <f t="shared" si="2"/>
        <v>162003</v>
      </c>
      <c r="L37" s="466">
        <v>143137</v>
      </c>
    </row>
    <row r="38" spans="1:14" x14ac:dyDescent="0.2">
      <c r="A38" s="1526" t="s">
        <v>207</v>
      </c>
      <c r="B38" s="615">
        <v>2130</v>
      </c>
      <c r="C38" s="466">
        <v>532711</v>
      </c>
      <c r="D38" s="466">
        <v>19685</v>
      </c>
      <c r="E38" s="466">
        <v>28489</v>
      </c>
      <c r="F38" s="466">
        <v>7829</v>
      </c>
      <c r="G38" s="466"/>
      <c r="H38" s="466"/>
      <c r="I38" s="467"/>
      <c r="J38" s="467"/>
      <c r="K38" s="1693">
        <f t="shared" si="2"/>
        <v>588714</v>
      </c>
      <c r="L38" s="466">
        <v>628231</v>
      </c>
    </row>
    <row r="39" spans="1:14" x14ac:dyDescent="0.2">
      <c r="A39" s="1526" t="s">
        <v>208</v>
      </c>
      <c r="B39" s="615">
        <v>2140</v>
      </c>
      <c r="C39" s="466">
        <v>462447</v>
      </c>
      <c r="D39" s="466">
        <v>30976</v>
      </c>
      <c r="E39" s="466">
        <v>119</v>
      </c>
      <c r="F39" s="466">
        <v>3814</v>
      </c>
      <c r="G39" s="466"/>
      <c r="H39" s="466"/>
      <c r="I39" s="467"/>
      <c r="J39" s="467"/>
      <c r="K39" s="1693">
        <f t="shared" si="2"/>
        <v>497356</v>
      </c>
      <c r="L39" s="466">
        <v>1135932</v>
      </c>
    </row>
    <row r="40" spans="1:14" x14ac:dyDescent="0.2">
      <c r="A40" s="1526" t="s">
        <v>209</v>
      </c>
      <c r="B40" s="615">
        <v>2150</v>
      </c>
      <c r="C40" s="466">
        <v>1110260</v>
      </c>
      <c r="D40" s="466">
        <v>88013</v>
      </c>
      <c r="E40" s="466">
        <v>5134</v>
      </c>
      <c r="F40" s="466">
        <v>7037</v>
      </c>
      <c r="G40" s="466"/>
      <c r="H40" s="466"/>
      <c r="I40" s="467"/>
      <c r="J40" s="467"/>
      <c r="K40" s="1693">
        <f t="shared" si="2"/>
        <v>1210444</v>
      </c>
      <c r="L40" s="466">
        <v>1164131</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2942410</v>
      </c>
      <c r="D42" s="1692">
        <f t="shared" ref="D42:L42" si="3">SUM(D36:D41)</f>
        <v>223291</v>
      </c>
      <c r="E42" s="1692">
        <f t="shared" si="3"/>
        <v>33742</v>
      </c>
      <c r="F42" s="1692">
        <f t="shared" si="3"/>
        <v>20138</v>
      </c>
      <c r="G42" s="1692">
        <f t="shared" si="3"/>
        <v>0</v>
      </c>
      <c r="H42" s="1692">
        <f t="shared" si="3"/>
        <v>0</v>
      </c>
      <c r="I42" s="1692">
        <f t="shared" si="3"/>
        <v>0</v>
      </c>
      <c r="J42" s="1692">
        <f t="shared" si="3"/>
        <v>0</v>
      </c>
      <c r="K42" s="1692">
        <f t="shared" si="3"/>
        <v>3219581</v>
      </c>
      <c r="L42" s="1692">
        <f t="shared" si="3"/>
        <v>3840794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972863</v>
      </c>
      <c r="D44" s="481">
        <v>106521</v>
      </c>
      <c r="E44" s="481">
        <v>454025</v>
      </c>
      <c r="F44" s="481">
        <v>37945</v>
      </c>
      <c r="G44" s="481"/>
      <c r="H44" s="481">
        <v>11330</v>
      </c>
      <c r="I44" s="467"/>
      <c r="J44" s="467"/>
      <c r="K44" s="1694">
        <f>SUM(C44:J44)</f>
        <v>1582684</v>
      </c>
      <c r="L44" s="481">
        <v>1647139</v>
      </c>
    </row>
    <row r="45" spans="1:14" x14ac:dyDescent="0.2">
      <c r="A45" s="1526" t="s">
        <v>869</v>
      </c>
      <c r="B45" s="615">
        <v>2220</v>
      </c>
      <c r="C45" s="466">
        <v>490453</v>
      </c>
      <c r="D45" s="466">
        <v>42625</v>
      </c>
      <c r="E45" s="466">
        <v>95707</v>
      </c>
      <c r="F45" s="466"/>
      <c r="G45" s="466"/>
      <c r="H45" s="466"/>
      <c r="I45" s="467">
        <v>870</v>
      </c>
      <c r="J45" s="467"/>
      <c r="K45" s="1694">
        <f>SUM(C45:J45)</f>
        <v>629655</v>
      </c>
      <c r="L45" s="466">
        <v>595978</v>
      </c>
    </row>
    <row r="46" spans="1:14" x14ac:dyDescent="0.2">
      <c r="A46" s="1526" t="s">
        <v>870</v>
      </c>
      <c r="B46" s="615">
        <v>2230</v>
      </c>
      <c r="C46" s="466">
        <v>109589</v>
      </c>
      <c r="D46" s="466">
        <v>21708</v>
      </c>
      <c r="E46" s="466">
        <v>1434</v>
      </c>
      <c r="F46" s="466">
        <v>114659</v>
      </c>
      <c r="G46" s="466"/>
      <c r="H46" s="466"/>
      <c r="I46" s="467"/>
      <c r="J46" s="467"/>
      <c r="K46" s="1694">
        <f>SUM(C46:J46)</f>
        <v>247390</v>
      </c>
      <c r="L46" s="466">
        <v>263730</v>
      </c>
    </row>
    <row r="47" spans="1:14" ht="12.75" customHeight="1" thickBot="1" x14ac:dyDescent="0.25">
      <c r="A47" s="1690" t="s">
        <v>582</v>
      </c>
      <c r="B47" s="1691" t="s">
        <v>32</v>
      </c>
      <c r="C47" s="1692">
        <f>SUM(C44:C46)</f>
        <v>1572905</v>
      </c>
      <c r="D47" s="1692">
        <f t="shared" ref="D47:K47" si="4">SUM(D44:D46)</f>
        <v>170854</v>
      </c>
      <c r="E47" s="1692">
        <f t="shared" si="4"/>
        <v>551166</v>
      </c>
      <c r="F47" s="1692">
        <f t="shared" si="4"/>
        <v>152604</v>
      </c>
      <c r="G47" s="1692">
        <f t="shared" si="4"/>
        <v>0</v>
      </c>
      <c r="H47" s="1692">
        <f t="shared" si="4"/>
        <v>11330</v>
      </c>
      <c r="I47" s="1692">
        <f t="shared" si="4"/>
        <v>870</v>
      </c>
      <c r="J47" s="1692">
        <f t="shared" si="4"/>
        <v>0</v>
      </c>
      <c r="K47" s="1692">
        <f t="shared" si="4"/>
        <v>2459729</v>
      </c>
      <c r="L47" s="1692">
        <f>SUM(L44:L46)</f>
        <v>2506847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106075</v>
      </c>
      <c r="D49" s="481">
        <v>564</v>
      </c>
      <c r="E49" s="481">
        <v>86449</v>
      </c>
      <c r="F49" s="481">
        <v>13110</v>
      </c>
      <c r="G49" s="481"/>
      <c r="H49" s="481">
        <v>6797</v>
      </c>
      <c r="I49" s="467"/>
      <c r="J49" s="467"/>
      <c r="K49" s="1694">
        <f>SUM(C49:J49)</f>
        <v>212995</v>
      </c>
      <c r="L49" s="481">
        <v>326963</v>
      </c>
    </row>
    <row r="50" spans="1:14" x14ac:dyDescent="0.2">
      <c r="A50" s="1526" t="s">
        <v>872</v>
      </c>
      <c r="B50" s="615">
        <v>2320</v>
      </c>
      <c r="C50" s="466">
        <v>410517</v>
      </c>
      <c r="D50" s="466">
        <v>67588</v>
      </c>
      <c r="E50" s="466">
        <v>14732</v>
      </c>
      <c r="F50" s="466">
        <v>13212</v>
      </c>
      <c r="G50" s="466"/>
      <c r="H50" s="466">
        <v>19771</v>
      </c>
      <c r="I50" s="467">
        <v>5347</v>
      </c>
      <c r="J50" s="467"/>
      <c r="K50" s="1694">
        <f>SUM(C50:J50)</f>
        <v>531167</v>
      </c>
      <c r="L50" s="466">
        <v>437867</v>
      </c>
    </row>
    <row r="51" spans="1:14" x14ac:dyDescent="0.2">
      <c r="A51" s="1526" t="s">
        <v>44</v>
      </c>
      <c r="B51" s="615">
        <v>2330</v>
      </c>
      <c r="C51" s="466"/>
      <c r="D51" s="466"/>
      <c r="E51" s="466">
        <v>5667</v>
      </c>
      <c r="F51" s="466">
        <v>436</v>
      </c>
      <c r="G51" s="466"/>
      <c r="H51" s="466"/>
      <c r="I51" s="467"/>
      <c r="J51" s="467"/>
      <c r="K51" s="1694">
        <f>SUM(C51:J51)</f>
        <v>6103</v>
      </c>
      <c r="L51" s="466">
        <v>15000</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516592</v>
      </c>
      <c r="D53" s="1692">
        <f t="shared" ref="D53:L53" si="5">SUM(D49:D52)</f>
        <v>68152</v>
      </c>
      <c r="E53" s="1692">
        <f t="shared" si="5"/>
        <v>106848</v>
      </c>
      <c r="F53" s="1692">
        <f t="shared" si="5"/>
        <v>26758</v>
      </c>
      <c r="G53" s="1692">
        <f t="shared" si="5"/>
        <v>0</v>
      </c>
      <c r="H53" s="1692">
        <f t="shared" si="5"/>
        <v>26568</v>
      </c>
      <c r="I53" s="1692">
        <f t="shared" si="5"/>
        <v>5347</v>
      </c>
      <c r="J53" s="1692">
        <f t="shared" si="5"/>
        <v>0</v>
      </c>
      <c r="K53" s="1692">
        <f t="shared" si="5"/>
        <v>750265</v>
      </c>
      <c r="L53" s="1692">
        <f t="shared" si="5"/>
        <v>779830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2163606</v>
      </c>
      <c r="D55" s="481">
        <v>538252</v>
      </c>
      <c r="E55" s="481"/>
      <c r="F55" s="481">
        <v>48</v>
      </c>
      <c r="G55" s="481"/>
      <c r="H55" s="481">
        <v>595</v>
      </c>
      <c r="I55" s="467"/>
      <c r="J55" s="467"/>
      <c r="K55" s="1694">
        <f>SUM(C55:J55)</f>
        <v>2702501</v>
      </c>
      <c r="L55" s="481">
        <v>2731195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2163606</v>
      </c>
      <c r="D57" s="1696">
        <f t="shared" ref="D57:K57" si="6">SUM(D55:D56)</f>
        <v>538252</v>
      </c>
      <c r="E57" s="1696">
        <f t="shared" si="6"/>
        <v>0</v>
      </c>
      <c r="F57" s="1696">
        <f t="shared" si="6"/>
        <v>48</v>
      </c>
      <c r="G57" s="1696">
        <f t="shared" si="6"/>
        <v>0</v>
      </c>
      <c r="H57" s="1696">
        <f t="shared" si="6"/>
        <v>595</v>
      </c>
      <c r="I57" s="1696">
        <f t="shared" si="6"/>
        <v>0</v>
      </c>
      <c r="J57" s="1696">
        <f t="shared" si="6"/>
        <v>0</v>
      </c>
      <c r="K57" s="1696">
        <f t="shared" si="6"/>
        <v>2702501</v>
      </c>
      <c r="L57" s="1692">
        <f>SUM(L55:L56)</f>
        <v>2731195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447344</v>
      </c>
      <c r="D59" s="481">
        <v>46440</v>
      </c>
      <c r="E59" s="481">
        <v>54973</v>
      </c>
      <c r="F59" s="481">
        <v>55146</v>
      </c>
      <c r="G59" s="481"/>
      <c r="H59" s="481">
        <v>3044</v>
      </c>
      <c r="I59" s="467"/>
      <c r="J59" s="467"/>
      <c r="K59" s="1694">
        <f t="shared" ref="K59:K64" si="7">SUM(C59:J59)</f>
        <v>606947</v>
      </c>
      <c r="L59" s="481">
        <v>493926</v>
      </c>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v>6150</v>
      </c>
      <c r="F61" s="466">
        <v>500</v>
      </c>
      <c r="G61" s="466"/>
      <c r="H61" s="466"/>
      <c r="I61" s="467"/>
      <c r="J61" s="467"/>
      <c r="K61" s="1694">
        <f t="shared" si="7"/>
        <v>6650</v>
      </c>
      <c r="L61" s="466">
        <v>700</v>
      </c>
      <c r="M61" s="610"/>
      <c r="N61" s="610"/>
    </row>
    <row r="62" spans="1:14" s="343" customFormat="1" x14ac:dyDescent="0.2">
      <c r="A62" s="1526" t="s">
        <v>1010</v>
      </c>
      <c r="B62" s="615">
        <v>2550</v>
      </c>
      <c r="C62" s="466"/>
      <c r="D62" s="466"/>
      <c r="E62" s="466">
        <v>2357</v>
      </c>
      <c r="F62" s="466"/>
      <c r="G62" s="466"/>
      <c r="H62" s="466"/>
      <c r="I62" s="467"/>
      <c r="J62" s="467"/>
      <c r="K62" s="1694">
        <f t="shared" si="7"/>
        <v>2357</v>
      </c>
      <c r="L62" s="466">
        <v>3500</v>
      </c>
      <c r="M62" s="610"/>
      <c r="N62" s="610"/>
    </row>
    <row r="63" spans="1:14" s="610" customFormat="1" x14ac:dyDescent="0.2">
      <c r="A63" s="1526" t="s">
        <v>102</v>
      </c>
      <c r="B63" s="615">
        <v>2560</v>
      </c>
      <c r="C63" s="466">
        <v>150006</v>
      </c>
      <c r="D63" s="466">
        <v>6765</v>
      </c>
      <c r="E63" s="466">
        <v>777089</v>
      </c>
      <c r="F63" s="466">
        <v>75721</v>
      </c>
      <c r="G63" s="466"/>
      <c r="H63" s="466"/>
      <c r="I63" s="467"/>
      <c r="J63" s="467"/>
      <c r="K63" s="1694">
        <f t="shared" si="7"/>
        <v>1009581</v>
      </c>
      <c r="L63" s="466">
        <v>881317</v>
      </c>
    </row>
    <row r="64" spans="1:14" s="610" customFormat="1" x14ac:dyDescent="0.2">
      <c r="A64" s="1531" t="s">
        <v>103</v>
      </c>
      <c r="B64" s="631">
        <v>2570</v>
      </c>
      <c r="C64" s="481"/>
      <c r="D64" s="481"/>
      <c r="E64" s="481">
        <v>287953</v>
      </c>
      <c r="F64" s="481">
        <v>15939</v>
      </c>
      <c r="G64" s="481"/>
      <c r="H64" s="481"/>
      <c r="I64" s="467"/>
      <c r="J64" s="467"/>
      <c r="K64" s="1694">
        <f t="shared" si="7"/>
        <v>303892</v>
      </c>
      <c r="L64" s="481">
        <v>239333</v>
      </c>
    </row>
    <row r="65" spans="1:14" s="343" customFormat="1" ht="12.75" customHeight="1" thickBot="1" x14ac:dyDescent="0.25">
      <c r="A65" s="1690" t="s">
        <v>743</v>
      </c>
      <c r="B65" s="1691" t="s">
        <v>35</v>
      </c>
      <c r="C65" s="1692">
        <f>SUM(C59:C64)</f>
        <v>597350</v>
      </c>
      <c r="D65" s="1692">
        <f t="shared" ref="D65:L65" si="8">SUM(D59:D64)</f>
        <v>53205</v>
      </c>
      <c r="E65" s="1692">
        <f t="shared" si="8"/>
        <v>1128522</v>
      </c>
      <c r="F65" s="1692">
        <f t="shared" si="8"/>
        <v>147306</v>
      </c>
      <c r="G65" s="1692">
        <f t="shared" si="8"/>
        <v>0</v>
      </c>
      <c r="H65" s="1692">
        <f t="shared" si="8"/>
        <v>3044</v>
      </c>
      <c r="I65" s="1692">
        <f t="shared" si="8"/>
        <v>0</v>
      </c>
      <c r="J65" s="1692">
        <f t="shared" si="8"/>
        <v>0</v>
      </c>
      <c r="K65" s="1692">
        <f t="shared" si="8"/>
        <v>1929427</v>
      </c>
      <c r="L65" s="1692">
        <f t="shared" si="8"/>
        <v>1618776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v>67181</v>
      </c>
      <c r="D69" s="466">
        <v>30</v>
      </c>
      <c r="E69" s="466">
        <v>558</v>
      </c>
      <c r="F69" s="466"/>
      <c r="G69" s="466"/>
      <c r="H69" s="466">
        <v>325</v>
      </c>
      <c r="I69" s="467"/>
      <c r="J69" s="467"/>
      <c r="K69" s="1694">
        <f>SUM(C69:J69)</f>
        <v>68094</v>
      </c>
      <c r="L69" s="466">
        <v>99405</v>
      </c>
      <c r="M69" s="610"/>
      <c r="N69" s="610"/>
    </row>
    <row r="70" spans="1:14" s="343" customFormat="1" x14ac:dyDescent="0.2">
      <c r="A70" s="1526" t="s">
        <v>423</v>
      </c>
      <c r="B70" s="615">
        <v>2640</v>
      </c>
      <c r="C70" s="466">
        <v>163038</v>
      </c>
      <c r="D70" s="466">
        <v>47649</v>
      </c>
      <c r="E70" s="466">
        <v>35257</v>
      </c>
      <c r="F70" s="466">
        <v>22953</v>
      </c>
      <c r="G70" s="466"/>
      <c r="H70" s="466">
        <v>70</v>
      </c>
      <c r="I70" s="467"/>
      <c r="J70" s="467"/>
      <c r="K70" s="1694">
        <f>SUM(C70:J70)</f>
        <v>268967</v>
      </c>
      <c r="L70" s="466">
        <v>360829</v>
      </c>
      <c r="M70" s="610"/>
      <c r="N70" s="610"/>
    </row>
    <row r="71" spans="1:14" s="343" customFormat="1" x14ac:dyDescent="0.2">
      <c r="A71" s="1526" t="s">
        <v>424</v>
      </c>
      <c r="B71" s="615">
        <v>2660</v>
      </c>
      <c r="C71" s="466">
        <v>279979</v>
      </c>
      <c r="D71" s="466">
        <v>50519</v>
      </c>
      <c r="E71" s="466">
        <v>65263</v>
      </c>
      <c r="F71" s="466">
        <v>412608</v>
      </c>
      <c r="G71" s="466">
        <v>130500</v>
      </c>
      <c r="H71" s="466"/>
      <c r="I71" s="467">
        <v>216142</v>
      </c>
      <c r="J71" s="467"/>
      <c r="K71" s="1694">
        <f>SUM(C71:J71)</f>
        <v>1155011</v>
      </c>
      <c r="L71" s="466">
        <v>1319183</v>
      </c>
      <c r="M71" s="610"/>
      <c r="N71" s="610"/>
    </row>
    <row r="72" spans="1:14" s="343" customFormat="1" ht="12.75" customHeight="1" thickBot="1" x14ac:dyDescent="0.25">
      <c r="A72" s="1690" t="s">
        <v>37</v>
      </c>
      <c r="B72" s="1697" t="s">
        <v>36</v>
      </c>
      <c r="C72" s="1692">
        <f>SUM(C67:C71)</f>
        <v>510198</v>
      </c>
      <c r="D72" s="1692">
        <f t="shared" ref="D72:K72" si="9">SUM(D67:D71)</f>
        <v>98198</v>
      </c>
      <c r="E72" s="1692">
        <f t="shared" si="9"/>
        <v>101078</v>
      </c>
      <c r="F72" s="1692">
        <f t="shared" si="9"/>
        <v>435561</v>
      </c>
      <c r="G72" s="1692">
        <f t="shared" si="9"/>
        <v>130500</v>
      </c>
      <c r="H72" s="1692">
        <f t="shared" si="9"/>
        <v>395</v>
      </c>
      <c r="I72" s="1692">
        <f t="shared" si="9"/>
        <v>216142</v>
      </c>
      <c r="J72" s="1692">
        <f t="shared" si="9"/>
        <v>0</v>
      </c>
      <c r="K72" s="1692">
        <f t="shared" si="9"/>
        <v>1492072</v>
      </c>
      <c r="L72" s="1692">
        <f>SUM(L67:L71)</f>
        <v>1779417</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8303061</v>
      </c>
      <c r="D74" s="1699">
        <f t="shared" ref="D74:K74" si="10">SUM(D42,D47,D53,D57,D65,D72,D73)</f>
        <v>1151952</v>
      </c>
      <c r="E74" s="1699">
        <f t="shared" si="10"/>
        <v>1921356</v>
      </c>
      <c r="F74" s="1699">
        <f t="shared" si="10"/>
        <v>782415</v>
      </c>
      <c r="G74" s="1699">
        <f t="shared" si="10"/>
        <v>130500</v>
      </c>
      <c r="H74" s="1699">
        <f t="shared" si="10"/>
        <v>41932</v>
      </c>
      <c r="I74" s="1699">
        <f t="shared" si="10"/>
        <v>222359</v>
      </c>
      <c r="J74" s="1699">
        <f t="shared" si="10"/>
        <v>0</v>
      </c>
      <c r="K74" s="1699">
        <f t="shared" si="10"/>
        <v>12553575</v>
      </c>
      <c r="L74" s="1699">
        <f>SUM(L42,L47,L53,L57,L65,L72,L73)</f>
        <v>13256859</v>
      </c>
    </row>
    <row r="75" spans="1:14" s="259" customFormat="1" ht="15.75" customHeight="1" thickTop="1" thickBot="1" x14ac:dyDescent="0.25">
      <c r="A75" s="1632" t="s">
        <v>49</v>
      </c>
      <c r="B75" s="1633" t="s">
        <v>596</v>
      </c>
      <c r="C75" s="573">
        <v>53539</v>
      </c>
      <c r="D75" s="573">
        <v>1515</v>
      </c>
      <c r="E75" s="573">
        <v>53086</v>
      </c>
      <c r="F75" s="573">
        <v>30560</v>
      </c>
      <c r="G75" s="573"/>
      <c r="H75" s="573"/>
      <c r="I75" s="531"/>
      <c r="J75" s="531"/>
      <c r="K75" s="1692">
        <f>SUM(C75:J75)</f>
        <v>138700</v>
      </c>
      <c r="L75" s="576">
        <v>164500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17455</v>
      </c>
      <c r="F78" s="617"/>
      <c r="G78" s="617"/>
      <c r="H78" s="635"/>
      <c r="I78" s="477"/>
      <c r="J78" s="477"/>
      <c r="K78" s="1693">
        <f t="shared" ref="K78:K83" si="11">SUM(C78:J78)</f>
        <v>17455</v>
      </c>
      <c r="L78" s="481">
        <v>12000</v>
      </c>
    </row>
    <row r="79" spans="1:14" x14ac:dyDescent="0.2">
      <c r="A79" s="1526" t="s">
        <v>322</v>
      </c>
      <c r="B79" s="615">
        <v>4120</v>
      </c>
      <c r="C79" s="617"/>
      <c r="D79" s="617"/>
      <c r="E79" s="466">
        <v>1115373</v>
      </c>
      <c r="F79" s="617"/>
      <c r="G79" s="617"/>
      <c r="H79" s="466">
        <v>488213</v>
      </c>
      <c r="I79" s="477"/>
      <c r="J79" s="477"/>
      <c r="K79" s="1693">
        <f t="shared" si="11"/>
        <v>1603586</v>
      </c>
      <c r="L79" s="466">
        <v>1986784</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1132828</v>
      </c>
      <c r="F84" s="617"/>
      <c r="G84" s="617"/>
      <c r="H84" s="1692">
        <f>SUM(H78:H83)</f>
        <v>488213</v>
      </c>
      <c r="I84" s="477"/>
      <c r="J84" s="477"/>
      <c r="K84" s="1692">
        <f>SUM(K78:K83)</f>
        <v>1621041</v>
      </c>
      <c r="L84" s="1692">
        <f>SUM(L78:L83)</f>
        <v>1998784</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1132828</v>
      </c>
      <c r="F102" s="617"/>
      <c r="G102" s="617"/>
      <c r="H102" s="1699">
        <f>SUM(H84,H92,H100,H101)</f>
        <v>488213</v>
      </c>
      <c r="I102" s="477"/>
      <c r="J102" s="477"/>
      <c r="K102" s="1699">
        <f>SUM(K84,K92,K100,K101)</f>
        <v>1621041</v>
      </c>
      <c r="L102" s="1699">
        <f>SUM(L84,L92,L100,L101)</f>
        <v>1998784</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100000</v>
      </c>
      <c r="M113" s="614"/>
      <c r="N113" s="614"/>
    </row>
    <row r="114" spans="1:14" ht="12.75" customHeight="1" thickTop="1" thickBot="1" x14ac:dyDescent="0.25">
      <c r="A114" s="1690" t="s">
        <v>50</v>
      </c>
      <c r="B114" s="1704"/>
      <c r="C114" s="1692">
        <f>SUM(C33,C74,C75,C102,C112,C113)</f>
        <v>29020594</v>
      </c>
      <c r="D114" s="1692">
        <f t="shared" ref="D114:K114" si="13">SUM(D33,D74,D75,D102,D112,D113)</f>
        <v>2414319</v>
      </c>
      <c r="E114" s="1692">
        <f t="shared" si="13"/>
        <v>3166028</v>
      </c>
      <c r="F114" s="1692">
        <f t="shared" si="13"/>
        <v>1809711</v>
      </c>
      <c r="G114" s="1692">
        <f t="shared" si="13"/>
        <v>130500</v>
      </c>
      <c r="H114" s="1692">
        <f>SUM(H33,H74,H75,H102,H112,H113)</f>
        <v>1056181</v>
      </c>
      <c r="I114" s="1692">
        <f t="shared" si="13"/>
        <v>273973</v>
      </c>
      <c r="J114" s="1692">
        <f t="shared" si="13"/>
        <v>0</v>
      </c>
      <c r="K114" s="1692">
        <f t="shared" si="13"/>
        <v>37871306</v>
      </c>
      <c r="L114" s="1692">
        <f>SUM(L33,L74,L75,L102,L112,L113)</f>
        <v>39526238</v>
      </c>
    </row>
    <row r="115" spans="1:14" ht="13.5" thickTop="1" x14ac:dyDescent="0.2">
      <c r="A115" s="2176" t="s">
        <v>1053</v>
      </c>
      <c r="B115" s="2177"/>
      <c r="C115" s="619"/>
      <c r="D115" s="619"/>
      <c r="E115" s="619"/>
      <c r="F115" s="619"/>
      <c r="G115" s="619"/>
      <c r="H115" s="619"/>
      <c r="I115" s="619"/>
      <c r="J115" s="619"/>
      <c r="K115" s="1706">
        <f>'Revenues 9-14'!C275-'Expenditures 15-22'!K114</f>
        <v>-352581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314</v>
      </c>
      <c r="B117" s="2182"/>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142385</v>
      </c>
      <c r="F123" s="466"/>
      <c r="G123" s="466"/>
      <c r="H123" s="466"/>
      <c r="I123" s="467"/>
      <c r="J123" s="467"/>
      <c r="K123" s="1692">
        <f>SUM(C123:J123)</f>
        <v>142385</v>
      </c>
      <c r="L123" s="466"/>
    </row>
    <row r="124" spans="1:14" ht="14.25" thickTop="1" thickBot="1" x14ac:dyDescent="0.25">
      <c r="A124" s="1526" t="s">
        <v>206</v>
      </c>
      <c r="B124" s="615">
        <v>2540</v>
      </c>
      <c r="C124" s="466">
        <v>1696725</v>
      </c>
      <c r="D124" s="466">
        <v>209311</v>
      </c>
      <c r="E124" s="466">
        <v>560031</v>
      </c>
      <c r="F124" s="466">
        <v>658992</v>
      </c>
      <c r="G124" s="466">
        <v>51084</v>
      </c>
      <c r="H124" s="466">
        <v>226</v>
      </c>
      <c r="I124" s="467">
        <v>207714</v>
      </c>
      <c r="J124" s="467"/>
      <c r="K124" s="1692">
        <f>SUM(C124:J124)</f>
        <v>3384083</v>
      </c>
      <c r="L124" s="466">
        <v>3671796</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1696725</v>
      </c>
      <c r="D127" s="1692">
        <f t="shared" ref="D127:L127" si="14">SUM(D122:D126)</f>
        <v>209311</v>
      </c>
      <c r="E127" s="1692">
        <f t="shared" si="14"/>
        <v>702416</v>
      </c>
      <c r="F127" s="1692">
        <f t="shared" si="14"/>
        <v>658992</v>
      </c>
      <c r="G127" s="1692">
        <f t="shared" si="14"/>
        <v>51084</v>
      </c>
      <c r="H127" s="1692">
        <f t="shared" si="14"/>
        <v>226</v>
      </c>
      <c r="I127" s="1692">
        <f t="shared" si="14"/>
        <v>207714</v>
      </c>
      <c r="J127" s="1692">
        <f t="shared" si="14"/>
        <v>0</v>
      </c>
      <c r="K127" s="1692">
        <f t="shared" si="14"/>
        <v>3526468</v>
      </c>
      <c r="L127" s="1692">
        <f t="shared" si="14"/>
        <v>3671796</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1696725</v>
      </c>
      <c r="D129" s="1699">
        <f t="shared" ref="D129:L129" si="15">SUM(D120,D127,D128)</f>
        <v>209311</v>
      </c>
      <c r="E129" s="1699">
        <f t="shared" si="15"/>
        <v>702416</v>
      </c>
      <c r="F129" s="1699">
        <f t="shared" si="15"/>
        <v>658992</v>
      </c>
      <c r="G129" s="1699">
        <f t="shared" si="15"/>
        <v>51084</v>
      </c>
      <c r="H129" s="1699">
        <f t="shared" si="15"/>
        <v>226</v>
      </c>
      <c r="I129" s="1699">
        <f t="shared" si="15"/>
        <v>207714</v>
      </c>
      <c r="J129" s="1699">
        <f t="shared" si="15"/>
        <v>0</v>
      </c>
      <c r="K129" s="1699">
        <f t="shared" si="15"/>
        <v>3526468</v>
      </c>
      <c r="L129" s="1699">
        <f t="shared" si="15"/>
        <v>3671796</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3" t="s">
        <v>641</v>
      </c>
      <c r="B151" s="2173"/>
      <c r="C151" s="1692">
        <f>SUM(C129,C130,C139,C149,C150)</f>
        <v>1696725</v>
      </c>
      <c r="D151" s="1692">
        <f t="shared" ref="D151:K151" si="16">SUM(D129,D130,D139,D149,D150)</f>
        <v>209311</v>
      </c>
      <c r="E151" s="1692">
        <f t="shared" si="16"/>
        <v>702416</v>
      </c>
      <c r="F151" s="1692">
        <f t="shared" si="16"/>
        <v>658992</v>
      </c>
      <c r="G151" s="1692">
        <f t="shared" si="16"/>
        <v>51084</v>
      </c>
      <c r="H151" s="1692">
        <f t="shared" si="16"/>
        <v>226</v>
      </c>
      <c r="I151" s="1692">
        <f t="shared" si="16"/>
        <v>207714</v>
      </c>
      <c r="J151" s="1692">
        <f t="shared" si="16"/>
        <v>0</v>
      </c>
      <c r="K151" s="1692">
        <f t="shared" si="16"/>
        <v>3526468</v>
      </c>
      <c r="L151" s="1692">
        <f>SUM(L129,L130,L139,L149,L150)</f>
        <v>3671796</v>
      </c>
    </row>
    <row r="152" spans="1:14" ht="12.75" customHeight="1" thickTop="1" x14ac:dyDescent="0.2">
      <c r="A152" s="2196" t="s">
        <v>1240</v>
      </c>
      <c r="B152" s="2197"/>
      <c r="C152" s="619"/>
      <c r="D152" s="619"/>
      <c r="E152" s="619"/>
      <c r="F152" s="619"/>
      <c r="G152" s="619"/>
      <c r="H152" s="619"/>
      <c r="I152" s="619"/>
      <c r="J152" s="617"/>
      <c r="K152" s="1706">
        <f>'Revenues 9-14'!D275-'Expenditures 15-22'!K151</f>
        <v>592743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642</v>
      </c>
      <c r="B154" s="218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1080563</v>
      </c>
      <c r="I169" s="617"/>
      <c r="J169" s="617"/>
      <c r="K169" s="1693">
        <f>SUM(C169:H169)</f>
        <v>1080563</v>
      </c>
      <c r="L169" s="657">
        <v>1838481</v>
      </c>
    </row>
    <row r="170" spans="1:14" ht="33.75" customHeight="1" x14ac:dyDescent="0.2">
      <c r="A170" s="670" t="s">
        <v>1769</v>
      </c>
      <c r="B170" s="672" t="s">
        <v>31</v>
      </c>
      <c r="C170" s="617"/>
      <c r="D170" s="617"/>
      <c r="E170" s="617"/>
      <c r="F170" s="617"/>
      <c r="G170" s="617"/>
      <c r="H170" s="569">
        <v>1550000</v>
      </c>
      <c r="I170" s="617"/>
      <c r="J170" s="617"/>
      <c r="K170" s="1693">
        <f>SUM(C170:J170)</f>
        <v>1550000</v>
      </c>
      <c r="L170" s="569">
        <v>844673</v>
      </c>
    </row>
    <row r="171" spans="1:14" ht="15.75" customHeight="1" x14ac:dyDescent="0.2">
      <c r="A171" s="622" t="s">
        <v>790</v>
      </c>
      <c r="B171" s="673" t="s">
        <v>86</v>
      </c>
      <c r="C171" s="617"/>
      <c r="D171" s="617"/>
      <c r="E171" s="466"/>
      <c r="F171" s="617"/>
      <c r="G171" s="617"/>
      <c r="H171" s="569">
        <v>8292886</v>
      </c>
      <c r="I171" s="477"/>
      <c r="J171" s="617"/>
      <c r="K171" s="1693">
        <f>SUM(C171:J171)</f>
        <v>8292886</v>
      </c>
      <c r="L171" s="569"/>
    </row>
    <row r="172" spans="1:14" ht="12.75" customHeight="1" thickBot="1" x14ac:dyDescent="0.25">
      <c r="A172" s="1690" t="s">
        <v>659</v>
      </c>
      <c r="B172" s="1691" t="s">
        <v>513</v>
      </c>
      <c r="C172" s="617"/>
      <c r="D172" s="617"/>
      <c r="E172" s="1699">
        <f>SUM(E168,E169,E170,E171)</f>
        <v>0</v>
      </c>
      <c r="F172" s="617"/>
      <c r="G172" s="617"/>
      <c r="H172" s="1699">
        <f>SUM(H168,H169,H170,H171)</f>
        <v>10923449</v>
      </c>
      <c r="I172" s="639"/>
      <c r="J172" s="617"/>
      <c r="K172" s="1699">
        <f>SUM(K168,K169,K170,K171)</f>
        <v>10923449</v>
      </c>
      <c r="L172" s="1699">
        <f>SUM(L168,L169,L170,L171)</f>
        <v>2683154</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10923449</v>
      </c>
      <c r="I174" s="639"/>
      <c r="J174" s="617"/>
      <c r="K174" s="1699">
        <f>SUM(K160,K172,K173)</f>
        <v>10923449</v>
      </c>
      <c r="L174" s="1699">
        <f>SUM(L160,L172,L173)</f>
        <v>2683154</v>
      </c>
    </row>
    <row r="175" spans="1:14" ht="13.5" thickTop="1" x14ac:dyDescent="0.2">
      <c r="A175" s="2176" t="s">
        <v>1053</v>
      </c>
      <c r="B175" s="2177"/>
      <c r="C175" s="617"/>
      <c r="D175" s="617"/>
      <c r="E175" s="617"/>
      <c r="F175" s="617"/>
      <c r="G175" s="617"/>
      <c r="H175" s="619"/>
      <c r="I175" s="617"/>
      <c r="J175" s="617"/>
      <c r="K175" s="1706">
        <f>'Revenues 9-14'!E275-'Expenditures 15-22'!K174</f>
        <v>-8207532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34286</v>
      </c>
      <c r="D182" s="466">
        <v>1311</v>
      </c>
      <c r="E182" s="466">
        <v>2311236</v>
      </c>
      <c r="F182" s="466">
        <v>29039</v>
      </c>
      <c r="G182" s="466">
        <v>78479</v>
      </c>
      <c r="H182" s="466">
        <v>160</v>
      </c>
      <c r="I182" s="467"/>
      <c r="J182" s="467"/>
      <c r="K182" s="1693">
        <f>SUM(C182:J182)</f>
        <v>2454511</v>
      </c>
      <c r="L182" s="466">
        <v>2471262</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34286</v>
      </c>
      <c r="D184" s="1699">
        <f t="shared" ref="D184:J184" si="17">SUM(D180,D182,D183)</f>
        <v>1311</v>
      </c>
      <c r="E184" s="1699">
        <f t="shared" si="17"/>
        <v>2311236</v>
      </c>
      <c r="F184" s="1699">
        <f t="shared" si="17"/>
        <v>29039</v>
      </c>
      <c r="G184" s="1699">
        <f t="shared" si="17"/>
        <v>78479</v>
      </c>
      <c r="H184" s="1699">
        <f t="shared" si="17"/>
        <v>160</v>
      </c>
      <c r="I184" s="1699">
        <f t="shared" si="17"/>
        <v>0</v>
      </c>
      <c r="J184" s="1699">
        <f t="shared" si="17"/>
        <v>0</v>
      </c>
      <c r="K184" s="1699">
        <f>SUM(K180,K182,K183)</f>
        <v>2454511</v>
      </c>
      <c r="L184" s="1699">
        <f>SUM(L180, L182:L183)</f>
        <v>2471262</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34286</v>
      </c>
      <c r="D210" s="1692">
        <f>SUM(D184,D185)</f>
        <v>1311</v>
      </c>
      <c r="E210" s="1692">
        <f>SUM(E184,E185,E196)</f>
        <v>2311236</v>
      </c>
      <c r="F210" s="1692">
        <f>SUM(F184,F185)</f>
        <v>29039</v>
      </c>
      <c r="G210" s="1692">
        <f>SUM(G184,G185)</f>
        <v>78479</v>
      </c>
      <c r="H210" s="1692">
        <f>SUM(H184,H185,H196,H208,H209)</f>
        <v>160</v>
      </c>
      <c r="I210" s="1692">
        <f>SUM(I184,I185)</f>
        <v>0</v>
      </c>
      <c r="J210" s="1692">
        <f>SUM(J184,J185)</f>
        <v>0</v>
      </c>
      <c r="K210" s="1693">
        <f>SUM(K184,K185,K196,K208,K209)</f>
        <v>2454511</v>
      </c>
      <c r="L210" s="1692">
        <f>SUM(L184,L185,L196,L208,L209)</f>
        <v>2471262</v>
      </c>
    </row>
    <row r="211" spans="1:14" ht="13.5" thickTop="1" x14ac:dyDescent="0.2">
      <c r="A211" s="2176" t="s">
        <v>1053</v>
      </c>
      <c r="B211" s="2177"/>
      <c r="C211" s="619"/>
      <c r="D211" s="619"/>
      <c r="E211" s="619"/>
      <c r="F211" s="619"/>
      <c r="G211" s="619"/>
      <c r="H211" s="619"/>
      <c r="I211" s="617"/>
      <c r="J211" s="617"/>
      <c r="K211" s="1706">
        <f>'Revenues 9-14'!F275-'Expenditures 15-22'!K210</f>
        <v>685092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1022</v>
      </c>
      <c r="B213" s="2199"/>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-11013</v>
      </c>
      <c r="E215" s="617"/>
      <c r="F215" s="617"/>
      <c r="G215" s="617"/>
      <c r="H215" s="617"/>
      <c r="I215" s="617"/>
      <c r="J215" s="617"/>
      <c r="K215" s="1693">
        <f>D215</f>
        <v>-11013</v>
      </c>
      <c r="L215" s="466">
        <v>232537</v>
      </c>
    </row>
    <row r="216" spans="1:14" x14ac:dyDescent="0.2">
      <c r="A216" s="1526" t="s">
        <v>165</v>
      </c>
      <c r="B216" s="615" t="s">
        <v>1024</v>
      </c>
      <c r="C216" s="617"/>
      <c r="D216" s="467">
        <v>14142</v>
      </c>
      <c r="E216" s="617"/>
      <c r="F216" s="617"/>
      <c r="G216" s="617"/>
      <c r="H216" s="617"/>
      <c r="I216" s="617"/>
      <c r="J216" s="617"/>
      <c r="K216" s="1693">
        <f t="shared" ref="K216:K228" si="19">D216</f>
        <v>14142</v>
      </c>
      <c r="L216" s="466">
        <v>10290</v>
      </c>
    </row>
    <row r="217" spans="1:14" x14ac:dyDescent="0.2">
      <c r="A217" s="1526" t="s">
        <v>166</v>
      </c>
      <c r="B217" s="615">
        <v>1200</v>
      </c>
      <c r="C217" s="617"/>
      <c r="D217" s="466">
        <v>372086</v>
      </c>
      <c r="E217" s="617"/>
      <c r="F217" s="617"/>
      <c r="G217" s="617"/>
      <c r="H217" s="617"/>
      <c r="I217" s="617"/>
      <c r="J217" s="617"/>
      <c r="K217" s="1693">
        <f t="shared" si="19"/>
        <v>372086</v>
      </c>
      <c r="L217" s="466">
        <v>498521</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14754</v>
      </c>
      <c r="E219" s="617"/>
      <c r="F219" s="617"/>
      <c r="G219" s="617"/>
      <c r="H219" s="617"/>
      <c r="I219" s="617"/>
      <c r="J219" s="617"/>
      <c r="K219" s="1693">
        <f t="shared" si="19"/>
        <v>14754</v>
      </c>
      <c r="L219" s="466">
        <v>16900</v>
      </c>
    </row>
    <row r="220" spans="1:14" x14ac:dyDescent="0.2">
      <c r="A220" s="1526" t="s">
        <v>298</v>
      </c>
      <c r="B220" s="615" t="s">
        <v>163</v>
      </c>
      <c r="C220" s="617"/>
      <c r="D220" s="467">
        <v>16029</v>
      </c>
      <c r="E220" s="617"/>
      <c r="F220" s="617"/>
      <c r="G220" s="617"/>
      <c r="H220" s="617"/>
      <c r="I220" s="617"/>
      <c r="J220" s="617"/>
      <c r="K220" s="1693">
        <f t="shared" si="19"/>
        <v>16029</v>
      </c>
      <c r="L220" s="466">
        <v>175</v>
      </c>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1753</v>
      </c>
      <c r="E223" s="617"/>
      <c r="F223" s="617"/>
      <c r="G223" s="617"/>
      <c r="H223" s="617"/>
      <c r="I223" s="617"/>
      <c r="J223" s="617"/>
      <c r="K223" s="1693">
        <f t="shared" si="19"/>
        <v>1753</v>
      </c>
      <c r="L223" s="466">
        <v>1995</v>
      </c>
    </row>
    <row r="224" spans="1:14" x14ac:dyDescent="0.2">
      <c r="A224" s="1526" t="s">
        <v>1021</v>
      </c>
      <c r="B224" s="615">
        <v>1600</v>
      </c>
      <c r="C224" s="617"/>
      <c r="D224" s="466">
        <v>7977</v>
      </c>
      <c r="E224" s="617"/>
      <c r="F224" s="617"/>
      <c r="G224" s="617"/>
      <c r="H224" s="617"/>
      <c r="I224" s="617"/>
      <c r="J224" s="617"/>
      <c r="K224" s="1693">
        <f t="shared" si="19"/>
        <v>7977</v>
      </c>
      <c r="L224" s="466">
        <v>8150</v>
      </c>
    </row>
    <row r="225" spans="1:12" x14ac:dyDescent="0.2">
      <c r="A225" s="1526" t="s">
        <v>1044</v>
      </c>
      <c r="B225" s="615">
        <v>1650</v>
      </c>
      <c r="C225" s="617"/>
      <c r="D225" s="466">
        <v>3627</v>
      </c>
      <c r="E225" s="617"/>
      <c r="F225" s="617"/>
      <c r="G225" s="617"/>
      <c r="H225" s="617"/>
      <c r="I225" s="617"/>
      <c r="J225" s="617"/>
      <c r="K225" s="1693">
        <f t="shared" si="19"/>
        <v>3627</v>
      </c>
      <c r="L225" s="466">
        <v>4200</v>
      </c>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59261</v>
      </c>
      <c r="E227" s="617"/>
      <c r="F227" s="617"/>
      <c r="G227" s="617"/>
      <c r="H227" s="617"/>
      <c r="I227" s="617"/>
      <c r="J227" s="617"/>
      <c r="K227" s="1693">
        <f t="shared" si="19"/>
        <v>59261</v>
      </c>
      <c r="L227" s="466">
        <v>43225</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478616</v>
      </c>
      <c r="E229" s="617"/>
      <c r="F229" s="617"/>
      <c r="G229" s="617"/>
      <c r="H229" s="617"/>
      <c r="I229" s="617"/>
      <c r="J229" s="617"/>
      <c r="K229" s="1692">
        <f>SUM(K215:K228)</f>
        <v>478616</v>
      </c>
      <c r="L229" s="1692">
        <f>SUM(L215:L228)</f>
        <v>815993</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10449</v>
      </c>
      <c r="E232" s="617"/>
      <c r="F232" s="617"/>
      <c r="G232" s="617"/>
      <c r="H232" s="617"/>
      <c r="I232" s="617"/>
      <c r="J232" s="617"/>
      <c r="K232" s="1693">
        <f t="shared" ref="K232:K237" si="20">D232</f>
        <v>10449</v>
      </c>
      <c r="L232" s="466">
        <v>10000</v>
      </c>
    </row>
    <row r="233" spans="1:12" x14ac:dyDescent="0.2">
      <c r="A233" s="1526" t="s">
        <v>1151</v>
      </c>
      <c r="B233" s="615">
        <v>2120</v>
      </c>
      <c r="C233" s="617"/>
      <c r="D233" s="466">
        <v>2254</v>
      </c>
      <c r="E233" s="617"/>
      <c r="F233" s="617"/>
      <c r="G233" s="617"/>
      <c r="H233" s="617"/>
      <c r="I233" s="617"/>
      <c r="J233" s="617"/>
      <c r="K233" s="1693">
        <f t="shared" si="20"/>
        <v>2254</v>
      </c>
      <c r="L233" s="466">
        <v>2800</v>
      </c>
    </row>
    <row r="234" spans="1:12" x14ac:dyDescent="0.2">
      <c r="A234" s="1526" t="s">
        <v>207</v>
      </c>
      <c r="B234" s="615">
        <v>2130</v>
      </c>
      <c r="C234" s="617"/>
      <c r="D234" s="466">
        <v>82748</v>
      </c>
      <c r="E234" s="617"/>
      <c r="F234" s="617"/>
      <c r="G234" s="617"/>
      <c r="H234" s="617"/>
      <c r="I234" s="617"/>
      <c r="J234" s="617"/>
      <c r="K234" s="1693">
        <f t="shared" si="20"/>
        <v>82748</v>
      </c>
      <c r="L234" s="466">
        <v>83000</v>
      </c>
    </row>
    <row r="235" spans="1:12" x14ac:dyDescent="0.2">
      <c r="A235" s="1526" t="s">
        <v>208</v>
      </c>
      <c r="B235" s="615">
        <v>2140</v>
      </c>
      <c r="C235" s="617"/>
      <c r="D235" s="466">
        <v>5992</v>
      </c>
      <c r="E235" s="617"/>
      <c r="F235" s="617"/>
      <c r="G235" s="617"/>
      <c r="H235" s="617"/>
      <c r="I235" s="617"/>
      <c r="J235" s="617"/>
      <c r="K235" s="1693">
        <f t="shared" si="20"/>
        <v>5992</v>
      </c>
      <c r="L235" s="466"/>
    </row>
    <row r="236" spans="1:12" x14ac:dyDescent="0.2">
      <c r="A236" s="1526" t="s">
        <v>209</v>
      </c>
      <c r="B236" s="615">
        <v>2150</v>
      </c>
      <c r="C236" s="617"/>
      <c r="D236" s="466">
        <v>14551</v>
      </c>
      <c r="E236" s="617"/>
      <c r="F236" s="617"/>
      <c r="G236" s="617"/>
      <c r="H236" s="617"/>
      <c r="I236" s="617"/>
      <c r="J236" s="617"/>
      <c r="K236" s="1693">
        <f t="shared" si="20"/>
        <v>14551</v>
      </c>
      <c r="L236" s="466">
        <v>14000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115994</v>
      </c>
      <c r="E238" s="617"/>
      <c r="F238" s="617"/>
      <c r="G238" s="617"/>
      <c r="H238" s="617"/>
      <c r="I238" s="617"/>
      <c r="J238" s="617"/>
      <c r="K238" s="1692">
        <f>SUM(K232:K237)</f>
        <v>115994</v>
      </c>
      <c r="L238" s="1692">
        <f>SUM(L232:L237)</f>
        <v>109800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28577</v>
      </c>
      <c r="E240" s="617"/>
      <c r="F240" s="617"/>
      <c r="G240" s="617"/>
      <c r="H240" s="617"/>
      <c r="I240" s="617"/>
      <c r="J240" s="617"/>
      <c r="K240" s="1694">
        <f>D240</f>
        <v>28577</v>
      </c>
      <c r="L240" s="481">
        <v>10705</v>
      </c>
    </row>
    <row r="241" spans="1:12" x14ac:dyDescent="0.2">
      <c r="A241" s="1526" t="s">
        <v>869</v>
      </c>
      <c r="B241" s="615">
        <v>2220</v>
      </c>
      <c r="C241" s="617"/>
      <c r="D241" s="466">
        <v>51623</v>
      </c>
      <c r="E241" s="617"/>
      <c r="F241" s="617"/>
      <c r="G241" s="617"/>
      <c r="H241" s="617"/>
      <c r="I241" s="617"/>
      <c r="J241" s="617"/>
      <c r="K241" s="1694">
        <f>D241</f>
        <v>51623</v>
      </c>
      <c r="L241" s="466">
        <v>53000</v>
      </c>
    </row>
    <row r="242" spans="1:12" x14ac:dyDescent="0.2">
      <c r="A242" s="1526" t="s">
        <v>870</v>
      </c>
      <c r="B242" s="615">
        <v>2230</v>
      </c>
      <c r="C242" s="617"/>
      <c r="D242" s="466">
        <v>1611</v>
      </c>
      <c r="E242" s="617"/>
      <c r="F242" s="617"/>
      <c r="G242" s="617"/>
      <c r="H242" s="617"/>
      <c r="I242" s="617"/>
      <c r="J242" s="617"/>
      <c r="K242" s="1694">
        <f>D242</f>
        <v>1611</v>
      </c>
      <c r="L242" s="466">
        <v>5000</v>
      </c>
    </row>
    <row r="243" spans="1:12" ht="12.75" customHeight="1" thickBot="1" x14ac:dyDescent="0.25">
      <c r="A243" s="1716" t="s">
        <v>582</v>
      </c>
      <c r="B243" s="1717">
        <v>2200</v>
      </c>
      <c r="C243" s="617"/>
      <c r="D243" s="1692">
        <f>SUM(D240:D242)</f>
        <v>81811</v>
      </c>
      <c r="E243" s="617"/>
      <c r="F243" s="617"/>
      <c r="G243" s="617"/>
      <c r="H243" s="617"/>
      <c r="I243" s="617"/>
      <c r="J243" s="617"/>
      <c r="K243" s="1692">
        <f>SUM(K240:K242)</f>
        <v>81811</v>
      </c>
      <c r="L243" s="1692">
        <f>SUM(L240:L242)</f>
        <v>68705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3430</v>
      </c>
      <c r="E245" s="617"/>
      <c r="F245" s="617"/>
      <c r="G245" s="617"/>
      <c r="H245" s="617"/>
      <c r="I245" s="617"/>
      <c r="J245" s="617"/>
      <c r="K245" s="1694">
        <f>D245</f>
        <v>3430</v>
      </c>
      <c r="L245" s="481">
        <v>55619</v>
      </c>
    </row>
    <row r="246" spans="1:12" x14ac:dyDescent="0.2">
      <c r="A246" s="1526" t="s">
        <v>872</v>
      </c>
      <c r="B246" s="615">
        <v>2320</v>
      </c>
      <c r="C246" s="617"/>
      <c r="D246" s="466">
        <v>36469</v>
      </c>
      <c r="E246" s="617"/>
      <c r="F246" s="617"/>
      <c r="G246" s="617"/>
      <c r="H246" s="617"/>
      <c r="I246" s="617"/>
      <c r="J246" s="617"/>
      <c r="K246" s="1694">
        <f t="shared" ref="K246:K256" si="21">D246</f>
        <v>36469</v>
      </c>
      <c r="L246" s="466">
        <v>45150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39899</v>
      </c>
      <c r="E257" s="617"/>
      <c r="F257" s="617"/>
      <c r="G257" s="617"/>
      <c r="H257" s="617"/>
      <c r="I257" s="617"/>
      <c r="J257" s="617"/>
      <c r="K257" s="1692">
        <f>SUM(K245:K256)</f>
        <v>39899</v>
      </c>
      <c r="L257" s="1692">
        <f>SUM(L245:L256)</f>
        <v>100769</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134317</v>
      </c>
      <c r="E259" s="617"/>
      <c r="F259" s="617"/>
      <c r="G259" s="617"/>
      <c r="H259" s="617"/>
      <c r="I259" s="617"/>
      <c r="J259" s="617"/>
      <c r="K259" s="1694">
        <f>D259</f>
        <v>134317</v>
      </c>
      <c r="L259" s="481">
        <v>135887</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134317</v>
      </c>
      <c r="E261" s="617"/>
      <c r="F261" s="617"/>
      <c r="G261" s="617"/>
      <c r="H261" s="617"/>
      <c r="I261" s="617"/>
      <c r="J261" s="617"/>
      <c r="K261" s="1692">
        <f>SUM(K259:K260)</f>
        <v>134317</v>
      </c>
      <c r="L261" s="1692">
        <f>SUM(L259:L260)</f>
        <v>135887</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58401</v>
      </c>
      <c r="E263" s="617"/>
      <c r="F263" s="617"/>
      <c r="G263" s="617"/>
      <c r="H263" s="617"/>
      <c r="I263" s="617"/>
      <c r="J263" s="617"/>
      <c r="K263" s="1694">
        <f>D263</f>
        <v>58401</v>
      </c>
      <c r="L263" s="481">
        <v>52063</v>
      </c>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314385</v>
      </c>
      <c r="E266" s="617"/>
      <c r="F266" s="617"/>
      <c r="G266" s="617"/>
      <c r="H266" s="617"/>
      <c r="I266" s="617"/>
      <c r="J266" s="617"/>
      <c r="K266" s="1694">
        <f t="shared" si="22"/>
        <v>314385</v>
      </c>
      <c r="L266" s="466">
        <v>354200</v>
      </c>
    </row>
    <row r="267" spans="1:14" x14ac:dyDescent="0.2">
      <c r="A267" s="1526" t="s">
        <v>1010</v>
      </c>
      <c r="B267" s="615">
        <v>2550</v>
      </c>
      <c r="C267" s="617"/>
      <c r="D267" s="466">
        <v>3541</v>
      </c>
      <c r="E267" s="617"/>
      <c r="F267" s="617"/>
      <c r="G267" s="617"/>
      <c r="H267" s="617"/>
      <c r="I267" s="617"/>
      <c r="J267" s="617"/>
      <c r="K267" s="1694">
        <f t="shared" si="22"/>
        <v>3541</v>
      </c>
      <c r="L267" s="466">
        <v>1600</v>
      </c>
    </row>
    <row r="268" spans="1:14" x14ac:dyDescent="0.2">
      <c r="A268" s="1526" t="s">
        <v>102</v>
      </c>
      <c r="B268" s="615">
        <v>2560</v>
      </c>
      <c r="C268" s="617"/>
      <c r="D268" s="466">
        <v>17032</v>
      </c>
      <c r="E268" s="617"/>
      <c r="F268" s="617"/>
      <c r="G268" s="617"/>
      <c r="H268" s="617"/>
      <c r="I268" s="617"/>
      <c r="J268" s="617"/>
      <c r="K268" s="1694">
        <f t="shared" si="22"/>
        <v>17032</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393359</v>
      </c>
      <c r="E270" s="617"/>
      <c r="F270" s="617"/>
      <c r="G270" s="617"/>
      <c r="H270" s="617"/>
      <c r="I270" s="617"/>
      <c r="J270" s="617"/>
      <c r="K270" s="1692">
        <f>SUM(K263:K269)</f>
        <v>393359</v>
      </c>
      <c r="L270" s="1692">
        <f>SUM(L263:L269)</f>
        <v>407863</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v>12333</v>
      </c>
      <c r="E274" s="617"/>
      <c r="F274" s="617"/>
      <c r="G274" s="617"/>
      <c r="H274" s="617"/>
      <c r="I274" s="617"/>
      <c r="J274" s="617"/>
      <c r="K274" s="1694">
        <f>D274</f>
        <v>12333</v>
      </c>
      <c r="L274" s="466">
        <v>10550</v>
      </c>
    </row>
    <row r="275" spans="1:12" x14ac:dyDescent="0.2">
      <c r="A275" s="1526" t="s">
        <v>423</v>
      </c>
      <c r="B275" s="615">
        <v>2640</v>
      </c>
      <c r="C275" s="617"/>
      <c r="D275" s="466">
        <v>1279</v>
      </c>
      <c r="E275" s="617"/>
      <c r="F275" s="617"/>
      <c r="G275" s="617"/>
      <c r="H275" s="617"/>
      <c r="I275" s="617"/>
      <c r="J275" s="617"/>
      <c r="K275" s="1694">
        <f>D275</f>
        <v>1279</v>
      </c>
      <c r="L275" s="466"/>
    </row>
    <row r="276" spans="1:12" x14ac:dyDescent="0.2">
      <c r="A276" s="1526" t="s">
        <v>424</v>
      </c>
      <c r="B276" s="615">
        <v>2660</v>
      </c>
      <c r="C276" s="617"/>
      <c r="D276" s="466">
        <v>50144</v>
      </c>
      <c r="E276" s="617"/>
      <c r="F276" s="617"/>
      <c r="G276" s="617"/>
      <c r="H276" s="617"/>
      <c r="I276" s="617"/>
      <c r="J276" s="617"/>
      <c r="K276" s="1694">
        <f>D276</f>
        <v>50144</v>
      </c>
      <c r="L276" s="466">
        <v>59840</v>
      </c>
    </row>
    <row r="277" spans="1:12" ht="12.75" customHeight="1" thickBot="1" x14ac:dyDescent="0.25">
      <c r="A277" s="1713" t="s">
        <v>37</v>
      </c>
      <c r="B277" s="1691" t="s">
        <v>36</v>
      </c>
      <c r="C277" s="617"/>
      <c r="D277" s="1692">
        <f>SUM(D272:D276)</f>
        <v>63756</v>
      </c>
      <c r="E277" s="617"/>
      <c r="F277" s="617"/>
      <c r="G277" s="617"/>
      <c r="H277" s="617"/>
      <c r="I277" s="617"/>
      <c r="J277" s="617"/>
      <c r="K277" s="1692">
        <f>SUM(K272:K276)</f>
        <v>63756</v>
      </c>
      <c r="L277" s="1692">
        <f>SUM(L272:L276)</f>
        <v>70390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829136</v>
      </c>
      <c r="E279" s="617"/>
      <c r="F279" s="617"/>
      <c r="G279" s="617"/>
      <c r="H279" s="617"/>
      <c r="I279" s="617"/>
      <c r="J279" s="617"/>
      <c r="K279" s="1699">
        <f>SUM(K238,K243,K257,K261,K270,K277,K278)</f>
        <v>829136</v>
      </c>
      <c r="L279" s="1699">
        <f>SUM(L238,L243,L257,L261,L270,L277,L278)</f>
        <v>893414</v>
      </c>
    </row>
    <row r="280" spans="1:12" ht="15.75" customHeight="1" thickTop="1" thickBot="1" x14ac:dyDescent="0.25">
      <c r="A280" s="1646" t="s">
        <v>930</v>
      </c>
      <c r="B280" s="1635">
        <v>3000</v>
      </c>
      <c r="C280" s="617"/>
      <c r="D280" s="576">
        <v>6061</v>
      </c>
      <c r="E280" s="617"/>
      <c r="F280" s="617"/>
      <c r="G280" s="617"/>
      <c r="H280" s="617"/>
      <c r="I280" s="617"/>
      <c r="J280" s="617"/>
      <c r="K280" s="1701">
        <f>D280</f>
        <v>6061</v>
      </c>
      <c r="L280" s="576">
        <v>6250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4" t="s">
        <v>526</v>
      </c>
      <c r="B295" s="2195"/>
      <c r="C295" s="617"/>
      <c r="D295" s="1692">
        <f>SUM(D229,D279,D280,D285)</f>
        <v>1313813</v>
      </c>
      <c r="E295" s="617"/>
      <c r="F295" s="617"/>
      <c r="G295" s="617"/>
      <c r="H295" s="1692">
        <f>H293</f>
        <v>0</v>
      </c>
      <c r="I295" s="617"/>
      <c r="J295" s="617"/>
      <c r="K295" s="1692">
        <f>SUM(K229,K279,K280,K285,K293,K294)</f>
        <v>1313813</v>
      </c>
      <c r="L295" s="1692">
        <f>SUM(L229,L279,L280,L285,L293,L294)</f>
        <v>1715657</v>
      </c>
    </row>
    <row r="296" spans="1:14" ht="13.5" thickTop="1" x14ac:dyDescent="0.2">
      <c r="A296" s="2176" t="s">
        <v>1053</v>
      </c>
      <c r="B296" s="2177"/>
      <c r="C296" s="617"/>
      <c r="D296" s="619"/>
      <c r="E296" s="617"/>
      <c r="F296" s="617"/>
      <c r="G296" s="617"/>
      <c r="H296" s="688"/>
      <c r="I296" s="617"/>
      <c r="J296" s="617"/>
      <c r="K296" s="1706">
        <f>'Revenues 9-14'!G275-'Expenditures 15-22'!K295</f>
        <v>451102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898391</v>
      </c>
      <c r="H301" s="466"/>
      <c r="I301" s="467"/>
      <c r="J301" s="467"/>
      <c r="K301" s="1693">
        <f>SUM(C301:J301)</f>
        <v>898391</v>
      </c>
      <c r="L301" s="467">
        <v>2252218</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898391</v>
      </c>
      <c r="H303" s="1699">
        <f t="shared" si="23"/>
        <v>0</v>
      </c>
      <c r="I303" s="1699">
        <f t="shared" si="23"/>
        <v>0</v>
      </c>
      <c r="J303" s="1699">
        <f t="shared" si="23"/>
        <v>0</v>
      </c>
      <c r="K303" s="1699">
        <f t="shared" si="23"/>
        <v>898391</v>
      </c>
      <c r="L303" s="1699">
        <f t="shared" si="23"/>
        <v>2252218</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1" t="s">
        <v>295</v>
      </c>
      <c r="B312" s="2192"/>
      <c r="C312" s="1692">
        <f>SUM(C303)</f>
        <v>0</v>
      </c>
      <c r="D312" s="1692">
        <f>SUM(D303)</f>
        <v>0</v>
      </c>
      <c r="E312" s="1692">
        <f>SUM(E303,E310)</f>
        <v>0</v>
      </c>
      <c r="F312" s="1692">
        <f>SUM(F303)</f>
        <v>0</v>
      </c>
      <c r="G312" s="1692">
        <f>SUM(G303)</f>
        <v>898391</v>
      </c>
      <c r="H312" s="1692">
        <f>SUM(H303,H310)</f>
        <v>0</v>
      </c>
      <c r="I312" s="1692">
        <f>SUM(I303)</f>
        <v>0</v>
      </c>
      <c r="J312" s="1692">
        <f>SUM(J303)</f>
        <v>0</v>
      </c>
      <c r="K312" s="1692">
        <f>SUM(K303,K310,K311)</f>
        <v>898391</v>
      </c>
      <c r="L312" s="1692">
        <f>SUM(L303,L310,L311)</f>
        <v>2252218</v>
      </c>
      <c r="M312" s="666"/>
      <c r="N312" s="666"/>
    </row>
    <row r="313" spans="1:14" ht="13.5" thickTop="1" x14ac:dyDescent="0.2">
      <c r="A313" s="2187" t="s">
        <v>1053</v>
      </c>
      <c r="B313" s="2188"/>
      <c r="C313" s="627"/>
      <c r="D313" s="627"/>
      <c r="E313" s="627"/>
      <c r="F313" s="627"/>
      <c r="G313" s="627"/>
      <c r="H313" s="627"/>
      <c r="I313" s="627"/>
      <c r="J313" s="627"/>
      <c r="K313" s="1707">
        <f>'Revenues 9-14'!H275-'Expenditures 15-22'!K312</f>
        <v>-897791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954</v>
      </c>
      <c r="B317" s="2201"/>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145314</v>
      </c>
      <c r="F320" s="467"/>
      <c r="G320" s="467"/>
      <c r="H320" s="467"/>
      <c r="I320" s="467"/>
      <c r="J320" s="467"/>
      <c r="K320" s="1693">
        <f t="shared" ref="K320:K327" si="24">SUM(C320:J320)</f>
        <v>145314</v>
      </c>
      <c r="L320" s="467">
        <v>215878</v>
      </c>
      <c r="M320" s="666"/>
      <c r="N320" s="666"/>
    </row>
    <row r="321" spans="1:14" s="675" customFormat="1" x14ac:dyDescent="0.2">
      <c r="A321" s="1541" t="s">
        <v>318</v>
      </c>
      <c r="B321" s="698" t="s">
        <v>301</v>
      </c>
      <c r="C321" s="467"/>
      <c r="D321" s="467"/>
      <c r="E321" s="467">
        <v>27628</v>
      </c>
      <c r="F321" s="467"/>
      <c r="G321" s="467"/>
      <c r="H321" s="467"/>
      <c r="I321" s="467"/>
      <c r="J321" s="467"/>
      <c r="K321" s="1693">
        <f t="shared" si="24"/>
        <v>27628</v>
      </c>
      <c r="L321" s="467">
        <v>40000</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v>12942</v>
      </c>
      <c r="F323" s="467"/>
      <c r="G323" s="467"/>
      <c r="H323" s="467"/>
      <c r="I323" s="467"/>
      <c r="J323" s="467"/>
      <c r="K323" s="1693">
        <f t="shared" si="24"/>
        <v>12942</v>
      </c>
      <c r="L323" s="467">
        <v>11000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69010</v>
      </c>
      <c r="F327" s="467"/>
      <c r="G327" s="467"/>
      <c r="H327" s="467"/>
      <c r="I327" s="467"/>
      <c r="J327" s="467"/>
      <c r="K327" s="1693">
        <f t="shared" si="24"/>
        <v>69010</v>
      </c>
      <c r="L327" s="467">
        <v>75000</v>
      </c>
      <c r="M327" s="666"/>
      <c r="N327" s="666"/>
    </row>
    <row r="328" spans="1:14" s="675" customFormat="1" x14ac:dyDescent="0.2">
      <c r="A328" s="1542" t="s">
        <v>492</v>
      </c>
      <c r="B328" s="691" t="s">
        <v>1194</v>
      </c>
      <c r="C328" s="474"/>
      <c r="D328" s="474"/>
      <c r="E328" s="474">
        <v>100572</v>
      </c>
      <c r="F328" s="474"/>
      <c r="G328" s="474"/>
      <c r="H328" s="474"/>
      <c r="I328" s="474"/>
      <c r="J328" s="474"/>
      <c r="K328" s="1721">
        <f>SUM(C328:J328)</f>
        <v>100572</v>
      </c>
      <c r="L328" s="474">
        <v>105908</v>
      </c>
      <c r="M328" s="666"/>
      <c r="N328" s="666"/>
    </row>
    <row r="329" spans="1:14" s="675" customFormat="1" x14ac:dyDescent="0.2">
      <c r="A329" s="1542" t="s">
        <v>1195</v>
      </c>
      <c r="B329" s="691" t="s">
        <v>1196</v>
      </c>
      <c r="C329" s="474"/>
      <c r="D329" s="474"/>
      <c r="E329" s="474">
        <v>12210</v>
      </c>
      <c r="F329" s="474"/>
      <c r="G329" s="474"/>
      <c r="H329" s="474"/>
      <c r="I329" s="474"/>
      <c r="J329" s="474"/>
      <c r="K329" s="1721">
        <f>SUM(C329:J329)</f>
        <v>12210</v>
      </c>
      <c r="L329" s="474">
        <v>6874</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367676</v>
      </c>
      <c r="F330" s="1692">
        <f t="shared" si="25"/>
        <v>0</v>
      </c>
      <c r="G330" s="1692">
        <f t="shared" si="25"/>
        <v>0</v>
      </c>
      <c r="H330" s="1692">
        <f t="shared" si="25"/>
        <v>0</v>
      </c>
      <c r="I330" s="1692">
        <f t="shared" si="25"/>
        <v>0</v>
      </c>
      <c r="J330" s="1692">
        <f t="shared" si="25"/>
        <v>0</v>
      </c>
      <c r="K330" s="1692">
        <f>SUM(K319:K329)</f>
        <v>367676</v>
      </c>
      <c r="L330" s="1692">
        <f>SUM(L319:L329)</f>
        <v>454660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367676</v>
      </c>
      <c r="F342" s="1692">
        <f>SUM(F330)</f>
        <v>0</v>
      </c>
      <c r="G342" s="1692">
        <f>SUM(G330)</f>
        <v>0</v>
      </c>
      <c r="H342" s="1692">
        <f>SUM(H330,H334,H340)</f>
        <v>0</v>
      </c>
      <c r="I342" s="1692">
        <f>SUM(I330)</f>
        <v>0</v>
      </c>
      <c r="J342" s="1692">
        <f>SUM(J330)</f>
        <v>0</v>
      </c>
      <c r="K342" s="1692">
        <f>SUM(K330,K334,K340)</f>
        <v>367676</v>
      </c>
      <c r="L342" s="1699">
        <f>SUM(L330,L340,L341)</f>
        <v>454660</v>
      </c>
    </row>
    <row r="343" spans="1:14" ht="12.75" customHeight="1" thickTop="1" x14ac:dyDescent="0.2">
      <c r="A343" s="2189" t="s">
        <v>1053</v>
      </c>
      <c r="B343" s="2190"/>
      <c r="C343" s="617"/>
      <c r="D343" s="617"/>
      <c r="E343" s="617"/>
      <c r="F343" s="617"/>
      <c r="G343" s="617"/>
      <c r="H343" s="617"/>
      <c r="I343" s="617"/>
      <c r="J343" s="617"/>
      <c r="K343" s="1706">
        <f>'Revenues 9-14'!J275-'Expenditures 15-22'!K342</f>
        <v>25145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1023</v>
      </c>
      <c r="B345" s="2180"/>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1057577</v>
      </c>
      <c r="H348" s="466"/>
      <c r="I348" s="467"/>
      <c r="J348" s="467"/>
      <c r="K348" s="1693">
        <f>SUM(C348:J348)</f>
        <v>1057577</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1057577</v>
      </c>
      <c r="H350" s="1692">
        <f t="shared" si="26"/>
        <v>0</v>
      </c>
      <c r="I350" s="1692">
        <f t="shared" si="26"/>
        <v>0</v>
      </c>
      <c r="J350" s="1692">
        <f t="shared" si="26"/>
        <v>0</v>
      </c>
      <c r="K350" s="1692">
        <f t="shared" si="26"/>
        <v>1057577</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1057577</v>
      </c>
      <c r="H352" s="1692">
        <f t="shared" si="27"/>
        <v>0</v>
      </c>
      <c r="I352" s="1692">
        <f t="shared" si="27"/>
        <v>0</v>
      </c>
      <c r="J352" s="1692">
        <f t="shared" si="27"/>
        <v>0</v>
      </c>
      <c r="K352" s="1692">
        <f t="shared" si="27"/>
        <v>1057577</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1057577</v>
      </c>
      <c r="H367" s="1692">
        <f t="shared" si="28"/>
        <v>0</v>
      </c>
      <c r="I367" s="1692">
        <f t="shared" si="28"/>
        <v>0</v>
      </c>
      <c r="J367" s="1692">
        <f t="shared" si="28"/>
        <v>0</v>
      </c>
      <c r="K367" s="1692">
        <f t="shared" si="28"/>
        <v>1057577</v>
      </c>
      <c r="L367" s="1692">
        <f t="shared" si="28"/>
        <v>0</v>
      </c>
    </row>
    <row r="368" spans="1:14" ht="13.5" thickTop="1" x14ac:dyDescent="0.2">
      <c r="A368" s="2176" t="s">
        <v>1053</v>
      </c>
      <c r="B368" s="2177"/>
      <c r="C368" s="655"/>
      <c r="D368" s="655"/>
      <c r="E368" s="627"/>
      <c r="F368" s="627"/>
      <c r="G368" s="627"/>
      <c r="H368" s="627"/>
      <c r="I368" s="627"/>
      <c r="J368" s="624"/>
      <c r="K368" s="1693">
        <f>'Revenues 9-14'!K275-'Expenditures 15-22'!K367</f>
        <v>-1043152</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dcmitype/"/>
    <ds:schemaRef ds:uri="http://schemas.microsoft.com/sharepoint/v3"/>
    <ds:schemaRef ds:uri="http://purl.org/dc/elements/1.1/"/>
    <ds:schemaRef ds:uri="http://schemas.microsoft.com/office/2006/documentManagement/types"/>
    <ds:schemaRef ds:uri="d21dc803-237d-4c68-8692-8d731fd29118"/>
    <ds:schemaRef ds:uri="4d435f69-8686-490b-bd6d-b153bf22ab50"/>
    <ds:schemaRef ds:uri="http://purl.org/dc/terms/"/>
    <ds:schemaRef ds:uri="http://schemas.microsoft.com/office/infopath/2007/PartnerControls"/>
    <ds:schemaRef ds:uri="http://schemas.openxmlformats.org/package/2006/metadata/core-properties"/>
    <ds:schemaRef ds:uri="6ce3111e-7420-4802-b50a-75d4e9a0b98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2018-10-11T16:22:03Z</cp:lastPrinted>
  <dcterms:created xsi:type="dcterms:W3CDTF">2003-10-29T19:06:34Z</dcterms:created>
  <dcterms:modified xsi:type="dcterms:W3CDTF">2018-12-10T14:25:31Z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03.1</vt:lpwstr>
  </property>
</Properties>
</file>