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9" i="181" l="1"/>
  <c r="G8" i="5" l="1"/>
  <c r="G5"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E23" i="181"/>
  <c r="F23" i="181" s="1"/>
  <c r="G23" i="181" s="1"/>
  <c r="F22" i="181"/>
  <c r="G22" i="181" s="1"/>
  <c r="E22" i="18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3" i="170"/>
  <c r="C15" i="170" s="1"/>
  <c r="C18" i="170" s="1"/>
  <c r="C21" i="170" s="1"/>
  <c r="C24" i="170" s="1"/>
  <c r="C28" i="170" s="1"/>
  <c r="B2" i="177"/>
  <c r="A2" i="170" l="1"/>
  <c r="A2" i="17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71" i="36"/>
  <c r="D72" i="36"/>
  <c r="D79" i="36"/>
  <c r="B64" i="127"/>
  <c r="B65" i="127"/>
  <c r="E26" i="108"/>
  <c r="G26" i="108"/>
  <c r="D27" i="108"/>
  <c r="E27" i="108"/>
  <c r="G27" i="108"/>
  <c r="F31" i="108"/>
  <c r="F36" i="108"/>
  <c r="F37" i="108"/>
  <c r="G28" i="108"/>
  <c r="E29" i="108"/>
  <c r="G29" i="108"/>
  <c r="E30" i="108"/>
  <c r="G30" i="108"/>
  <c r="D31" i="108"/>
  <c r="D36" i="108"/>
  <c r="D37"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11" i="37"/>
  <c r="D22" i="37"/>
  <c r="J22" i="37"/>
  <c r="L22" i="37"/>
  <c r="D24" i="37"/>
  <c r="B4270" i="106" s="1"/>
  <c r="D4270" i="106" s="1"/>
  <c r="D4" i="7"/>
  <c r="B1760" i="106" s="1"/>
  <c r="D1760" i="106" s="1"/>
  <c r="D5" i="7"/>
  <c r="B1761" i="106" s="1"/>
  <c r="D1761" i="106" s="1"/>
  <c r="F128" i="34"/>
  <c r="B5847" i="106"/>
  <c r="D5847" i="106" s="1"/>
  <c r="B5752" i="106"/>
  <c r="D5752" i="106" s="1"/>
  <c r="B5599" i="106"/>
  <c r="D5599" i="106" s="1"/>
  <c r="H109" i="5"/>
  <c r="B6025" i="106" s="1"/>
  <c r="D6025" i="106" s="1"/>
  <c r="B1746" i="106"/>
  <c r="D1746" i="106" s="1"/>
  <c r="D12" i="7"/>
  <c r="B1769" i="106" s="1"/>
  <c r="D1769" i="106" s="1"/>
  <c r="D15" i="7"/>
  <c r="B1772" i="106" s="1"/>
  <c r="D1772" i="106" s="1"/>
  <c r="D7" i="7" l="1"/>
  <c r="B1763" i="106" s="1"/>
  <c r="D1763" i="106" s="1"/>
  <c r="K274" i="5"/>
  <c r="F111" i="34"/>
  <c r="F131" i="34"/>
  <c r="G5" i="4"/>
  <c r="B3409" i="106" s="1"/>
  <c r="D3409" i="106" s="1"/>
  <c r="I173" i="5"/>
  <c r="B4216" i="106" s="1"/>
  <c r="D4216" i="106" s="1"/>
  <c r="G172" i="5"/>
  <c r="G173" i="5" s="1"/>
  <c r="J352" i="29"/>
  <c r="J367" i="29" s="1"/>
  <c r="B7245" i="106" s="1"/>
  <c r="D7245" i="106" s="1"/>
  <c r="C342" i="29"/>
  <c r="B7216" i="106" s="1"/>
  <c r="D7216" i="106" s="1"/>
  <c r="J129" i="29"/>
  <c r="B7038" i="106" s="1"/>
  <c r="D7038" i="106" s="1"/>
  <c r="J77" i="4"/>
  <c r="B6262" i="106" s="1"/>
  <c r="D6262" i="106" s="1"/>
  <c r="H76" i="4"/>
  <c r="B3298" i="106" s="1"/>
  <c r="D3298" i="106" s="1"/>
  <c r="L13" i="11"/>
  <c r="B2060" i="106" s="1"/>
  <c r="D2060" i="106" s="1"/>
  <c r="B5770" i="106"/>
  <c r="D5770" i="106" s="1"/>
  <c r="J274" i="5"/>
  <c r="B7054" i="106" s="1"/>
  <c r="D7054" i="106" s="1"/>
  <c r="D17" i="7"/>
  <c r="B4104" i="106" s="1"/>
  <c r="D4104" i="106" s="1"/>
  <c r="F106" i="34"/>
  <c r="F127" i="34"/>
  <c r="F136" i="34"/>
  <c r="I274" i="5"/>
  <c r="G109" i="5"/>
  <c r="B6024" i="106" s="1"/>
  <c r="D6024" i="106" s="1"/>
  <c r="D11" i="7"/>
  <c r="B1768" i="106" s="1"/>
  <c r="D1768" i="106" s="1"/>
  <c r="H173" i="5"/>
  <c r="F130" i="34"/>
  <c r="D9" i="7"/>
  <c r="B1767" i="106" s="1"/>
  <c r="D1767" i="106" s="1"/>
  <c r="K173" i="5"/>
  <c r="K6" i="4" s="1"/>
  <c r="B3570" i="106" s="1"/>
  <c r="D3570" i="106" s="1"/>
  <c r="F172" i="5"/>
  <c r="B5644" i="106" s="1"/>
  <c r="D5644" i="106" s="1"/>
  <c r="L367" i="29"/>
  <c r="B7235" i="106"/>
  <c r="D7235" i="106" s="1"/>
  <c r="B4268" i="106"/>
  <c r="D4268" i="106" s="1"/>
  <c r="H365" i="29"/>
  <c r="K76" i="4"/>
  <c r="B3586" i="106" s="1"/>
  <c r="D3586" i="106" s="1"/>
  <c r="F21" i="8"/>
  <c r="K24" i="12"/>
  <c r="B3649" i="106"/>
  <c r="D3649" i="106" s="1"/>
  <c r="G367" i="29"/>
  <c r="K350" i="29"/>
  <c r="B3621" i="106"/>
  <c r="D3621" i="106" s="1"/>
  <c r="C367" i="29"/>
  <c r="G39" i="108"/>
  <c r="D54" i="36"/>
  <c r="L5" i="11"/>
  <c r="B2056" i="106" s="1"/>
  <c r="D2056" i="106" s="1"/>
  <c r="D69" i="36"/>
  <c r="H4" i="4"/>
  <c r="B2655" i="106" s="1"/>
  <c r="D2655" i="106" s="1"/>
  <c r="F71" i="34"/>
  <c r="B1410" i="106"/>
  <c r="D1410" i="106" s="1"/>
  <c r="G4" i="4"/>
  <c r="B2603" i="106" s="1"/>
  <c r="D2603" i="106" s="1"/>
  <c r="B1329" i="106"/>
  <c r="D1329" i="106" s="1"/>
  <c r="F61" i="34"/>
  <c r="I129" i="29"/>
  <c r="B7037" i="106" s="1"/>
  <c r="D7037" i="106" s="1"/>
  <c r="C129" i="29"/>
  <c r="C151" i="29" s="1"/>
  <c r="B1226" i="106" s="1"/>
  <c r="D1226" i="106" s="1"/>
  <c r="D109" i="5"/>
  <c r="G35" i="108"/>
  <c r="E35" i="108"/>
  <c r="E28" i="108"/>
  <c r="F28" i="108"/>
  <c r="B1126" i="106"/>
  <c r="D1126" i="106" s="1"/>
  <c r="D26" i="108"/>
  <c r="D41" i="108" s="1"/>
  <c r="E43" i="108" s="1"/>
  <c r="F26" i="108"/>
  <c r="C172" i="5"/>
  <c r="C109" i="5"/>
  <c r="B5121" i="106" s="1"/>
  <c r="D5121" i="106" s="1"/>
  <c r="B5066" i="106"/>
  <c r="D5066" i="106" s="1"/>
  <c r="D13" i="7"/>
  <c r="B3726" i="106" s="1"/>
  <c r="D3726" i="106" s="1"/>
  <c r="F19" i="7"/>
  <c r="B1807" i="106" s="1"/>
  <c r="D1807" i="106" s="1"/>
  <c r="L312" i="29"/>
  <c r="H29" i="118"/>
  <c r="K28" i="118" s="1"/>
  <c r="O27" i="118" s="1"/>
  <c r="O29" i="118" s="1"/>
  <c r="H33" i="118"/>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5778" i="106" l="1"/>
  <c r="D5778" i="106" s="1"/>
  <c r="G6" i="4"/>
  <c r="B2604" i="106" s="1"/>
  <c r="D2604" i="106" s="1"/>
  <c r="D7254" i="106"/>
  <c r="D7256" i="106"/>
  <c r="D7251" i="106"/>
  <c r="D7252" i="106"/>
  <c r="J16" i="4"/>
  <c r="B6226" i="106" s="1"/>
  <c r="D6226" i="106" s="1"/>
  <c r="H367" i="29"/>
  <c r="B3660" i="106" s="1"/>
  <c r="D3660" i="106" s="1"/>
  <c r="B7242" i="106"/>
  <c r="D7242" i="106" s="1"/>
  <c r="B5906" i="106"/>
  <c r="D5906" i="106" s="1"/>
  <c r="H6" i="4"/>
  <c r="B7733" i="106"/>
  <c r="D7733" i="106" s="1"/>
  <c r="K26" i="12"/>
  <c r="B7743" i="106" s="1"/>
  <c r="D7743" i="106" s="1"/>
  <c r="B3670" i="106"/>
  <c r="D3670" i="106" s="1"/>
  <c r="K352" i="29"/>
  <c r="B1879" i="106"/>
  <c r="D1879" i="106" s="1"/>
  <c r="H22" i="37"/>
  <c r="L16" i="11"/>
  <c r="B2061" i="106" s="1"/>
  <c r="D2061" i="106" s="1"/>
  <c r="D44" i="36"/>
  <c r="F275" i="5"/>
  <c r="B5720" i="106" s="1"/>
  <c r="D5720" i="106" s="1"/>
  <c r="B1317" i="106"/>
  <c r="D1317" i="106" s="1"/>
  <c r="I151" i="29"/>
  <c r="F59" i="34" s="1"/>
  <c r="B5356" i="106"/>
  <c r="D5356" i="106" s="1"/>
  <c r="D4" i="4"/>
  <c r="B2564" i="106" s="1"/>
  <c r="D2564" i="106" s="1"/>
  <c r="F41" i="108"/>
  <c r="G43" i="108" s="1"/>
  <c r="C114" i="29"/>
  <c r="B757" i="106" s="1"/>
  <c r="D757" i="106" s="1"/>
  <c r="B5214" i="106"/>
  <c r="D521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J8" i="4" l="1"/>
  <c r="B6223" i="106" s="1"/>
  <c r="D6223" i="106" s="1"/>
  <c r="K13" i="4"/>
  <c r="B3572" i="106" s="1"/>
  <c r="D3572" i="106" s="1"/>
  <c r="B3672" i="106"/>
  <c r="D3672" i="106" s="1"/>
  <c r="B2656" i="106"/>
  <c r="D2656" i="106" s="1"/>
  <c r="H8" i="4"/>
  <c r="K367" i="29"/>
  <c r="F8" i="4"/>
  <c r="B2595" i="106" s="1"/>
  <c r="D2595" i="106" s="1"/>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D8" i="4"/>
  <c r="B2567" i="106"/>
  <c r="D2567" i="106" s="1"/>
  <c r="H10" i="4" l="1"/>
  <c r="B4127" i="106" s="1"/>
  <c r="D4127" i="106" s="1"/>
  <c r="B2658" i="106"/>
  <c r="D2658" i="106" s="1"/>
  <c r="J20" i="4"/>
  <c r="F76" i="34"/>
  <c r="F10" i="4"/>
  <c r="B4125" i="106" s="1"/>
  <c r="D4125"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<sst xmlns="http://schemas.openxmlformats.org/spreadsheetml/2006/main" count="5048" uniqueCount="2116">
  <si>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</si>
  <si>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</si>
  <si>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</si>
  <si>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</si>
  <si>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</si>
  <si>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</si>
  <si>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</si>
  <si>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</si>
  <si>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</si>
  <si>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</si>
  <si>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</si>
  <si>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</si>
  <si>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</si>
  <si>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</si>
  <si>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</si>
  <si>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</si>
  <si>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</si>
  <si>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</si>
  <si>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</si>
  <si>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</si>
  <si>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</si>
  <si>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</si>
  <si>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</si>
  <si>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</si>
  <si>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</si>
  <si>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</si>
  <si>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</si>
  <si>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</si>
  <si>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</si>
  <si>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</si>
  <si>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</si>
  <si>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</si>
  <si>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</si>
  <si>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</si>
  <si>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</si>
  <si>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</si>
  <si>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</si>
  <si>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</si>
  <si>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</si>
  <si>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</si>
  <si>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</si>
  <si>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</si>
  <si>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</si>
  <si>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</si>
  <si>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</si>
  <si>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</si>
  <si>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</si>
  <si>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</si>
  <si>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</si>
  <si>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</si>
  <si>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</si>
  <si>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</si>
  <si>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</si>
  <si>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</si>
  <si>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</si>
  <si>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</si>
  <si>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</si>
  <si>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</si>
  <si>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</si>
  <si>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</si>
  <si>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</si>
  <si>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</si>
  <si>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</si>
  <si>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</si>
  <si>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</si>
  <si>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</si>
  <si>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</si>
  <si>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</si>
  <si>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</si>
  <si>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</si>
  <si>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</si>
  <si>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</si>
  <si>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</si>
  <si>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</si>
  <si>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</si>
  <si>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</si>
  <si>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</si>
  <si>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</si>
  <si>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</si>
  <si>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</si>
  <si>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</si>
  <si>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</si>
  <si>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</si>
  <si>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</si>
  <si>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</si>
  <si>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</si>
  <si>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</si>
  <si>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</si>
  <si>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</si>
  <si>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</si>
  <si>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</si>
  <si>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</si>
  <si>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</si>
  <si>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</si>
  <si>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</si>
  <si>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</si>
  <si>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</si>
  <si>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</si>
  <si>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</si>
  <si>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</si>
  <si>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</si>
  <si>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</si>
  <si>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</si>
  <si>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</si>
  <si>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</si>
  <si>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</si>
  <si>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</si>
  <si>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</si>
  <si>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</si>
  <si>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</si>
  <si>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</si>
  <si>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</si>
  <si>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</si>
  <si>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</si>
  <si>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</si>
  <si>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</si>
  <si>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</si>
  <si>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</si>
  <si>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</si>
  <si>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</si>
  <si>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</si>
  <si>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</si>
  <si>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</si>
  <si>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</si>
  <si>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</si>
  <si>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</si>
  <si>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</si>
  <si>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</si>
  <si>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</si>
  <si>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</si>
  <si>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</si>
  <si>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</si>
  <si>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</si>
  <si>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</si>
  <si>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</si>
  <si>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</si>
  <si>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</si>
  <si>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</si>
  <si>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</si>
  <si>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</si>
  <si>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</si>
  <si>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</si>
  <si>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</si>
  <si>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</si>
  <si>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</si>
  <si>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</si>
  <si>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</si>
  <si>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</si>
  <si>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</si>
  <si>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</si>
  <si>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</si>
  <si>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</si>
  <si>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</si>
  <si>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</si>
  <si>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</si>
  <si>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</si>
  <si>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</si>
  <si>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</si>
  <si>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</si>
  <si>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</si>
  <si>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</si>
  <si>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</si>
  <si>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</si>
  <si>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</si>
  <si>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</si>
  <si>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</si>
  <si>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</si>
  <si>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</si>
  <si>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</si>
  <si>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</si>
  <si>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</si>
  <si>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</si>
  <si>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</si>
  <si>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</si>
  <si>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</si>
  <si>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</si>
  <si>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</si>
  <si>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</si>
  <si>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</si>
  <si>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</si>
  <si>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</si>
  <si>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</si>
  <si>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</si>
  <si>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</si>
  <si>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</si>
  <si>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</si>
  <si>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</si>
  <si>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</si>
  <si>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</si>
  <si>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</si>
  <si>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</si>
  <si>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</si>
  <si>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</si>
  <si>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</si>
  <si>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</si>
  <si>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</si>
  <si>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</si>
  <si>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</si>
  <si>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</si>
  <si>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</si>
  <si>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</si>
  <si>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</si>
  <si>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</si>
  <si>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</si>
  <si>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</si>
  <si>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</si>
  <si>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</si>
  <si>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</si>
  <si>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</si>
  <si>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</si>
  <si>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</si>
  <si>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</si>
  <si>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</si>
  <si>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</si>
  <si>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</si>
  <si>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</si>
  <si>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</si>
  <si>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</si>
  <si>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</si>
  <si>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</si>
  <si>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</si>
  <si>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</si>
  <si>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</si>
  <si>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</si>
  <si>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</si>
  <si>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</si>
  <si>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</si>
  <si>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</si>
  <si>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</si>
  <si>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</si>
  <si>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</si>
  <si>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</si>
  <si>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</si>
  <si>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</si>
  <si>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</si>
  <si>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</si>
  <si>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</si>
  <si>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</si>
  <si>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</si>
  <si>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</si>
  <si>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</si>
  <si>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</si>
  <si>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</si>
  <si>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</si>
  <si>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</si>
  <si>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</si>
  <si>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</si>
  <si>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</si>
  <si>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</si>
  <si>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</si>
  <si>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</si>
  <si>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</si>
  <si>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</si>
  <si>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</si>
  <si>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</si>
  <si>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</si>
  <si>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</si>
  <si>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</si>
  <si>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</si>
  <si>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</si>
  <si>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</si>
  <si>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</si>
  <si>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</si>
  <si>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</si>
  <si>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</si>
  <si>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</si>
  <si>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</si>
  <si>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</si>
  <si>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</si>
  <si>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</si>
  <si>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</si>
  <si>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</si>
  <si>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</si>
  <si>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</si>
  <si>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</si>
  <si>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</si>
  <si>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</si>
  <si>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</si>
  <si>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</si>
  <si>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</si>
  <si>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</si>
  <si>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</si>
  <si>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</si>
  <si>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</si>
  <si>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</si>
  <si>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</si>
  <si>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</si>
  <si>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</si>
  <si>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</si>
  <si>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</si>
  <si>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</si>
  <si>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</si>
  <si>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</si>
  <si>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</si>
  <si>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</si>
  <si>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</si>
  <si>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</si>
  <si>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</si>
  <si>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</si>
  <si>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</si>
  <si>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</si>
  <si>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</si>
  <si>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</si>
  <si>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</si>
  <si>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</si>
  <si>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</si>
  <si>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</si>
  <si>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</si>
  <si>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</si>
  <si>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</si>
  <si>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</si>
  <si>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</si>
  <si>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</si>
  <si>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</si>
  <si>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</si>
  <si>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</si>
  <si>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</si>
  <si>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</si>
  <si>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</si>
  <si>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</si>
  <si>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</si>
  <si>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</si>
  <si>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</si>
  <si>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</si>
  <si>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</si>
  <si>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</si>
  <si>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</si>
  <si>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</si>
  <si>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</si>
  <si>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</si>
  <si>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</si>
  <si>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</si>
  <si>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</si>
  <si>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</si>
  <si>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</si>
  <si>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</si>
  <si>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</si>
  <si>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</si>
  <si>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</si>
  <si>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</si>
  <si>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</si>
  <si>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</si>
  <si>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</si>
  <si>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</si>
  <si>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</si>
  <si>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</si>
  <si>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</si>
  <si>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</si>
  <si>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</si>
  <si>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</si>
  <si>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</si>
  <si>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</si>
  <si>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</si>
  <si>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</si>
  <si>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</si>
  <si>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</si>
  <si>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</si>
  <si>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</si>
  <si>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</si>
  <si>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</si>
  <si>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</si>
  <si>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</si>
  <si>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</si>
  <si>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</si>
  <si>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</si>
  <si>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</si>
  <si>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</si>
  <si>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</si>
  <si>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</si>
  <si>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</si>
  <si>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</si>
  <si>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</si>
  <si>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</si>
  <si>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</si>
  <si>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</si>
  <si>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</si>
  <si>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</si>
  <si>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</si>
  <si>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</si>
  <si>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</si>
  <si>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</si>
  <si>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</si>
  <si>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</si>
  <si>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</si>
  <si>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</si>
  <si>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</si>
  <si>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</si>
  <si>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</si>
  <si>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</si>
  <si>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</si>
  <si>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</si>
  <si>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</si>
  <si>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</si>
  <si>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</si>
  <si>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</si>
  <si>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</si>
  <si>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</si>
  <si>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</si>
  <si>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</si>
  <si>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</si>
  <si>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</si>
  <si>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</si>
  <si>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</si>
  <si>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</si>
  <si>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</si>
  <si>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</si>
  <si>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</si>
  <si>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</si>
  <si>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</si>
  <si>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</si>
  <si>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</si>
  <si>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</si>
  <si>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</si>
  <si>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</si>
  <si>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</si>
  <si>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</si>
  <si>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</si>
  <si>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</si>
  <si>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</si>
  <si>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</si>
  <si>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</si>
  <si>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</si>
  <si>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</si>
  <si>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</si>
  <si>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</si>
  <si>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</si>
  <si>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</si>
  <si>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</si>
  <si>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</si>
  <si>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</si>
  <si>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</si>
  <si>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</si>
  <si>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</si>
  <si>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</si>
  <si>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</si>
  <si>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</si>
  <si>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</si>
  <si>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</si>
  <si>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</si>
  <si>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</si>
  <si>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</si>
  <si>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</si>
  <si>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</si>
  <si>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</si>
  <si>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</si>
  <si>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</si>
  <si>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</si>
  <si>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</si>
  <si>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</si>
  <si>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</si>
  <si>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</si>
  <si>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</si>
  <si>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</si>
  <si>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</si>
  <si>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</si>
  <si>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</si>
  <si>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</si>
  <si>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</si>
  <si>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</si>
  <si>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</si>
  <si>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</si>
  <si>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</si>
  <si>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</si>
  <si>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</si>
  <si>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</si>
  <si>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</si>
  <si>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</si>
  <si>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</si>
  <si>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</si>
  <si>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</si>
  <si>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</si>
  <si>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</si>
  <si>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</si>
  <si>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</si>
  <si>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</si>
  <si>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</si>
  <si>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</si>
  <si>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</si>
  <si>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</si>
  <si>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</si>
  <si>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</si>
  <si>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</si>
  <si>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</si>
  <si>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</si>
  <si>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</si>
  <si>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</si>
  <si>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</si>
  <si>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</si>
  <si>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</si>
  <si>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</si>
  <si>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</si>
  <si>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</si>
  <si>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</si>
  <si>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</si>
  <si>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</si>
  <si>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</si>
  <si>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</si>
  <si>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</si>
  <si>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</si>
  <si>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</si>
  <si>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</si>
  <si>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</si>
  <si>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</si>
  <si>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</si>
  <si>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</si>
  <si>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</si>
  <si>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</si>
  <si>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</si>
  <si>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</si>
  <si>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</si>
  <si>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</si>
  <si>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</si>
  <si>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</si>
  <si>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</si>
  <si>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</si>
  <si>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</si>
  <si>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</si>
  <si>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</si>
  <si>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</si>
  <si>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</si>
  <si>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</si>
  <si>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</si>
  <si>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</si>
  <si>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</si>
  <si>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</si>
  <si>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</si>
  <si>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</si>
  <si>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</si>
  <si>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</si>
  <si>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</si>
  <si>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</si>
  <si>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</si>
  <si>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</si>
  <si>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</si>
  <si>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</si>
  <si>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</si>
  <si>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</si>
  <si>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</si>
  <si>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</si>
  <si>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</si>
  <si>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</si>
  <si>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</si>
  <si>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</si>
  <si>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</si>
  <si>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</si>
  <si>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</si>
  <si>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</si>
  <si>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</si>
  <si>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</si>
  <si>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</si>
  <si>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</si>
  <si>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</si>
  <si>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</si>
  <si>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</si>
  <si>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</si>
  <si>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</si>
  <si>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</si>
  <si>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</si>
  <si>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</si>
  <si>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</si>
  <si>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</si>
  <si>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</si>
  <si>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</si>
  <si>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</si>
  <si>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</si>
  <si>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</si>
  <si>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</si>
  <si>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</si>
  <si>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</si>
  <si>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</si>
  <si>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</si>
  <si>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</si>
  <si>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</si>
  <si>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</si>
  <si>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</si>
  <si>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</si>
  <si>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</si>
  <si>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</si>
  <si>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</si>
  <si>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</si>
  <si>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</si>
  <si>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</si>
  <si>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</si>
  <si>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</si>
  <si>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</si>
  <si>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</si>
  <si>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</si>
  <si>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</si>
  <si>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</si>
  <si>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</si>
  <si>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</si>
  <si>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</si>
  <si>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</si>
  <si>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</si>
  <si>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</si>
  <si>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</si>
  <si>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</si>
  <si>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</si>
  <si>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</si>
  <si>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</si>
  <si>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</si>
  <si>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</si>
  <si>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</si>
  <si>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</si>
  <si>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</si>
  <si>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</si>
  <si>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</si>
  <si>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</si>
  <si>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</si>
  <si>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</si>
  <si>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</si>
  <si>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</si>
  <si>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</si>
  <si>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</si>
  <si>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</si>
  <si>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</si>
  <si>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</si>
  <si>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</si>
  <si>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</si>
  <si>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</si>
  <si>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</si>
  <si>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</si>
  <si>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</si>
  <si>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</si>
  <si>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</si>
  <si>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</si>
  <si>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</si>
  <si>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</si>
  <si>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</si>
  <si>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</si>
  <si>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</si>
  <si>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</si>
  <si>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</si>
  <si>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</si>
  <si>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</si>
  <si>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</si>
  <si>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</si>
  <si>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</si>
  <si>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</si>
  <si>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</si>
  <si>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</si>
  <si>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</si>
  <si>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</si>
  <si>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</si>
  <si>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</si>
  <si>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</si>
  <si>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</si>
  <si>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</si>
  <si>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</si>
  <si>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</si>
  <si>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</si>
  <si>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</si>
  <si>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</si>
  <si>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</si>
  <si>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</si>
  <si>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</si>
  <si>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</si>
  <si>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</si>
  <si>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</si>
  <si>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</si>
  <si>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</si>
  <si>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</si>
  <si>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</si>
  <si>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</si>
  <si>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</si>
  <si>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</si>
  <si>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</si>
  <si>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</si>
  <si>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</si>
  <si>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</si>
  <si>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</si>
  <si>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</si>
  <si>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</si>
  <si>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</si>
  <si>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</si>
  <si>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</si>
  <si>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</si>
  <si>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</si>
  <si>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</si>
  <si>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</si>
  <si>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</si>
  <si>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</si>
  <si>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</si>
  <si>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</si>
  <si>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</si>
  <si>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</si>
  <si>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</si>
  <si>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</si>
  <si>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</si>
  <si>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</si>
  <si>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</si>
  <si>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</si>
  <si>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</si>
  <si>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</si>
  <si>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</si>
  <si>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</si>
  <si>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</si>
  <si>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</si>
  <si>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</si>
  <si>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</si>
  <si>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</si>
  <si>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</si>
  <si>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</si>
  <si>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</si>
  <si>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</si>
  <si>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</si>
  <si>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</si>
  <si>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</si>
  <si>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</si>
  <si>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</si>
  <si>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</si>
  <si>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</si>
  <si>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</si>
  <si>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</si>
  <si>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</si>
  <si>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</si>
  <si>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</si>
  <si>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</si>
  <si>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</si>
  <si>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</si>
  <si>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</si>
  <si>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</si>
  <si>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</si>
  <si>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</si>
  <si>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</si>
  <si>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</si>
  <si>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</si>
  <si>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</si>
  <si>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</si>
  <si>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</si>
  <si>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</si>
  <si>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</si>
  <si>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</si>
  <si>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</si>
  <si>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</si>
  <si>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</si>
  <si>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</si>
  <si>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</si>
  <si>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</si>
  <si>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</si>
  <si>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</si>
  <si>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</si>
  <si>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</si>
  <si>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</si>
  <si>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</si>
  <si>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</si>
  <si>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</si>
  <si>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</si>
  <si>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</si>
  <si>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</si>
  <si>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</si>
  <si>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</si>
  <si>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</si>
  <si>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</si>
  <si>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</si>
  <si>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</si>
  <si>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</si>
  <si>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</si>
  <si>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</si>
  <si>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</si>
  <si>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</si>
  <si>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</si>
  <si>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</si>
  <si>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</si>
  <si>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</si>
  <si>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</si>
  <si>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</si>
  <si>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</si>
  <si>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</si>
  <si>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</si>
  <si>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</si>
  <si>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</si>
  <si>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</si>
  <si>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</si>
  <si>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</si>
  <si>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</si>
  <si>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</si>
  <si>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</si>
  <si>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</si>
  <si>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</si>
  <si>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</si>
  <si>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</si>
  <si>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</si>
  <si>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</si>
  <si>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</si>
  <si>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</si>
  <si>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</si>
  <si>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</si>
  <si>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</si>
  <si>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</si>
  <si>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</si>
  <si>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</si>
  <si>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</si>
  <si>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</si>
  <si>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</si>
  <si>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</si>
  <si>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</si>
  <si>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</si>
  <si>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</si>
  <si>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</si>
  <si>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</si>
  <si>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</si>
  <si>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</si>
  <si>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</si>
  <si>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</si>
  <si>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</si>
  <si>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</si>
  <si>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</si>
  <si>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</si>
  <si>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</si>
  <si>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</si>
  <si>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</si>
  <si>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</si>
  <si>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</si>
  <si>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</si>
  <si>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</si>
  <si>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</si>
  <si>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</si>
  <si>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</si>
  <si>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</si>
  <si>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</si>
  <si>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</si>
  <si>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</si>
  <si>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</si>
  <si>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</si>
  <si>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</si>
  <si>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</si>
  <si>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</si>
  <si>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</si>
  <si>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</si>
  <si>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</si>
  <si>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</si>
  <si>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</si>
  <si>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</si>
  <si>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</si>
  <si>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</si>
  <si>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</si>
  <si>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</si>
  <si>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</si>
  <si>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</si>
  <si>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</si>
  <si>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</si>
  <si>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</si>
  <si>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</si>
  <si>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</si>
  <si>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</si>
  <si>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</si>
  <si>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</si>
  <si>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</si>
  <si>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</si>
  <si>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</si>
  <si>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</si>
  <si>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</si>
  <si>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</si>
  <si>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</si>
  <si>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</si>
  <si>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</si>
  <si>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</si>
  <si>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</si>
  <si>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</si>
  <si>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</si>
  <si>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</si>
  <si>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</si>
  <si>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</si>
  <si>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</si>
  <si>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</si>
  <si>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</si>
  <si>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</si>
  <si>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</si>
  <si>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</si>
  <si>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</si>
  <si>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</si>
  <si>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</si>
  <si>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</si>
  <si>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</si>
  <si>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</si>
  <si>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</si>
  <si>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</si>
  <si>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</si>
  <si>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</si>
  <si>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</si>
  <si>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</si>
  <si>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</si>
  <si>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</si>
  <si>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</si>
  <si>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</si>
  <si>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</si>
  <si>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</si>
  <si>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</si>
  <si>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</si>
  <si>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</si>
  <si>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</si>
  <si>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</si>
  <si>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</si>
  <si>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</si>
  <si>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</si>
  <si>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</si>
  <si>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</si>
  <si>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</si>
  <si>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</si>
  <si>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</si>
  <si>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</si>
  <si>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</si>
  <si>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</si>
  <si>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</si>
  <si>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</si>
  <si>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</si>
  <si>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</si>
  <si>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</si>
  <si>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</si>
  <si>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</si>
  <si>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</si>
  <si>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</si>
  <si>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</si>
  <si>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</si>
  <si>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</si>
  <si>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</si>
  <si>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</si>
  <si>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</si>
  <si>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</si>
  <si>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</si>
  <si>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</si>
  <si>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</si>
  <si>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</si>
  <si>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</si>
  <si>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</si>
  <si>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</si>
  <si>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</si>
  <si>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</si>
  <si>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</si>
  <si>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</si>
  <si>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</si>
  <si>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</si>
  <si>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</si>
  <si>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</si>
  <si>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</si>
  <si>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</si>
  <si>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</si>
  <si>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</si>
  <si>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</si>
  <si>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</si>
  <si>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</si>
  <si>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</si>
  <si>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</si>
  <si>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</si>
  <si>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</si>
  <si>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</si>
  <si>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</si>
  <si>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</si>
  <si>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</si>
  <si>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</si>
  <si>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</si>
  <si>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</si>
  <si>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</si>
  <si>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</si>
  <si>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</si>
  <si>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</si>
  <si>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</si>
  <si>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</si>
  <si>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</si>
  <si>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</si>
  <si>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</si>
  <si>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</si>
  <si>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</si>
  <si>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</si>
  <si>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</si>
  <si>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</si>
  <si>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</si>
  <si>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</si>
  <si>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</si>
  <si>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</si>
  <si>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</si>
  <si>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</si>
  <si>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</si>
  <si>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</si>
  <si>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</si>
  <si>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</si>
  <si>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</si>
  <si>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</si>
  <si>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</si>
  <si>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</si>
  <si>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</si>
  <si>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</si>
  <si>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</si>
  <si>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</si>
  <si>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</si>
  <si>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</si>
  <si>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</si>
  <si>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</si>
  <si>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</si>
  <si>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</si>
  <si>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</si>
  <si>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</si>
  <si>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</si>
  <si>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</si>
  <si>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</si>
  <si>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</si>
  <si>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</si>
  <si>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</si>
  <si>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</si>
  <si>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</si>
  <si>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</si>
  <si>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</si>
  <si>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</si>
  <si>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</si>
  <si>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</si>
  <si>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</si>
  <si>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</si>
  <si>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</si>
  <si>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</si>
  <si>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</si>
  <si>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</si>
  <si>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</si>
  <si>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</si>
  <si>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</si>
  <si>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</si>
  <si>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</si>
  <si>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</si>
  <si>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</si>
  <si>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</si>
  <si>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</si>
  <si>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</si>
  <si>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</si>
  <si>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</si>
  <si>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</si>
  <si>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</si>
  <si>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</si>
  <si>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</si>
  <si>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</si>
  <si>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</si>
  <si>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</si>
  <si>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</si>
  <si>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</si>
  <si>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</si>
  <si>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</si>
  <si>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</si>
  <si>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</si>
  <si>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</si>
  <si>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</si>
  <si>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</si>
  <si>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</si>
  <si>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</si>
  <si>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</si>
  <si>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</si>
  <si>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</si>
  <si>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</si>
  <si>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</si>
  <si>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</si>
  <si>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</si>
  <si>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</si>
  <si>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</si>
  <si>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</si>
  <si>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</si>
  <si>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</si>
  <si>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</si>
  <si>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</si>
  <si>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</si>
  <si>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</si>
  <si>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</si>
  <si>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</si>
  <si>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</si>
  <si>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</si>
  <si>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</si>
  <si>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</si>
  <si>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</si>
  <si>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</si>
  <si>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</si>
  <si>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</si>
  <si>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</si>
  <si>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</si>
  <si>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</si>
  <si>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</si>
  <si>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</si>
  <si>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</si>
  <si>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</si>
  <si>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</si>
  <si>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</si>
  <si>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</si>
  <si>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</si>
  <si>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</si>
  <si>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</si>
  <si>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</si>
  <si>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</si>
  <si>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</si>
  <si>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</si>
  <si>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</si>
  <si>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</si>
  <si>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</si>
  <si>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</si>
  <si>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</si>
  <si>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</si>
  <si>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</si>
  <si>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</si>
  <si>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</si>
  <si>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</si>
  <si>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</si>
  <si>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</si>
  <si>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</si>
  <si>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</si>
  <si>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</si>
  <si>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</si>
  <si>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</si>
  <si>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</si>
  <si>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</si>
  <si>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</si>
  <si>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</si>
  <si>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</si>
  <si>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</si>
  <si>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</si>
  <si>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</si>
  <si>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</si>
  <si>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</si>
  <si>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</si>
  <si>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</si>
  <si>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</si>
  <si>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</si>
  <si>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</si>
  <si>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</si>
  <si>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</si>
  <si>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</si>
  <si>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</si>
  <si>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</si>
  <si>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</si>
  <si>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</si>
  <si>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</si>
  <si>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</si>
  <si>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</si>
  <si>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</si>
  <si>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</si>
  <si>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</si>
  <si>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</si>
  <si>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</si>
  <si>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</si>
  <si>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</si>
  <si>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</si>
  <si>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</si>
  <si>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</si>
  <si>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</si>
  <si>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</si>
  <si>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</si>
  <si>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</si>
  <si>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</si>
  <si>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</si>
  <si>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</si>
  <si>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</si>
  <si>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</si>
  <si>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</si>
  <si>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</si>
  <si>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</si>
  <si>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</si>
  <si>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</si>
  <si>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</si>
  <si>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</si>
  <si>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</si>
  <si>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</si>
  <si>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</si>
  <si>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</si>
  <si>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</si>
  <si>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</si>
  <si>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</si>
  <si>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</si>
  <si>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</si>
  <si>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</si>
  <si>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</si>
  <si>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</si>
  <si>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</si>
  <si>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</si>
  <si>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</si>
  <si>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</si>
  <si>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</si>
  <si>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</si>
  <si>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</si>
  <si>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</si>
  <si>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</si>
  <si>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</si>
  <si>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</si>
  <si>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</si>
  <si>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</si>
  <si>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</si>
  <si>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</si>
  <si>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</si>
  <si>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</si>
  <si>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</si>
  <si>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</si>
  <si>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</si>
  <si>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</si>
  <si>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</si>
  <si>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</si>
  <si>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</si>
  <si>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</si>
  <si>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</si>
  <si>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</si>
  <si>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</si>
  <si>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</si>
  <si>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</si>
  <si>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</si>
  <si>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</si>
  <si>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</si>
  <si>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</si>
  <si>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</si>
  <si>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</si>
  <si>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</si>
  <si>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</si>
  <si>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</si>
  <si>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</si>
  <si>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</si>
  <si>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</si>
  <si>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</si>
  <si>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</si>
  <si>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</si>
  <si>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</si>
  <si>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</si>
  <si>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</si>
  <si>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</si>
  <si>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</si>
  <si>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</si>
  <si>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</si>
  <si>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</si>
  <si>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</si>
  <si>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</si>
  <si>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</si>
  <si>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</si>
  <si>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</si>
  <si>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</si>
  <si>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</si>
  <si>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</si>
  <si>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</si>
  <si>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</si>
  <si>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</si>
  <si>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</si>
  <si>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</si>
  <si>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</si>
  <si>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</si>
  <si>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</si>
  <si>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</si>
  <si>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</si>
  <si>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</si>
  <si>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</si>
  <si>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</si>
  <si>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</si>
  <si>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</si>
  <si>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</si>
  <si>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</si>
  <si>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</si>
  <si>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</si>
  <si>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</si>
  <si>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</si>
  <si>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</si>
  <si>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</si>
  <si>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</si>
  <si>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</si>
  <si>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</si>
  <si>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</si>
  <si>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</si>
  <si>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</si>
  <si>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</si>
  <si>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</si>
  <si>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</si>
  <si>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</si>
  <si>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</si>
  <si>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</si>
  <si>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</si>
  <si>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</si>
  <si>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</si>
  <si>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</si>
  <si>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</si>
  <si>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</si>
  <si>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</si>
  <si>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</si>
  <si>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</si>
  <si>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</si>
  <si>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</si>
  <si>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</si>
  <si>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</si>
  <si>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</si>
  <si>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</si>
  <si>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</si>
  <si>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</si>
  <si>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</si>
  <si>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</si>
  <si>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</si>
  <si>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</si>
  <si>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</si>
  <si>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</si>
  <si>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</si>
  <si>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</si>
  <si>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</si>
  <si>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</si>
  <si>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</si>
  <si>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</si>
  <si>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</si>
  <si>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</si>
  <si>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</si>
  <si>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</si>
  <si>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</si>
  <si>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</si>
  <si>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</si>
  <si>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</si>
  <si>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</si>
  <si>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</si>
  <si>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</si>
  <si>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</si>
  <si>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</si>
  <si>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</si>
  <si>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</si>
  <si>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</si>
  <si>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</si>
  <si>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</si>
  <si>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</si>
  <si>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</si>
  <si>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</si>
  <si>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</si>
  <si>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</si>
  <si>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</si>
  <si>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</si>
  <si>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</si>
  <si>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</si>
  <si>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</si>
  <si>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</si>
  <si>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</si>
  <si>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</si>
  <si>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</si>
  <si>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</si>
  <si>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</si>
  <si>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</si>
  <si>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</si>
  <si>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</si>
  <si>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</si>
  <si>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</si>
  <si>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</si>
  <si>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</si>
  <si>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</si>
  <si>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</si>
  <si>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</si>
  <si>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</si>
  <si>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</si>
  <si>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</si>
  <si>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</si>
  <si>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</si>
  <si>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</si>
  <si>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</si>
  <si>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</si>
  <si>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</si>
  <si>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</si>
  <si>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</si>
  <si>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</si>
  <si>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</si>
  <si>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</si>
  <si>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</si>
  <si>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</si>
  <si>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</si>
  <si>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</si>
  <si>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</si>
  <si>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</si>
  <si>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</si>
  <si>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</si>
  <si>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</si>
  <si>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</si>
  <si>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</si>
  <si>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</si>
  <si>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</si>
  <si>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</si>
  <si>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</si>
  <si>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</si>
  <si>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</si>
  <si>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</si>
  <si>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</si>
  <si>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</si>
  <si>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</si>
  <si>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</si>
  <si>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</si>
  <si>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</si>
  <si>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</si>
  <si>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</si>
  <si>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</si>
  <si>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</si>
  <si>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</si>
  <si>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</si>
  <si>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</si>
  <si>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</si>
  <si>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</si>
  <si>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</si>
  <si>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</si>
  <si>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</si>
  <si>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</si>
  <si>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</si>
  <si>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</si>
  <si>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</si>
  <si>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</si>
  <si>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</si>
  <si>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</si>
  <si>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</si>
  <si>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</si>
  <si>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</si>
  <si>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</si>
  <si>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</si>
  <si>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</si>
  <si>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</si>
  <si>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</si>
  <si>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</si>
  <si>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</si>
  <si>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</si>
  <si>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</si>
  <si>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</si>
  <si>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</si>
  <si>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</si>
  <si>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</si>
  <si>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</si>
  <si>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</si>
  <si>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</si>
  <si>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</si>
  <si>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</si>
  <si>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</si>
  <si>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</si>
  <si>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</si>
  <si>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</si>
  <si>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</si>
  <si>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</si>
  <si>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</si>
  <si>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</si>
  <si>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</si>
  <si>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</si>
  <si>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</si>
  <si>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</si>
  <si>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</si>
  <si>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</si>
  <si>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</si>
  <si>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</si>
  <si>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</si>
  <si>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</si>
  <si>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</si>
  <si>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</si>
  <si>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</si>
  <si>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</si>
  <si>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</si>
  <si>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</si>
  <si>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</si>
  <si>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</si>
  <si>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</si>
  <si>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</si>
  <si>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</si>
  <si>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</si>
  <si>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</si>
  <si>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</si>
  <si>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</si>
  <si>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</si>
  <si>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</si>
  <si>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</si>
  <si>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</si>
  <si>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</si>
  <si>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</si>
  <si>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</si>
  <si>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</si>
  <si>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</si>
  <si>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</si>
  <si>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</si>
  <si>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</si>
  <si>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</si>
  <si>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</si>
  <si>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</si>
  <si>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</si>
  <si>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</si>
  <si>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</si>
  <si>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</si>
  <si>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</si>
  <si>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</si>
  <si>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</si>
  <si>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</si>
  <si>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</si>
  <si>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</si>
  <si>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</si>
  <si>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</si>
  <si>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</si>
  <si>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</si>
  <si>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</si>
  <si>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</si>
  <si>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</si>
  <si>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</si>
  <si>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</si>
  <si>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</si>
  <si>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</si>
  <si>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</si>
  <si>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</si>
  <si>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</si>
  <si>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</si>
  <si>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</si>
  <si>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</si>
  <si>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</si>
  <si>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</si>
  <si>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</si>
  <si>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</si>
  <si>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</si>
  <si>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</si>
  <si>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</si>
  <si>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</si>
  <si>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</si>
  <si>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</si>
  <si>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</si>
  <si>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</si>
  <si>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</si>
  <si>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</si>
  <si>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</si>
  <si>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</si>
  <si>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</si>
  <si>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</si>
  <si>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</si>
  <si>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</si>
  <si>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</si>
  <si>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</si>
  <si>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</si>
  <si>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</si>
  <si>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</si>
  <si>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</si>
  <si>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</si>
  <si>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</si>
  <si>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</si>
  <si>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</si>
  <si>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</si>
  <si>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</si>
  <si>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</si>
  <si>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</si>
  <si>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</si>
  <si>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</si>
  <si>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</si>
  <si>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</si>
  <si>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</si>
  <si>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</si>
  <si>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</si>
  <si>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</si>
  <si>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</si>
  <si>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</si>
  <si>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</si>
  <si>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</si>
  <si>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</si>
  <si>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</si>
  <si>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</si>
  <si>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</si>
  <si>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</si>
  <si>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</si>
  <si>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</si>
  <si>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</si>
  <si>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</si>
  <si>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</si>
  <si>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</si>
  <si>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</si>
  <si>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</si>
  <si>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</si>
  <si>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</si>
  <si>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</si>
  <si>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</si>
  <si>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</si>
  <si>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</si>
  <si>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</si>
  <si>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</si>
  <si>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</si>
  <si>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</si>
  <si>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</si>
  <si>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</si>
  <si>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</si>
  <si>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</si>
  <si>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</si>
  <si>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</si>
  <si>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</si>
  <si>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</si>
  <si>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</si>
  <si>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</si>
  <si>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</si>
  <si>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</si>
  <si>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</si>
  <si>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</si>
  <si>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</si>
  <si>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</si>
  <si>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</si>
  <si>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</si>
  <si>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</si>
  <si>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</si>
  <si>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</si>
  <si>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</si>
  <si>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</si>
  <si>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</si>
  <si>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</si>
  <si>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</si>
  <si>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</si>
  <si>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</si>
  <si>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</si>
  <si>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</si>
  <si>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</si>
  <si>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</si>
  <si>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</si>
  <si>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</si>
  <si>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</si>
  <si>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</si>
  <si>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</si>
  <si>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</si>
  <si>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</si>
  <si>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</si>
  <si>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</si>
  <si>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</si>
  <si>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</si>
  <si>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</si>
  <si>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</si>
  <si>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</si>
  <si>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</si>
  <si>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</si>
  <si>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</si>
  <si>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</si>
  <si>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</si>
  <si>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</si>
  <si>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</si>
  <si>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</si>
  <si>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</si>
  <si>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</si>
  <si>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</si>
  <si>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</si>
  <si>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</si>
  <si>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</si>
  <si>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</si>
  <si>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</si>
  <si>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</si>
  <si>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</si>
  <si>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</si>
  <si>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</si>
  <si>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</si>
  <si>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</si>
  <si>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</si>
  <si>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</si>
  <si>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</si>
  <si>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</si>
  <si>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</si>
  <si>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</si>
  <si>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</si>
  <si>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</si>
  <si>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</si>
  <si>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</si>
  <si>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</si>
  <si>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</si>
  <si>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</si>
  <si>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</si>
  <si>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</si>
  <si>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</si>
  <si>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</si>
  <si>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</si>
  <si>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</si>
  <si>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</si>
  <si>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</si>
  <si>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</si>
  <si>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</si>
  <si>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</si>
  <si>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</si>
  <si>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</si>
  <si>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</si>
  <si>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</si>
  <si>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</si>
  <si>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</si>
  <si>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</si>
  <si>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</si>
  <si>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</si>
  <si>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</si>
  <si>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</si>
  <si>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</si>
  <si>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</si>
  <si>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</si>
  <si>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</si>
  <si>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</si>
  <si>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</si>
  <si>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</si>
  <si>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</si>
  <si>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</si>
  <si>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</si>
  <si>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</si>
  <si>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</si>
  <si>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</si>
  <si>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</si>
  <si>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</si>
  <si>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</si>
  <si>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</si>
  <si>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</si>
  <si>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</si>
  <si>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</si>
  <si>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</si>
  <si>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</si>
  <si>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</si>
  <si>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</si>
  <si>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</si>
  <si>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</si>
  <si>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</si>
  <si>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</si>
  <si>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</si>
  <si>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</si>
  <si>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</si>
  <si>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</si>
  <si>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</si>
  <si>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</si>
  <si>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</si>
  <si>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</si>
  <si>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</si>
  <si>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</si>
  <si>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</si>
  <si>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</si>
  <si>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</si>
  <si>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</si>
  <si>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</si>
  <si>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</si>
  <si>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</si>
  <si>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</si>
  <si>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</si>
  <si>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</si>
  <si>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</si>
  <si>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</si>
  <si>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</si>
  <si>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</si>
  <si>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</si>
  <si>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</si>
  <si>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</si>
  <si>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</si>
  <si>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</si>
  <si>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</si>
  <si>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</si>
  <si>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</si>
  <si>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</si>
  <si>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</si>
  <si>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</si>
  <si>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</si>
  <si>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</si>
  <si>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</si>
  <si>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</si>
  <si>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</si>
  <si>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</si>
  <si>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</si>
  <si>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</si>
  <si>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</si>
  <si>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</si>
  <si>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</si>
  <si>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</si>
  <si>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</si>
  <si>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</si>
  <si>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</si>
  <si>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</si>
  <si>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</si>
  <si>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</si>
  <si>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</si>
  <si>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</si>
  <si>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</si>
  <si>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</si>
  <si>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</si>
  <si>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</si>
  <si>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</si>
  <si>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</si>
  <si>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</si>
  <si>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</si>
  <si>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</si>
  <si>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</si>
  <si>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</si>
  <si>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</si>
  <si>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</si>
  <si>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</si>
  <si>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</si>
  <si>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</si>
  <si>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</si>
  <si>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</si>
  <si>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</si>
  <si>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</si>
  <si>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</si>
  <si>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</si>
  <si>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</si>
  <si>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</si>
  <si>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</si>
  <si>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</si>
  <si>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</si>
  <si>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</si>
  <si>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</si>
  <si>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</si>
  <si>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</si>
  <si>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</si>
  <si>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</si>
  <si>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</si>
  <si>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</si>
  <si>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</si>
  <si>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</si>
  <si>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</si>
  <si>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</si>
  <si>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</si>
  <si>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</si>
  <si>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</si>
  <si>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</si>
  <si>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</si>
  <si>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</si>
  <si>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</si>
  <si>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</si>
  <si>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</si>
  <si>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</si>
  <si>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</si>
  <si>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</si>
  <si>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</si>
  <si>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</si>
  <si>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</si>
  <si>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</si>
  <si>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</si>
  <si>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</si>
  <si>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</si>
  <si>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</si>
  <si>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</si>
  <si>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</si>
  <si>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</si>
  <si>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</si>
  <si>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</si>
  <si>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</si>
  <si>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</si>
  <si>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</si>
  <si>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</si>
  <si>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</si>
  <si>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</si>
  <si>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</si>
  <si>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</si>
  <si>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</si>
  <si>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</si>
  <si>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</si>
  <si>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</si>
  <si>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</si>
  <si>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</si>
  <si>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</si>
  <si>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</si>
  <si>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</si>
  <si>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</si>
  <si>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</si>
  <si>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</si>
  <si>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</si>
  <si>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</si>
  <si>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</si>
  <si>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</si>
  <si>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</si>
  <si>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</si>
  <si>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</si>
  <si>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</si>
  <si>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</si>
  <si>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</si>
  <si>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</si>
  <si>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</si>
  <si>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</si>
  <si>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</si>
  <si>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</si>
  <si>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</si>
  <si>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</si>
  <si>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</si>
  <si>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</si>
  <si>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</si>
  <si>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</si>
  <si>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</si>
  <si>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</si>
  <si>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</si>
  <si>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</si>
  <si>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</si>
  <si>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</si>
  <si>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</si>
  <si>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</si>
  <si>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</si>
  <si>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</si>
  <si>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</si>
  <si>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</si>
  <si>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</si>
  <si>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</si>
  <si>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</si>
  <si>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</si>
  <si>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</si>
  <si>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</si>
  <si>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</si>
  <si>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</si>
  <si>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</si>
  <si>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</si>
  <si>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</si>
  <si>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</si>
  <si>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</si>
  <si>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</si>
  <si>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</si>
  <si>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</si>
  <si>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</si>
  <si>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</si>
  <si>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</si>
  <si>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</si>
  <si>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</si>
  <si>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</si>
  <si>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</si>
  <si>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</si>
  <si>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</si>
  <si>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</si>
  <si>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</si>
  <si>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</si>
  <si>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</si>
  <si>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</si>
  <si>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</si>
  <si>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</si>
  <si>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</si>
  <si>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</si>
  <si>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</si>
  <si>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</si>
  <si>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</si>
  <si>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</si>
  <si>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</si>
  <si>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</si>
  <si>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</si>
  <si>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</si>
  <si>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</si>
  <si>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</si>
  <si>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</si>
  <si>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</si>
  <si>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</si>
  <si>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</si>
  <si>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</si>
  <si>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</si>
  <si>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</si>
  <si>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</si>
  <si>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</si>
  <si>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</si>
  <si>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</si>
  <si>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</si>
  <si>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</si>
  <si>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</si>
  <si>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</si>
  <si>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</si>
  <si>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</si>
  <si>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</si>
  <si>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</si>
  <si>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</si>
  <si>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</si>
  <si>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</si>
  <si>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</si>
  <si>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</si>
  <si>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</si>
  <si>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</si>
  <si>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</si>
  <si>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</si>
  <si>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</si>
  <si>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</si>
  <si>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</si>
  <si>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</si>
  <si>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</si>
  <si>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</si>
  <si>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</si>
  <si>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</si>
  <si>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</si>
  <si>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</si>
  <si>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</si>
  <si>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</si>
  <si>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</si>
  <si>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</si>
  <si>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</si>
  <si>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</si>
  <si>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</si>
  <si>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</si>
  <si>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</si>
  <si>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</si>
  <si>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</si>
  <si>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</si>
  <si>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</si>
  <si>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</si>
  <si>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</si>
  <si>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</si>
  <si>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</si>
  <si>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</si>
  <si>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</si>
  <si>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</si>
  <si>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</si>
  <si>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</si>
  <si>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</si>
  <si>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</si>
  <si>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</si>
  <si>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</si>
  <si>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</si>
  <si>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</si>
  <si>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</si>
  <si>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</si>
  <si>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</si>
  <si>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</si>
  <si>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</si>
  <si>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</si>
  <si>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</si>
  <si>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</si>
  <si>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</si>
  <si>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</si>
  <si>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</si>
  <si>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</si>
  <si>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</si>
  <si>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</si>
  <si>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</si>
  <si>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</si>
  <si>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</si>
  <si>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</si>
  <si>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</si>
  <si>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</si>
  <si>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</si>
  <si>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</si>
  <si>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</si>
  <si>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</si>
  <si>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</si>
  <si>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</si>
  <si>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</si>
  <si>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</si>
  <si>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</si>
  <si>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</si>
  <si>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</si>
  <si>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</si>
  <si>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</si>
  <si>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</si>
  <si>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</si>
  <si>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</si>
  <si>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</si>
  <si>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</si>
  <si>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</si>
  <si>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</si>
  <si>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</si>
  <si>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</si>
  <si>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</si>
  <si>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</si>
  <si>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</si>
  <si>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</si>
  <si>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</si>
  <si>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</si>
  <si>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</si>
  <si>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</si>
  <si>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</si>
  <si>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</si>
  <si>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</si>
  <si>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</si>
  <si>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</si>
  <si>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</si>
  <si>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</si>
  <si>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</si>
  <si>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</si>
  <si>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</si>
  <si>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</si>
  <si>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</si>
  <si>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</si>
  <si>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</si>
  <si>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</si>
  <si>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</si>
  <si>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</si>
  <si>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</si>
  <si>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</si>
  <si>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</si>
  <si>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</si>
  <si>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</si>
  <si>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</si>
  <si>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</si>
  <si>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</si>
  <si>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</si>
  <si>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</si>
  <si>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</si>
  <si>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</si>
  <si>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</si>
  <si>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</si>
  <si>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</si>
  <si>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</si>
  <si>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</si>
  <si>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</si>
  <si>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</si>
  <si>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</si>
  <si>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</si>
  <si>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</si>
  <si>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</si>
  <si>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</si>
  <si>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</si>
  <si>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</si>
  <si>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</si>
  <si>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</si>
  <si>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</si>
  <si>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</si>
  <si>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</si>
  <si>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</si>
  <si>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</si>
  <si>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</si>
  <si>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</si>
  <si>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</si>
  <si>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</si>
  <si>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</si>
  <si>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</si>
  <si>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</si>
  <si>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</si>
  <si>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</si>
  <si>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DUPAGE</t>
  </si>
  <si>
    <t>0 S. 150 WINFIELD ROAD</t>
  </si>
  <si>
    <t>WINFIELD</t>
  </si>
  <si>
    <t>DR. MATT RICH</t>
  </si>
  <si>
    <t>EVANS, MARSHALL &amp; PEASE, P.C.</t>
  </si>
  <si>
    <t>JEFFERY M. ROLLEFSON, CPA</t>
  </si>
  <si>
    <t>1875 HICKS ROAD</t>
  </si>
  <si>
    <t>ROLLING MEADOWS</t>
  </si>
  <si>
    <t>IL</t>
  </si>
  <si>
    <t>847-221-5700</t>
  </si>
  <si>
    <t>847-221-5701</t>
  </si>
  <si>
    <t>060-003973</t>
  </si>
  <si>
    <t>JEFF@EMPCPA.COM</t>
  </si>
  <si>
    <t>630-909-4900</t>
  </si>
  <si>
    <t>CAPITAL APPRECIATION SCHOOL BONDS - 2002</t>
  </si>
  <si>
    <t>GENERAL OBLIGATION REFUNDING SCHOOL BONDS - 2013A</t>
  </si>
  <si>
    <t>GENERAL OBLIGATION REFUNDING SCHOOL BONDS - 2013B</t>
  </si>
  <si>
    <t>CAPITAL LEASE</t>
  </si>
  <si>
    <t>Transportation-Pupil Transportation Services-Purchased Services</t>
  </si>
  <si>
    <t>40-2550-300</t>
  </si>
  <si>
    <t>Sunrise transportation</t>
  </si>
  <si>
    <t>Ed-Data Processing Services-Purchased Services</t>
  </si>
  <si>
    <t>10-2660-300</t>
  </si>
  <si>
    <t>NET56</t>
  </si>
  <si>
    <t>O&amp;M-Operation and Maintenance of Plant Services-Supplies and Material</t>
  </si>
  <si>
    <t>20-2540-400</t>
  </si>
  <si>
    <t>School Association for Special Education in Dupage</t>
  </si>
  <si>
    <t>Constellation New Energy</t>
  </si>
  <si>
    <t>Ed-Instruction-Employee Benefits</t>
  </si>
  <si>
    <t>10-1000-200</t>
  </si>
  <si>
    <t>Blue Cross Blue Shield</t>
  </si>
  <si>
    <t>Metlife</t>
  </si>
  <si>
    <t>Ed-Board of Education Services-Purchased Services</t>
  </si>
  <si>
    <t>10-2310-300</t>
  </si>
  <si>
    <t>CLIC</t>
  </si>
  <si>
    <t>O&amp;M-Operation and Maintenance of Plant Services-Purchased Services</t>
  </si>
  <si>
    <t>20-2540-300</t>
  </si>
  <si>
    <t>Winfield 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</si>
</sst>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1276350</xdr:colOff>
          <xdr:row>3</xdr:row>
          <xdr:rowOff>28575</xdr:rowOff>
        </xdr:from>
        <xdr:to>
          <xdr:col>1</xdr:col>
          <xdr:colOff>2190750</xdr:colOff>
          <xdr:row>7</xdr:row>
          <xdr:rowOff>66675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G2" sqref="D1:G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7" t="s">
        <v>425</v>
      </c>
      <c r="J1" s="2038"/>
      <c r="K1" s="2038"/>
      <c r="L1" s="2038"/>
      <c r="M1" s="2038"/>
      <c r="N1" s="2038"/>
      <c r="O1" s="2038"/>
      <c r="P1" s="2038"/>
      <c r="Q1" s="2038"/>
      <c r="R1" s="2038"/>
      <c r="S1" s="2038"/>
    </row>
    <row r="2" spans="1:28" ht="12" customHeight="1" x14ac:dyDescent="0.2">
      <c r="A2" s="47" t="s">
        <v>1684</v>
      </c>
      <c r="D2" s="48"/>
      <c r="I2" s="2039" t="s">
        <v>1036</v>
      </c>
      <c r="J2" s="2038"/>
      <c r="K2" s="2038"/>
      <c r="L2" s="2038"/>
      <c r="M2" s="2038"/>
      <c r="N2" s="2038"/>
      <c r="O2" s="2038"/>
      <c r="P2" s="2038"/>
      <c r="Q2" s="2038"/>
      <c r="R2" s="2038"/>
      <c r="S2" s="2038"/>
    </row>
    <row r="3" spans="1:28" ht="12" customHeight="1" x14ac:dyDescent="0.2">
      <c r="A3" s="155" t="s">
        <v>1685</v>
      </c>
      <c r="B3" s="156"/>
      <c r="C3" s="156"/>
      <c r="D3" s="157"/>
      <c r="I3" s="2039" t="s">
        <v>54</v>
      </c>
      <c r="J3" s="2038"/>
      <c r="K3" s="2038"/>
      <c r="L3" s="2038"/>
      <c r="M3" s="2038"/>
      <c r="N3" s="2038"/>
      <c r="O3" s="2038"/>
      <c r="P3" s="2038"/>
      <c r="Q3" s="2038"/>
      <c r="R3" s="2038"/>
      <c r="S3" s="2038"/>
    </row>
    <row r="4" spans="1:28" ht="12" customHeight="1" x14ac:dyDescent="0.2">
      <c r="A4" s="37"/>
      <c r="I4" s="2039" t="s">
        <v>545</v>
      </c>
      <c r="J4" s="2038"/>
      <c r="K4" s="2038"/>
      <c r="L4" s="2038"/>
      <c r="M4" s="2038"/>
      <c r="N4" s="2038"/>
      <c r="O4" s="2038"/>
      <c r="P4" s="2038"/>
      <c r="Q4" s="2038"/>
      <c r="R4" s="2038"/>
      <c r="S4" s="2038"/>
    </row>
    <row r="5" spans="1:28" ht="14.1" customHeight="1" x14ac:dyDescent="0.2">
      <c r="B5" s="104" t="s">
        <v>2077</v>
      </c>
      <c r="C5" s="26" t="s">
        <v>966</v>
      </c>
      <c r="D5" s="84"/>
      <c r="E5" s="84"/>
      <c r="H5" s="38"/>
      <c r="I5" s="2046" t="s">
        <v>701</v>
      </c>
      <c r="J5" s="1991"/>
      <c r="K5" s="1991"/>
      <c r="L5" s="1991"/>
      <c r="M5" s="1991"/>
      <c r="N5" s="1991"/>
      <c r="O5" s="1991"/>
      <c r="P5" s="1991"/>
      <c r="Q5" s="1991"/>
      <c r="R5" s="1991"/>
      <c r="S5" s="1991"/>
    </row>
    <row r="6" spans="1:28" ht="14.1" customHeight="1" x14ac:dyDescent="0.2">
      <c r="B6" s="104"/>
      <c r="C6" s="26" t="s">
        <v>967</v>
      </c>
      <c r="D6" s="84"/>
      <c r="E6" s="84"/>
      <c r="I6" s="2045" t="s">
        <v>938</v>
      </c>
      <c r="J6" s="1991"/>
      <c r="K6" s="1991"/>
      <c r="L6" s="1991"/>
      <c r="M6" s="1991"/>
      <c r="N6" s="1991"/>
      <c r="O6" s="1991"/>
      <c r="P6" s="1991"/>
      <c r="Q6" s="1991"/>
      <c r="R6" s="1991"/>
      <c r="S6" s="1991"/>
    </row>
    <row r="7" spans="1:28" ht="12.2" customHeight="1" x14ac:dyDescent="0.2">
      <c r="I7" s="2040">
        <v>43281</v>
      </c>
      <c r="J7" s="2041"/>
      <c r="K7" s="2041"/>
      <c r="L7" s="2041"/>
      <c r="M7" s="2041"/>
      <c r="N7" s="2041"/>
      <c r="O7" s="2041"/>
      <c r="P7" s="2041"/>
      <c r="Q7" s="2041"/>
      <c r="R7" s="2041"/>
      <c r="S7" s="204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695</v>
      </c>
      <c r="J9" s="2043"/>
      <c r="K9" s="2043"/>
      <c r="L9" s="2043"/>
      <c r="M9" s="2043"/>
      <c r="N9" s="2043"/>
      <c r="O9" s="2043"/>
      <c r="P9" s="2043"/>
      <c r="Q9" s="2043"/>
      <c r="R9" s="2043"/>
      <c r="S9" s="2044"/>
      <c r="T9" s="1987" t="s">
        <v>554</v>
      </c>
      <c r="U9" s="1988"/>
      <c r="V9" s="1988"/>
      <c r="W9" s="1988"/>
      <c r="X9" s="1988"/>
      <c r="Y9" s="1988"/>
      <c r="Z9" s="1988"/>
      <c r="AA9" s="1989"/>
    </row>
    <row r="10" spans="1:28" ht="13.5" customHeight="1" x14ac:dyDescent="0.2">
      <c r="A10" s="1996" t="s">
        <v>696</v>
      </c>
      <c r="B10" s="1997"/>
      <c r="C10" s="1997"/>
      <c r="D10" s="1997"/>
      <c r="E10" s="1997"/>
      <c r="F10" s="1997"/>
      <c r="G10" s="1997"/>
      <c r="H10" s="1998"/>
      <c r="I10" s="29"/>
      <c r="J10" s="30"/>
      <c r="K10" s="28"/>
      <c r="R10" s="30"/>
      <c r="S10" s="30"/>
      <c r="T10" s="1990"/>
      <c r="U10" s="1991"/>
      <c r="V10" s="1991"/>
      <c r="W10" s="1991"/>
      <c r="X10" s="1991"/>
      <c r="Y10" s="1991"/>
      <c r="Z10" s="1991"/>
      <c r="AA10" s="1992"/>
    </row>
    <row r="11" spans="1:28" ht="14.25" customHeight="1" x14ac:dyDescent="0.2">
      <c r="A11" s="1999" t="s">
        <v>1012</v>
      </c>
      <c r="B11" s="2000"/>
      <c r="C11" s="2000"/>
      <c r="D11" s="2000"/>
      <c r="E11" s="2000"/>
      <c r="F11" s="2000"/>
      <c r="G11" s="2000"/>
      <c r="H11" s="2001"/>
      <c r="I11" s="27"/>
      <c r="J11" s="74"/>
      <c r="K11" s="27"/>
      <c r="O11" s="148" t="s">
        <v>2077</v>
      </c>
      <c r="P11" s="100" t="s">
        <v>210</v>
      </c>
      <c r="Q11" s="30"/>
      <c r="R11" s="28"/>
      <c r="S11" s="27"/>
      <c r="T11" s="1993"/>
      <c r="U11" s="1994"/>
      <c r="V11" s="1994"/>
      <c r="W11" s="1994"/>
      <c r="X11" s="1994"/>
      <c r="Y11" s="1994"/>
      <c r="Z11" s="1994"/>
      <c r="AA11" s="199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7">
        <v>19022034002</v>
      </c>
      <c r="B13" s="2008"/>
      <c r="C13" s="2008"/>
      <c r="D13" s="2008"/>
      <c r="E13" s="2008"/>
      <c r="F13" s="2008"/>
      <c r="G13" s="2008"/>
      <c r="H13" s="2009"/>
      <c r="I13" s="31"/>
      <c r="J13" s="30"/>
      <c r="K13" s="28"/>
      <c r="L13" s="30"/>
      <c r="M13" s="30"/>
      <c r="N13" s="30"/>
      <c r="O13" s="30"/>
      <c r="P13" s="30"/>
      <c r="Q13" s="30"/>
      <c r="R13" s="30"/>
      <c r="S13" s="30"/>
      <c r="T13" s="2012" t="s">
        <v>2082</v>
      </c>
      <c r="U13" s="2013"/>
      <c r="V13" s="2013"/>
      <c r="W13" s="2013"/>
      <c r="X13" s="2013"/>
      <c r="Y13" s="2014"/>
      <c r="Z13" s="2014"/>
      <c r="AA13" s="201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5" t="s">
        <v>2078</v>
      </c>
      <c r="B15" s="2010"/>
      <c r="C15" s="2010"/>
      <c r="D15" s="2010"/>
      <c r="E15" s="2010"/>
      <c r="F15" s="2010"/>
      <c r="G15" s="2010"/>
      <c r="H15" s="2011"/>
      <c r="T15" s="1973" t="s">
        <v>2083</v>
      </c>
      <c r="U15" s="1974"/>
      <c r="V15" s="1974"/>
      <c r="W15" s="1974"/>
      <c r="X15" s="1974"/>
      <c r="Y15" s="2016"/>
      <c r="Z15" s="2016"/>
      <c r="AA15" s="201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5" t="s">
        <v>2115</v>
      </c>
      <c r="B17" s="2035"/>
      <c r="C17" s="2035"/>
      <c r="D17" s="2035"/>
      <c r="E17" s="2035"/>
      <c r="F17" s="2035"/>
      <c r="G17" s="2035"/>
      <c r="H17" s="2036"/>
      <c r="T17" s="2022" t="s">
        <v>2084</v>
      </c>
      <c r="U17" s="2023"/>
      <c r="V17" s="2023"/>
      <c r="W17" s="2023"/>
      <c r="X17" s="2023"/>
      <c r="Y17" s="2023"/>
      <c r="Z17" s="2023"/>
      <c r="AA17" s="2024"/>
    </row>
    <row r="18" spans="1:27" ht="13.5" customHeight="1" x14ac:dyDescent="0.2">
      <c r="A18" s="85" t="s">
        <v>551</v>
      </c>
      <c r="B18" s="76"/>
      <c r="C18" s="72"/>
      <c r="D18" s="76"/>
      <c r="E18" s="76"/>
      <c r="F18" s="76"/>
      <c r="G18" s="76"/>
      <c r="H18" s="56"/>
      <c r="I18" s="2032" t="s">
        <v>697</v>
      </c>
      <c r="J18" s="2033"/>
      <c r="K18" s="2033"/>
      <c r="L18" s="2033"/>
      <c r="M18" s="2033"/>
      <c r="N18" s="2033"/>
      <c r="O18" s="2033"/>
      <c r="P18" s="2033"/>
      <c r="Q18" s="2033"/>
      <c r="R18" s="2033"/>
      <c r="S18" s="2034"/>
      <c r="T18" s="85" t="s">
        <v>735</v>
      </c>
      <c r="U18" s="51"/>
      <c r="V18" s="72"/>
      <c r="W18" s="50"/>
      <c r="X18" s="85" t="s">
        <v>284</v>
      </c>
      <c r="Y18" s="81"/>
      <c r="Z18" s="159" t="s">
        <v>698</v>
      </c>
      <c r="AA18" s="46"/>
    </row>
    <row r="19" spans="1:27" ht="13.5" customHeight="1" x14ac:dyDescent="0.2">
      <c r="A19" s="2005" t="s">
        <v>2079</v>
      </c>
      <c r="B19" s="2006"/>
      <c r="C19" s="2006"/>
      <c r="D19" s="2006"/>
      <c r="E19" s="2006"/>
      <c r="F19" s="2006"/>
      <c r="G19" s="2006"/>
      <c r="H19" s="2004"/>
      <c r="I19" s="30"/>
      <c r="J19" s="99"/>
      <c r="K19" s="40"/>
      <c r="L19" s="38"/>
      <c r="M19" s="112" t="s">
        <v>333</v>
      </c>
      <c r="P19" s="27"/>
      <c r="Q19" s="27"/>
      <c r="R19" s="27"/>
      <c r="S19" s="31"/>
      <c r="T19" s="2005" t="s">
        <v>2085</v>
      </c>
      <c r="U19" s="2003"/>
      <c r="V19" s="2003"/>
      <c r="W19" s="2004"/>
      <c r="X19" s="2020" t="s">
        <v>2086</v>
      </c>
      <c r="Y19" s="2021"/>
      <c r="Z19" s="2018">
        <v>60008</v>
      </c>
      <c r="AA19" s="201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2" t="s">
        <v>2080</v>
      </c>
      <c r="B21" s="2003"/>
      <c r="C21" s="2003"/>
      <c r="D21" s="2003"/>
      <c r="E21" s="2003"/>
      <c r="F21" s="2003"/>
      <c r="G21" s="2003"/>
      <c r="H21" s="2004"/>
      <c r="I21" s="2028" t="s">
        <v>699</v>
      </c>
      <c r="J21" s="1991"/>
      <c r="K21" s="1991"/>
      <c r="L21" s="1991"/>
      <c r="M21" s="1991"/>
      <c r="N21" s="1991"/>
      <c r="O21" s="1991"/>
      <c r="P21" s="1991"/>
      <c r="Q21" s="1991"/>
      <c r="R21" s="1991"/>
      <c r="S21" s="1992"/>
      <c r="T21" s="1970" t="s">
        <v>2087</v>
      </c>
      <c r="U21" s="1971"/>
      <c r="V21" s="1971"/>
      <c r="W21" s="1971"/>
      <c r="X21" s="1984" t="s">
        <v>2088</v>
      </c>
      <c r="Y21" s="1985"/>
      <c r="Z21" s="1985"/>
      <c r="AA21" s="1986"/>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5"/>
      <c r="B23" s="2026"/>
      <c r="C23" s="2026"/>
      <c r="D23" s="2026"/>
      <c r="E23" s="2026"/>
      <c r="F23" s="2026"/>
      <c r="G23" s="2026"/>
      <c r="H23" s="2027"/>
      <c r="T23" s="1965" t="s">
        <v>2089</v>
      </c>
      <c r="U23" s="1966"/>
      <c r="V23" s="1966"/>
      <c r="W23" s="1966"/>
      <c r="X23" s="1981">
        <v>43466</v>
      </c>
      <c r="Y23" s="1982"/>
      <c r="Z23" s="1982"/>
      <c r="AA23" s="1983"/>
    </row>
    <row r="24" spans="1:27" ht="14.1" customHeight="1" x14ac:dyDescent="0.2">
      <c r="A24" s="88" t="s">
        <v>698</v>
      </c>
      <c r="B24" s="49"/>
      <c r="C24" s="49"/>
      <c r="D24" s="49"/>
      <c r="E24" s="49"/>
      <c r="F24" s="49"/>
      <c r="G24" s="49"/>
      <c r="H24" s="61"/>
      <c r="J24" s="2067">
        <f>IF(B5="x",IF(AUDITCHECK!D29="AFR form Incomplete.","",IF(AUDITCHECK!D29="Deficit reduction plan is required.","School District must complete a deficit reduction plan in the 2018-2019 Budget",)),"")</f>
        <v>0</v>
      </c>
      <c r="K24" s="2067"/>
      <c r="L24" s="2067"/>
      <c r="M24" s="2067"/>
      <c r="N24" s="2067"/>
      <c r="O24" s="2067"/>
      <c r="P24" s="2067"/>
      <c r="Q24" s="2067"/>
      <c r="R24" s="2067"/>
      <c r="S24" s="2068"/>
      <c r="T24" s="105" t="s">
        <v>552</v>
      </c>
      <c r="U24" s="106"/>
      <c r="V24" s="106"/>
      <c r="W24" s="106"/>
      <c r="X24" s="107"/>
      <c r="Y24" s="107"/>
      <c r="Z24" s="107"/>
      <c r="AA24" s="108"/>
    </row>
    <row r="25" spans="1:27" ht="14.1" customHeight="1" x14ac:dyDescent="0.2">
      <c r="A25" s="2002">
        <v>60190</v>
      </c>
      <c r="B25" s="2003"/>
      <c r="C25" s="2003"/>
      <c r="D25" s="2003"/>
      <c r="E25" s="2003"/>
      <c r="F25" s="2003"/>
      <c r="G25" s="2003"/>
      <c r="H25" s="2004"/>
      <c r="I25" s="113"/>
      <c r="J25" s="2069"/>
      <c r="K25" s="2069"/>
      <c r="L25" s="2069"/>
      <c r="M25" s="2069"/>
      <c r="N25" s="2069"/>
      <c r="O25" s="2069"/>
      <c r="P25" s="2069"/>
      <c r="Q25" s="2069"/>
      <c r="R25" s="2069"/>
      <c r="S25" s="2070"/>
      <c r="T25" s="1962" t="s">
        <v>2090</v>
      </c>
      <c r="U25" s="1963"/>
      <c r="V25" s="1963"/>
      <c r="W25" s="1963"/>
      <c r="X25" s="1963"/>
      <c r="Y25" s="1963"/>
      <c r="Z25" s="1963"/>
      <c r="AA25" s="19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0" t="s">
        <v>1591</v>
      </c>
      <c r="J27" s="2033"/>
      <c r="K27" s="2033"/>
      <c r="L27" s="2033"/>
      <c r="M27" s="2033"/>
      <c r="N27" s="2033"/>
      <c r="O27" s="2033"/>
      <c r="P27" s="2033"/>
      <c r="Q27" s="2033"/>
      <c r="R27" s="2033"/>
      <c r="S27" s="203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6"/>
      <c r="Q35" s="2003"/>
      <c r="R35" s="200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5" t="s">
        <v>2081</v>
      </c>
      <c r="B38" s="2035"/>
      <c r="C38" s="2035"/>
      <c r="D38" s="2035"/>
      <c r="E38" s="2035"/>
      <c r="F38" s="2003"/>
      <c r="G38" s="2003"/>
      <c r="H38" s="2004"/>
      <c r="I38" s="2054"/>
      <c r="J38" s="1974"/>
      <c r="K38" s="1974"/>
      <c r="L38" s="1974"/>
      <c r="M38" s="1974"/>
      <c r="N38" s="1974"/>
      <c r="O38" s="1974"/>
      <c r="P38" s="1975"/>
      <c r="Q38" s="1975"/>
      <c r="R38" s="1975"/>
      <c r="S38" s="1976"/>
      <c r="T38" s="1973"/>
      <c r="U38" s="1974"/>
      <c r="V38" s="1974"/>
      <c r="W38" s="1974"/>
      <c r="X38" s="1975"/>
      <c r="Y38" s="1975"/>
      <c r="Z38" s="1975"/>
      <c r="AA38" s="1976"/>
    </row>
    <row r="39" spans="1:27" ht="12" customHeight="1" x14ac:dyDescent="0.2">
      <c r="A39" s="2058" t="s">
        <v>552</v>
      </c>
      <c r="B39" s="2059"/>
      <c r="C39" s="72"/>
      <c r="D39" s="69"/>
      <c r="E39" s="69"/>
      <c r="F39" s="79"/>
      <c r="G39" s="69"/>
      <c r="H39" s="56"/>
      <c r="I39" s="2058" t="s">
        <v>552</v>
      </c>
      <c r="J39" s="2059"/>
      <c r="K39" s="2059"/>
      <c r="L39" s="2059"/>
      <c r="M39" s="2059"/>
      <c r="N39" s="67"/>
      <c r="O39" s="72"/>
      <c r="P39" s="72"/>
      <c r="Q39" s="78"/>
      <c r="R39" s="72"/>
      <c r="S39" s="56"/>
      <c r="T39" s="72" t="s">
        <v>552</v>
      </c>
      <c r="U39" s="51"/>
      <c r="V39" s="72"/>
      <c r="W39" s="50"/>
      <c r="X39" s="78"/>
      <c r="Y39" s="45"/>
      <c r="Z39" s="45"/>
      <c r="AA39" s="46"/>
    </row>
    <row r="40" spans="1:27" ht="13.5" customHeight="1" x14ac:dyDescent="0.2">
      <c r="A40" s="2061"/>
      <c r="B40" s="2062"/>
      <c r="C40" s="2063"/>
      <c r="D40" s="2063"/>
      <c r="E40" s="2063"/>
      <c r="F40" s="2064"/>
      <c r="G40" s="2064"/>
      <c r="H40" s="2065"/>
      <c r="I40" s="1977"/>
      <c r="J40" s="1979"/>
      <c r="K40" s="1979"/>
      <c r="L40" s="1979"/>
      <c r="M40" s="1979"/>
      <c r="N40" s="1979"/>
      <c r="O40" s="1979"/>
      <c r="P40" s="1979"/>
      <c r="Q40" s="1979"/>
      <c r="R40" s="1979"/>
      <c r="S40" s="1980"/>
      <c r="T40" s="1977"/>
      <c r="U40" s="1978"/>
      <c r="V40" s="1979"/>
      <c r="W40" s="1979"/>
      <c r="X40" s="1979"/>
      <c r="Y40" s="1979"/>
      <c r="Z40" s="1979"/>
      <c r="AA40" s="198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1" t="s">
        <v>2091</v>
      </c>
      <c r="B42" s="2052"/>
      <c r="C42" s="2053"/>
      <c r="D42" s="2066"/>
      <c r="E42" s="2052"/>
      <c r="F42" s="2052"/>
      <c r="G42" s="2052"/>
      <c r="H42" s="2053"/>
      <c r="I42" s="1972"/>
      <c r="J42" s="1968"/>
      <c r="K42" s="1968"/>
      <c r="L42" s="1968"/>
      <c r="M42" s="1968"/>
      <c r="N42" s="1968"/>
      <c r="O42" s="1969"/>
      <c r="P42" s="1967"/>
      <c r="Q42" s="1968"/>
      <c r="R42" s="1968"/>
      <c r="S42" s="1969"/>
      <c r="T42" s="1972"/>
      <c r="U42" s="1968"/>
      <c r="V42" s="1968"/>
      <c r="W42" s="1969"/>
      <c r="X42" s="1967"/>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5"/>
      <c r="B44" s="2056"/>
      <c r="C44" s="2056"/>
      <c r="D44" s="2056"/>
      <c r="E44" s="2056"/>
      <c r="F44" s="2056"/>
      <c r="G44" s="2056"/>
      <c r="H44" s="2057"/>
      <c r="I44" s="2047"/>
      <c r="J44" s="2049"/>
      <c r="K44" s="2049"/>
      <c r="L44" s="2049"/>
      <c r="M44" s="2049"/>
      <c r="N44" s="2049"/>
      <c r="O44" s="2049"/>
      <c r="P44" s="2049"/>
      <c r="Q44" s="2049"/>
      <c r="R44" s="2049"/>
      <c r="S44" s="2050"/>
      <c r="T44" s="2047"/>
      <c r="U44" s="2048"/>
      <c r="V44" s="2048"/>
      <c r="W44" s="2048"/>
      <c r="X44" s="2048"/>
      <c r="Y44" s="2048"/>
      <c r="Z44" s="2049"/>
      <c r="AA44" s="205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6" sqref="H1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4" t="s">
        <v>1905</v>
      </c>
      <c r="B2" s="1550" t="s">
        <v>2035</v>
      </c>
      <c r="C2" s="715" t="s">
        <v>1910</v>
      </c>
      <c r="D2" s="715" t="s">
        <v>1911</v>
      </c>
      <c r="E2" s="715" t="s">
        <v>1912</v>
      </c>
      <c r="F2" s="715" t="s">
        <v>1913</v>
      </c>
    </row>
    <row r="3" spans="1:6" ht="12" customHeight="1" x14ac:dyDescent="0.2">
      <c r="A3" s="2205"/>
      <c r="B3" s="1547"/>
      <c r="C3" s="1548"/>
      <c r="D3" s="1549" t="s">
        <v>274</v>
      </c>
      <c r="E3" s="1548"/>
      <c r="F3" s="1549" t="s">
        <v>275</v>
      </c>
    </row>
    <row r="4" spans="1:6" ht="13.7" customHeight="1" x14ac:dyDescent="0.2">
      <c r="A4" s="716" t="s">
        <v>1217</v>
      </c>
      <c r="B4" s="1771">
        <f>'Revenues 9-14'!C5</f>
        <v>3429986</v>
      </c>
      <c r="C4" s="1546">
        <v>1622597</v>
      </c>
      <c r="D4" s="1774">
        <f>B4-C4</f>
        <v>1807389</v>
      </c>
      <c r="E4" s="1546">
        <v>3128202</v>
      </c>
      <c r="F4" s="1774">
        <f>E4-C4</f>
        <v>1505605</v>
      </c>
    </row>
    <row r="5" spans="1:6" ht="13.7" customHeight="1" x14ac:dyDescent="0.2">
      <c r="A5" s="716" t="s">
        <v>925</v>
      </c>
      <c r="B5" s="1772">
        <f>'Revenues 9-14'!D5</f>
        <v>552676</v>
      </c>
      <c r="C5" s="585">
        <v>321570</v>
      </c>
      <c r="D5" s="1775">
        <f t="shared" ref="D5:D18" si="0">B5-C5</f>
        <v>231106</v>
      </c>
      <c r="E5" s="585">
        <v>619955</v>
      </c>
      <c r="F5" s="1775">
        <f>E5-C5</f>
        <v>298385</v>
      </c>
    </row>
    <row r="6" spans="1:6" ht="13.7" customHeight="1" x14ac:dyDescent="0.2">
      <c r="A6" s="716" t="s">
        <v>431</v>
      </c>
      <c r="B6" s="1772">
        <f>'Revenues 9-14'!E5</f>
        <v>1001806</v>
      </c>
      <c r="C6" s="585">
        <v>521204</v>
      </c>
      <c r="D6" s="1775">
        <f t="shared" si="0"/>
        <v>480602</v>
      </c>
      <c r="E6" s="585">
        <v>1004829</v>
      </c>
      <c r="F6" s="1775">
        <f t="shared" ref="F6:F18" si="1">E6-C6</f>
        <v>483625</v>
      </c>
    </row>
    <row r="7" spans="1:6" ht="13.7" customHeight="1" x14ac:dyDescent="0.2">
      <c r="A7" s="716" t="s">
        <v>157</v>
      </c>
      <c r="B7" s="1772">
        <f>'Revenues 9-14'!F5</f>
        <v>21160</v>
      </c>
      <c r="C7" s="585">
        <v>10929</v>
      </c>
      <c r="D7" s="1775">
        <f t="shared" si="0"/>
        <v>10231</v>
      </c>
      <c r="E7" s="585">
        <v>21069</v>
      </c>
      <c r="F7" s="1775">
        <f t="shared" si="1"/>
        <v>10140</v>
      </c>
    </row>
    <row r="8" spans="1:6" ht="13.7" customHeight="1" x14ac:dyDescent="0.2">
      <c r="A8" s="716" t="s">
        <v>1241</v>
      </c>
      <c r="B8" s="1772">
        <f>'Revenues 9-14'!G5</f>
        <v>120673</v>
      </c>
      <c r="C8" s="585">
        <v>62428</v>
      </c>
      <c r="D8" s="1775">
        <f t="shared" si="0"/>
        <v>58245</v>
      </c>
      <c r="E8" s="585">
        <v>120354</v>
      </c>
      <c r="F8" s="1775">
        <f t="shared" si="1"/>
        <v>57926</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314418</v>
      </c>
      <c r="C14" s="585">
        <v>277706</v>
      </c>
      <c r="D14" s="1775">
        <f t="shared" si="0"/>
        <v>36712</v>
      </c>
      <c r="E14" s="585">
        <v>535389</v>
      </c>
      <c r="F14" s="1775">
        <f t="shared" si="1"/>
        <v>257683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76085</v>
      </c>
      <c r="C16" s="585">
        <v>39373</v>
      </c>
      <c r="D16" s="1775">
        <f t="shared" si="0"/>
        <v>36712</v>
      </c>
      <c r="E16" s="585">
        <v>75907</v>
      </c>
      <c r="F16" s="1775">
        <f t="shared" si="1"/>
        <v>36534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5516804</v>
      </c>
      <c r="C19" s="1773">
        <f>SUM(C4:C18)</f>
        <v>2855807</v>
      </c>
      <c r="D19" s="1773">
        <f>SUM(D4:D18)</f>
        <v>2660997</v>
      </c>
      <c r="E19" s="1773">
        <f>SUM(E4:E18)</f>
        <v>5505705</v>
      </c>
      <c r="F19" s="1773">
        <f>SUM(F4:F18)</f>
        <v>2649898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H16" sqref="H1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650</v>
      </c>
      <c r="B1" s="2211"/>
      <c r="C1" s="722"/>
    </row>
    <row r="2" spans="1:7" ht="33.75" x14ac:dyDescent="0.2">
      <c r="A2" s="2219" t="s">
        <v>1905</v>
      </c>
      <c r="B2" s="2220"/>
      <c r="C2" s="1909" t="s">
        <v>2036</v>
      </c>
      <c r="D2" s="724" t="s">
        <v>2043</v>
      </c>
      <c r="E2" s="724" t="s">
        <v>2044</v>
      </c>
      <c r="F2" s="1909" t="s">
        <v>2037</v>
      </c>
    </row>
    <row r="3" spans="1:7" ht="15.75" customHeight="1" x14ac:dyDescent="0.2">
      <c r="A3" s="2223" t="s">
        <v>1176</v>
      </c>
      <c r="B3" s="2224"/>
      <c r="C3" s="2212"/>
      <c r="D3" s="2213"/>
      <c r="E3" s="2213"/>
      <c r="F3" s="2214"/>
    </row>
    <row r="4" spans="1:7" ht="12.75" customHeight="1" thickBot="1" x14ac:dyDescent="0.25">
      <c r="A4" s="2221" t="s">
        <v>651</v>
      </c>
      <c r="B4" s="2222"/>
      <c r="C4" s="581"/>
      <c r="D4" s="581"/>
      <c r="E4" s="581"/>
      <c r="F4" s="1777">
        <f>SUM(C4+D4)-E4</f>
        <v>0</v>
      </c>
    </row>
    <row r="5" spans="1:7" ht="15.75" customHeight="1" thickTop="1" x14ac:dyDescent="0.2">
      <c r="A5" s="2206" t="s">
        <v>1172</v>
      </c>
      <c r="B5" s="2207"/>
      <c r="C5" s="2215"/>
      <c r="D5" s="2216"/>
      <c r="E5" s="2216"/>
      <c r="F5" s="2217"/>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8" t="s">
        <v>652</v>
      </c>
      <c r="B15" s="2209"/>
      <c r="C15" s="1777">
        <f>SUM(C6:C14)</f>
        <v>0</v>
      </c>
      <c r="D15" s="1777">
        <f>SUM(D6:D14)</f>
        <v>0</v>
      </c>
      <c r="E15" s="1777">
        <f>SUM(E6:E14)</f>
        <v>0</v>
      </c>
      <c r="F15" s="1777">
        <f>SUM(F6:F14)</f>
        <v>0</v>
      </c>
      <c r="G15" s="552"/>
    </row>
    <row r="16" spans="1:7" s="202" customFormat="1" ht="15.75" customHeight="1" thickTop="1" x14ac:dyDescent="0.2">
      <c r="A16" s="2218" t="s">
        <v>1173</v>
      </c>
      <c r="B16" s="2207"/>
      <c r="C16" s="2215"/>
      <c r="D16" s="2216"/>
      <c r="E16" s="2216"/>
      <c r="F16" s="2217"/>
    </row>
    <row r="17" spans="1:11" ht="12.75" customHeight="1" thickBot="1" x14ac:dyDescent="0.25">
      <c r="A17" s="2231" t="s">
        <v>66</v>
      </c>
      <c r="B17" s="2232"/>
      <c r="C17" s="727"/>
      <c r="D17" s="585"/>
      <c r="E17" s="727"/>
      <c r="F17" s="1777">
        <f>SUM(C17+D17)-E17</f>
        <v>0</v>
      </c>
    </row>
    <row r="18" spans="1:11" ht="12.75" customHeight="1" thickTop="1" thickBot="1" x14ac:dyDescent="0.25">
      <c r="A18" s="2231" t="s">
        <v>6</v>
      </c>
      <c r="B18" s="2232"/>
      <c r="C18" s="727"/>
      <c r="D18" s="585"/>
      <c r="E18" s="727"/>
      <c r="F18" s="1777">
        <f>SUM(C18+D18)-E18</f>
        <v>0</v>
      </c>
    </row>
    <row r="19" spans="1:11" ht="12.75" customHeight="1" thickTop="1" thickBot="1" x14ac:dyDescent="0.25">
      <c r="A19" s="2231" t="s">
        <v>406</v>
      </c>
      <c r="B19" s="2232"/>
      <c r="C19" s="727"/>
      <c r="D19" s="585"/>
      <c r="E19" s="727"/>
      <c r="F19" s="1777">
        <f>SUM(C19+D19)-E19</f>
        <v>0</v>
      </c>
    </row>
    <row r="20" spans="1:11" ht="12.75" customHeight="1" thickTop="1" thickBot="1" x14ac:dyDescent="0.25">
      <c r="A20" s="2231" t="s">
        <v>468</v>
      </c>
      <c r="B20" s="2232"/>
      <c r="C20" s="727"/>
      <c r="D20" s="585"/>
      <c r="E20" s="727"/>
      <c r="F20" s="1777">
        <f>SUM(C20+D20)-E20</f>
        <v>0</v>
      </c>
    </row>
    <row r="21" spans="1:11" ht="14.25" thickTop="1" thickBot="1" x14ac:dyDescent="0.25">
      <c r="A21" s="2208" t="s">
        <v>653</v>
      </c>
      <c r="B21" s="2209"/>
      <c r="C21" s="1777">
        <f>SUM(C17:C20)</f>
        <v>0</v>
      </c>
      <c r="D21" s="1777">
        <f>SUM(D17:D20)</f>
        <v>0</v>
      </c>
      <c r="E21" s="1777">
        <f>SUM(E17:E20)</f>
        <v>0</v>
      </c>
      <c r="F21" s="1777">
        <f>SUM(F17:F20)</f>
        <v>0</v>
      </c>
      <c r="G21" s="552"/>
    </row>
    <row r="22" spans="1:11" ht="15.75" customHeight="1" thickTop="1" x14ac:dyDescent="0.2">
      <c r="A22" s="2233" t="s">
        <v>1174</v>
      </c>
      <c r="B22" s="2207"/>
      <c r="C22" s="2215"/>
      <c r="D22" s="2216"/>
      <c r="E22" s="2216"/>
      <c r="F22" s="2217"/>
    </row>
    <row r="23" spans="1:11" ht="13.5" thickBot="1" x14ac:dyDescent="0.25">
      <c r="A23" s="2221" t="s">
        <v>654</v>
      </c>
      <c r="B23" s="2222"/>
      <c r="C23" s="581"/>
      <c r="D23" s="581"/>
      <c r="E23" s="581"/>
      <c r="F23" s="1777">
        <f>SUM(C23+D23)-E23</f>
        <v>0</v>
      </c>
      <c r="G23" s="552"/>
    </row>
    <row r="24" spans="1:11" ht="15.75" customHeight="1" thickTop="1" x14ac:dyDescent="0.2">
      <c r="A24" s="2233" t="s">
        <v>1175</v>
      </c>
      <c r="B24" s="2207"/>
      <c r="C24" s="2215"/>
      <c r="D24" s="2216"/>
      <c r="E24" s="2216"/>
      <c r="F24" s="2217"/>
    </row>
    <row r="25" spans="1:11" ht="13.5" thickBot="1" x14ac:dyDescent="0.25">
      <c r="A25" s="2221" t="s">
        <v>655</v>
      </c>
      <c r="B25" s="2222"/>
      <c r="C25" s="581"/>
      <c r="D25" s="581"/>
      <c r="E25" s="581"/>
      <c r="F25" s="1777">
        <f>SUM(C25+D25)-E25</f>
        <v>0</v>
      </c>
      <c r="G25" s="552"/>
    </row>
    <row r="26" spans="1:11" ht="15.75" customHeight="1" thickTop="1" x14ac:dyDescent="0.2">
      <c r="A26" s="2206" t="s">
        <v>678</v>
      </c>
      <c r="B26" s="2207"/>
      <c r="C26" s="728"/>
      <c r="D26" s="728"/>
      <c r="E26" s="728"/>
      <c r="F26" s="729"/>
    </row>
    <row r="27" spans="1:11" ht="13.5" thickBot="1" x14ac:dyDescent="0.25">
      <c r="A27" s="2208" t="s">
        <v>1130</v>
      </c>
      <c r="B27" s="2209"/>
      <c r="C27" s="585"/>
      <c r="D27" s="585"/>
      <c r="E27" s="585"/>
      <c r="F27" s="1777">
        <f>SUM(C27+D27)-E27</f>
        <v>0</v>
      </c>
      <c r="G27" s="552"/>
    </row>
    <row r="28" spans="1:11" ht="7.5" customHeight="1" thickTop="1" x14ac:dyDescent="0.2">
      <c r="A28" s="594"/>
    </row>
    <row r="29" spans="1:11" ht="23.25" customHeight="1" x14ac:dyDescent="0.2">
      <c r="A29" s="2234" t="s">
        <v>603</v>
      </c>
      <c r="B29" s="221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2092</v>
      </c>
      <c r="B31" s="734">
        <v>37406</v>
      </c>
      <c r="C31" s="735">
        <v>5958150</v>
      </c>
      <c r="D31" s="736">
        <v>6</v>
      </c>
      <c r="E31" s="735">
        <v>1117637</v>
      </c>
      <c r="F31" s="735"/>
      <c r="G31" s="735"/>
      <c r="H31" s="735">
        <v>245266</v>
      </c>
      <c r="I31" s="1778">
        <f>((E31+F31)-H31)+G31</f>
        <v>872371</v>
      </c>
      <c r="J31" s="735">
        <v>656341</v>
      </c>
      <c r="K31" s="737"/>
    </row>
    <row r="32" spans="1:11" ht="12" customHeight="1" x14ac:dyDescent="0.2">
      <c r="A32" s="733" t="s">
        <v>2093</v>
      </c>
      <c r="B32" s="734">
        <v>41515</v>
      </c>
      <c r="C32" s="735">
        <v>840000</v>
      </c>
      <c r="D32" s="736">
        <v>3</v>
      </c>
      <c r="E32" s="735">
        <v>815000</v>
      </c>
      <c r="F32" s="735"/>
      <c r="G32" s="735"/>
      <c r="H32" s="735">
        <v>5000</v>
      </c>
      <c r="I32" s="1778">
        <f>((E32+F32)-H32)+G32</f>
        <v>810000</v>
      </c>
      <c r="J32" s="735">
        <v>609416</v>
      </c>
      <c r="K32" s="737"/>
    </row>
    <row r="33" spans="1:11" ht="12" customHeight="1" x14ac:dyDescent="0.2">
      <c r="A33" s="733" t="s">
        <v>2094</v>
      </c>
      <c r="B33" s="734">
        <v>41515</v>
      </c>
      <c r="C33" s="735">
        <v>1020000</v>
      </c>
      <c r="D33" s="736">
        <v>3</v>
      </c>
      <c r="E33" s="735">
        <v>995000</v>
      </c>
      <c r="F33" s="735"/>
      <c r="G33" s="735"/>
      <c r="H33" s="735">
        <v>5000</v>
      </c>
      <c r="I33" s="1778">
        <f t="shared" ref="I33:I48" si="1">((E33+F33)-H33)+G33</f>
        <v>990000</v>
      </c>
      <c r="J33" s="735">
        <v>744842</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t="s">
        <v>2095</v>
      </c>
      <c r="B35" s="734">
        <v>42181</v>
      </c>
      <c r="C35" s="739">
        <v>33949</v>
      </c>
      <c r="D35" s="736">
        <v>7</v>
      </c>
      <c r="E35" s="739">
        <v>21575</v>
      </c>
      <c r="F35" s="739"/>
      <c r="G35" s="739"/>
      <c r="H35" s="739">
        <v>6765</v>
      </c>
      <c r="I35" s="1778">
        <f t="shared" si="1"/>
        <v>14810</v>
      </c>
      <c r="J35" s="735">
        <v>11143</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7852099</v>
      </c>
      <c r="D49" s="746"/>
      <c r="E49" s="1778">
        <f t="shared" ref="E49:J49" si="2">SUM(E31:E48)</f>
        <v>2949212</v>
      </c>
      <c r="F49" s="1778">
        <f t="shared" si="2"/>
        <v>0</v>
      </c>
      <c r="G49" s="1778">
        <f t="shared" si="2"/>
        <v>0</v>
      </c>
      <c r="H49" s="1778">
        <f t="shared" si="2"/>
        <v>262031</v>
      </c>
      <c r="I49" s="1778">
        <f t="shared" si="2"/>
        <v>2687181</v>
      </c>
      <c r="J49" s="1778">
        <f t="shared" si="2"/>
        <v>2021742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5" t="s">
        <v>605</v>
      </c>
      <c r="C52" s="2226"/>
      <c r="D52" s="2226"/>
      <c r="E52" s="750" t="s">
        <v>900</v>
      </c>
      <c r="F52" s="2227" t="s">
        <v>2095</v>
      </c>
      <c r="G52" s="2228"/>
      <c r="H52" s="737"/>
      <c r="I52" s="737"/>
      <c r="J52" s="747"/>
    </row>
    <row r="53" spans="1:11" ht="11.25" customHeight="1" x14ac:dyDescent="0.2">
      <c r="A53" s="751" t="s">
        <v>969</v>
      </c>
      <c r="B53" s="752" t="s">
        <v>1008</v>
      </c>
      <c r="C53" s="747"/>
      <c r="D53" s="738"/>
      <c r="E53" s="750" t="s">
        <v>518</v>
      </c>
      <c r="F53" s="2229"/>
      <c r="G53" s="2230"/>
      <c r="H53" s="737"/>
      <c r="I53" s="737"/>
      <c r="J53" s="747"/>
    </row>
    <row r="54" spans="1:11" ht="11.25" customHeight="1" x14ac:dyDescent="0.2">
      <c r="A54" s="753" t="s">
        <v>970</v>
      </c>
      <c r="B54" s="748" t="s">
        <v>1009</v>
      </c>
      <c r="C54" s="747"/>
      <c r="D54" s="738"/>
      <c r="E54" s="750" t="s">
        <v>519</v>
      </c>
      <c r="F54" s="2229"/>
      <c r="G54" s="223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6" sqref="H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9" t="s">
        <v>911</v>
      </c>
      <c r="B1" s="2260"/>
      <c r="C1" s="2260"/>
      <c r="D1" s="2260"/>
      <c r="E1" s="2260"/>
      <c r="F1" s="2260"/>
      <c r="G1" s="2261"/>
      <c r="H1" s="1552"/>
      <c r="I1" s="761"/>
      <c r="J1" s="433"/>
    </row>
    <row r="2" spans="1:11" ht="26.25" x14ac:dyDescent="0.2">
      <c r="A2" s="2238" t="s">
        <v>1776</v>
      </c>
      <c r="B2" s="2239"/>
      <c r="C2" s="2239"/>
      <c r="D2" s="2239"/>
      <c r="E2" s="2240"/>
      <c r="F2" s="762" t="s">
        <v>960</v>
      </c>
      <c r="G2" s="763" t="s">
        <v>1773</v>
      </c>
      <c r="H2" s="763" t="s">
        <v>430</v>
      </c>
      <c r="I2" s="763" t="s">
        <v>1220</v>
      </c>
      <c r="J2" s="763" t="s">
        <v>1919</v>
      </c>
      <c r="K2" s="763" t="s">
        <v>140</v>
      </c>
    </row>
    <row r="3" spans="1:11" x14ac:dyDescent="0.2">
      <c r="A3" s="2241" t="s">
        <v>1698</v>
      </c>
      <c r="B3" s="2242"/>
      <c r="C3" s="2242"/>
      <c r="D3" s="2242"/>
      <c r="E3" s="2243"/>
      <c r="F3" s="764"/>
      <c r="G3" s="765"/>
      <c r="H3" s="765"/>
      <c r="I3" s="765"/>
      <c r="J3" s="766"/>
      <c r="K3" s="766"/>
    </row>
    <row r="4" spans="1:11" x14ac:dyDescent="0.2">
      <c r="A4" s="2244" t="s">
        <v>387</v>
      </c>
      <c r="B4" s="2245"/>
      <c r="C4" s="2245"/>
      <c r="D4" s="2245"/>
      <c r="E4" s="2226"/>
      <c r="F4" s="767"/>
      <c r="G4" s="768"/>
      <c r="H4" s="769"/>
      <c r="I4" s="768"/>
      <c r="J4" s="770"/>
      <c r="K4" s="770"/>
    </row>
    <row r="5" spans="1:11" x14ac:dyDescent="0.2">
      <c r="A5" s="2262" t="s">
        <v>1129</v>
      </c>
      <c r="B5" s="2235"/>
      <c r="C5" s="2235"/>
      <c r="D5" s="2235"/>
      <c r="E5" s="2263"/>
      <c r="F5" s="771" t="s">
        <v>903</v>
      </c>
      <c r="G5" s="772"/>
      <c r="H5" s="765">
        <v>314418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2" t="s">
        <v>1920</v>
      </c>
      <c r="B10" s="2235"/>
      <c r="C10" s="2235"/>
      <c r="D10" s="2235"/>
      <c r="E10" s="2264"/>
      <c r="F10" s="784" t="s">
        <v>917</v>
      </c>
      <c r="G10" s="783"/>
      <c r="H10" s="785"/>
      <c r="I10" s="765"/>
      <c r="J10" s="766"/>
      <c r="K10" s="766"/>
    </row>
    <row r="11" spans="1:11" x14ac:dyDescent="0.2">
      <c r="A11" s="2262" t="s">
        <v>162</v>
      </c>
      <c r="B11" s="2235"/>
      <c r="C11" s="2235"/>
      <c r="D11" s="2235"/>
      <c r="E11" s="2263"/>
      <c r="F11" s="771" t="s">
        <v>907</v>
      </c>
      <c r="G11" s="772"/>
      <c r="H11" s="765"/>
      <c r="I11" s="765"/>
      <c r="J11" s="766"/>
      <c r="K11" s="774"/>
    </row>
    <row r="12" spans="1:11" ht="13.5" thickBot="1" x14ac:dyDescent="0.25">
      <c r="A12" s="2252" t="s">
        <v>961</v>
      </c>
      <c r="B12" s="2253"/>
      <c r="C12" s="2253"/>
      <c r="D12" s="2253"/>
      <c r="E12" s="2254"/>
      <c r="F12" s="1779"/>
      <c r="G12" s="1780">
        <f>SUM(G5:G11)</f>
        <v>0</v>
      </c>
      <c r="H12" s="1780">
        <f>SUM(H5:H11)</f>
        <v>314418</v>
      </c>
      <c r="I12" s="1780">
        <f>SUM(I5:I11)</f>
        <v>0</v>
      </c>
      <c r="J12" s="1780">
        <f>SUM(J5:J11)</f>
        <v>0</v>
      </c>
      <c r="K12" s="1780">
        <f>SUM(K5:K11)</f>
        <v>0</v>
      </c>
    </row>
    <row r="13" spans="1:11" ht="13.5" thickTop="1" x14ac:dyDescent="0.2">
      <c r="A13" s="2246" t="s">
        <v>388</v>
      </c>
      <c r="B13" s="2247"/>
      <c r="C13" s="2247"/>
      <c r="D13" s="2247"/>
      <c r="E13" s="2248"/>
      <c r="F13" s="786"/>
      <c r="G13" s="787"/>
      <c r="H13" s="788"/>
      <c r="I13" s="789"/>
      <c r="J13" s="789"/>
      <c r="K13" s="789"/>
    </row>
    <row r="14" spans="1:11" x14ac:dyDescent="0.2">
      <c r="A14" s="2268" t="s">
        <v>476</v>
      </c>
      <c r="B14" s="2268"/>
      <c r="C14" s="2268"/>
      <c r="D14" s="2268"/>
      <c r="E14" s="2269"/>
      <c r="F14" s="790" t="s">
        <v>909</v>
      </c>
      <c r="G14" s="783"/>
      <c r="H14" s="765">
        <v>314418</v>
      </c>
      <c r="I14" s="772"/>
      <c r="J14" s="774"/>
      <c r="K14" s="766"/>
    </row>
    <row r="15" spans="1:11" x14ac:dyDescent="0.2">
      <c r="A15" s="2235" t="s">
        <v>4</v>
      </c>
      <c r="B15" s="2235"/>
      <c r="C15" s="2235"/>
      <c r="D15" s="2235"/>
      <c r="E15" s="2263"/>
      <c r="F15" s="790" t="s">
        <v>910</v>
      </c>
      <c r="G15" s="772"/>
      <c r="H15" s="765"/>
      <c r="I15" s="765"/>
      <c r="J15" s="766"/>
      <c r="K15" s="766"/>
    </row>
    <row r="16" spans="1:11" x14ac:dyDescent="0.2">
      <c r="A16" s="2235" t="s">
        <v>316</v>
      </c>
      <c r="B16" s="2235"/>
      <c r="C16" s="2235"/>
      <c r="D16" s="2235"/>
      <c r="E16" s="2263"/>
      <c r="F16" s="790" t="s">
        <v>980</v>
      </c>
      <c r="G16" s="773"/>
      <c r="H16" s="768"/>
      <c r="I16" s="768"/>
      <c r="J16" s="770"/>
      <c r="K16" s="770"/>
    </row>
    <row r="17" spans="1:11" x14ac:dyDescent="0.2">
      <c r="A17" s="2257" t="s">
        <v>992</v>
      </c>
      <c r="B17" s="2257"/>
      <c r="C17" s="2257"/>
      <c r="D17" s="2257"/>
      <c r="E17" s="2258"/>
      <c r="F17" s="791"/>
      <c r="G17" s="792"/>
      <c r="H17" s="793"/>
      <c r="I17" s="793"/>
      <c r="J17" s="794"/>
      <c r="K17" s="795"/>
    </row>
    <row r="18" spans="1:11" x14ac:dyDescent="0.2">
      <c r="A18" s="2249" t="s">
        <v>386</v>
      </c>
      <c r="B18" s="2250"/>
      <c r="C18" s="2250"/>
      <c r="D18" s="2250"/>
      <c r="E18" s="2251"/>
      <c r="F18" s="790" t="s">
        <v>989</v>
      </c>
      <c r="G18" s="783"/>
      <c r="H18" s="783"/>
      <c r="I18" s="783"/>
      <c r="J18" s="766"/>
      <c r="K18" s="796"/>
    </row>
    <row r="19" spans="1:11" ht="21.75" customHeight="1" x14ac:dyDescent="0.2">
      <c r="A19" s="2270" t="s">
        <v>1916</v>
      </c>
      <c r="B19" s="2270"/>
      <c r="C19" s="2270"/>
      <c r="D19" s="2270"/>
      <c r="E19" s="2271"/>
      <c r="F19" s="790" t="s">
        <v>990</v>
      </c>
      <c r="G19" s="783"/>
      <c r="H19" s="783"/>
      <c r="I19" s="783"/>
      <c r="J19" s="766"/>
      <c r="K19" s="796"/>
    </row>
    <row r="20" spans="1:11" x14ac:dyDescent="0.2">
      <c r="A20" s="2249" t="s">
        <v>1921</v>
      </c>
      <c r="B20" s="2250"/>
      <c r="C20" s="2250"/>
      <c r="D20" s="2250"/>
      <c r="E20" s="2251"/>
      <c r="F20" s="790" t="s">
        <v>991</v>
      </c>
      <c r="G20" s="783"/>
      <c r="H20" s="783"/>
      <c r="I20" s="783"/>
      <c r="J20" s="766"/>
      <c r="K20" s="796"/>
    </row>
    <row r="21" spans="1:11" ht="13.5" thickBot="1" x14ac:dyDescent="0.25">
      <c r="A21" s="2255" t="s">
        <v>659</v>
      </c>
      <c r="B21" s="2255"/>
      <c r="C21" s="2255"/>
      <c r="D21" s="2255"/>
      <c r="E21" s="2255"/>
      <c r="F21" s="1781"/>
      <c r="G21" s="793"/>
      <c r="H21" s="797"/>
      <c r="I21" s="797"/>
      <c r="J21" s="1782">
        <f>SUM(J18:J20)</f>
        <v>0</v>
      </c>
      <c r="K21" s="794"/>
    </row>
    <row r="22" spans="1:11" ht="13.5" thickTop="1" x14ac:dyDescent="0.2">
      <c r="A22" s="2235" t="s">
        <v>1922</v>
      </c>
      <c r="B22" s="2235"/>
      <c r="C22" s="2235"/>
      <c r="D22" s="2235"/>
      <c r="E22" s="2263"/>
      <c r="F22" s="790" t="s">
        <v>917</v>
      </c>
      <c r="G22" s="783"/>
      <c r="H22" s="765"/>
      <c r="I22" s="765"/>
      <c r="J22" s="798"/>
      <c r="K22" s="766"/>
    </row>
    <row r="23" spans="1:11" ht="13.5" thickBot="1" x14ac:dyDescent="0.25">
      <c r="A23" s="2256" t="s">
        <v>962</v>
      </c>
      <c r="B23" s="2255"/>
      <c r="C23" s="2255"/>
      <c r="D23" s="2255"/>
      <c r="E23" s="2255"/>
      <c r="F23" s="1783"/>
      <c r="G23" s="1780">
        <f>SUM(G14:G16,G21,G22)</f>
        <v>0</v>
      </c>
      <c r="H23" s="1780">
        <f>SUM(H14:H16,H21,H22)</f>
        <v>314418</v>
      </c>
      <c r="I23" s="1780">
        <f>SUM(I14:I16,I21,I22)</f>
        <v>0</v>
      </c>
      <c r="J23" s="1780">
        <f>SUM(J14:J16,J21,J22)</f>
        <v>0</v>
      </c>
      <c r="K23" s="1780">
        <f>SUM(K14:K16,K21,K22)</f>
        <v>0</v>
      </c>
    </row>
    <row r="24" spans="1:11" ht="14.25" thickTop="1" thickBot="1" x14ac:dyDescent="0.25">
      <c r="A24" s="2256" t="s">
        <v>2024</v>
      </c>
      <c r="B24" s="2255"/>
      <c r="C24" s="2255"/>
      <c r="D24" s="2255"/>
      <c r="E24" s="225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5"/>
      <c r="I31" s="2266"/>
      <c r="J31" s="2266"/>
      <c r="K31" s="2266"/>
    </row>
    <row r="32" spans="1:11" x14ac:dyDescent="0.2">
      <c r="A32" s="810"/>
      <c r="B32" s="237"/>
      <c r="C32" s="237"/>
      <c r="D32" s="237"/>
      <c r="E32" s="806"/>
      <c r="F32" s="812" t="s">
        <v>561</v>
      </c>
      <c r="G32" s="765"/>
      <c r="H32" s="2267"/>
      <c r="I32" s="2266"/>
      <c r="J32" s="2266"/>
      <c r="K32" s="2266"/>
    </row>
    <row r="33" spans="1:11" ht="1.5" customHeight="1" x14ac:dyDescent="0.2">
      <c r="A33" s="813" t="s">
        <v>1231</v>
      </c>
      <c r="B33" s="364"/>
      <c r="C33" s="364"/>
      <c r="D33" s="364"/>
      <c r="E33" s="364"/>
      <c r="F33" s="364"/>
      <c r="G33" s="814"/>
      <c r="H33" s="2267"/>
      <c r="I33" s="2266"/>
      <c r="J33" s="2266"/>
      <c r="K33" s="2266"/>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19013</v>
      </c>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v>25163</v>
      </c>
    </row>
    <row r="40" spans="1:11" x14ac:dyDescent="0.2">
      <c r="A40" s="821" t="s">
        <v>1052</v>
      </c>
      <c r="B40" s="819"/>
      <c r="C40" s="819"/>
      <c r="D40" s="819"/>
      <c r="E40" s="819"/>
      <c r="F40" s="820"/>
      <c r="G40" s="766"/>
    </row>
    <row r="41" spans="1:11" x14ac:dyDescent="0.2">
      <c r="A41" s="2235" t="s">
        <v>562</v>
      </c>
      <c r="B41" s="2236"/>
      <c r="C41" s="2236"/>
      <c r="D41" s="2236"/>
      <c r="E41" s="2236"/>
      <c r="F41" s="223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v>8581</v>
      </c>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6" sqref="H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2033</v>
      </c>
      <c r="B1" s="2275"/>
      <c r="C1" s="2276"/>
      <c r="D1" s="827"/>
      <c r="E1" s="828"/>
      <c r="F1" s="828"/>
      <c r="G1" s="829"/>
      <c r="H1" s="830"/>
      <c r="I1" s="831"/>
      <c r="J1" s="2272"/>
      <c r="K1" s="2273"/>
      <c r="L1" s="2273"/>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591553</v>
      </c>
      <c r="D5" s="842"/>
      <c r="E5" s="842"/>
      <c r="F5" s="1782">
        <f>(C5+D5)-E5</f>
        <v>591553</v>
      </c>
      <c r="G5" s="838"/>
      <c r="H5" s="843"/>
      <c r="I5" s="843"/>
      <c r="J5" s="843"/>
      <c r="K5" s="794"/>
      <c r="L5" s="1791">
        <f>F5-K5</f>
        <v>591553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16065468</v>
      </c>
      <c r="D8" s="845">
        <v>30716</v>
      </c>
      <c r="E8" s="845"/>
      <c r="F8" s="1782">
        <f>(C8+D8)-E8</f>
        <v>16096184</v>
      </c>
      <c r="G8" s="844">
        <v>50</v>
      </c>
      <c r="H8" s="766">
        <v>6374248</v>
      </c>
      <c r="I8" s="766">
        <v>370280</v>
      </c>
      <c r="J8" s="766"/>
      <c r="K8" s="1791">
        <f>(H8+I8)-J8</f>
        <v>6744528</v>
      </c>
      <c r="L8" s="1791">
        <f>F8-K8</f>
        <v>9351656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641650</v>
      </c>
      <c r="D10" s="847">
        <v>12268</v>
      </c>
      <c r="E10" s="847"/>
      <c r="F10" s="1786">
        <f>(C10+D10)-E10</f>
        <v>653918</v>
      </c>
      <c r="G10" s="844">
        <v>20</v>
      </c>
      <c r="H10" s="848">
        <v>346633</v>
      </c>
      <c r="I10" s="848">
        <v>27636</v>
      </c>
      <c r="J10" s="848"/>
      <c r="K10" s="1791">
        <f>(H10+I10)-J10</f>
        <v>374269</v>
      </c>
      <c r="L10" s="1791">
        <f>F10-K10</f>
        <v>279649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683138</v>
      </c>
      <c r="D12" s="845">
        <v>19363</v>
      </c>
      <c r="E12" s="845"/>
      <c r="F12" s="1782">
        <f>(C12+D12)-E12</f>
        <v>702501</v>
      </c>
      <c r="G12" s="844">
        <v>10</v>
      </c>
      <c r="H12" s="766">
        <v>527637</v>
      </c>
      <c r="I12" s="766">
        <v>36543</v>
      </c>
      <c r="J12" s="766"/>
      <c r="K12" s="1791">
        <f>(H12+I12)-J12</f>
        <v>564180</v>
      </c>
      <c r="L12" s="1791">
        <f>F12-K12</f>
        <v>138321</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17981809</v>
      </c>
      <c r="D16" s="1782">
        <f>SUM(D3,D5:D6,D8:D10,D12:D15)</f>
        <v>62347</v>
      </c>
      <c r="E16" s="1782">
        <f>SUM(E3,E5:E6,E8:E10,E12:E15)</f>
        <v>0</v>
      </c>
      <c r="F16" s="1782">
        <f>SUM(F3,F5:F6,F8:F10,F12:F15)</f>
        <v>18044156</v>
      </c>
      <c r="G16" s="844"/>
      <c r="H16" s="1782">
        <f>SUM(H3,H6,H8:H10,H12:H14,)</f>
        <v>7248518</v>
      </c>
      <c r="I16" s="1782">
        <f>SUM(I3,I6,I8:I10,I12:I14,)</f>
        <v>434459</v>
      </c>
      <c r="J16" s="1782">
        <f>SUM(J3,J6,J8:J10,J12:J14,)</f>
        <v>0</v>
      </c>
      <c r="K16" s="1782">
        <f>(H16+I16)-J16</f>
        <v>7682977</v>
      </c>
      <c r="L16" s="1782">
        <f>F16-K16</f>
        <v>10361179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150293</v>
      </c>
      <c r="G17" s="838">
        <v>10</v>
      </c>
      <c r="H17" s="770"/>
      <c r="I17" s="1791">
        <f>F17/G17</f>
        <v>15029.3</v>
      </c>
      <c r="J17" s="770"/>
      <c r="K17" s="796"/>
      <c r="L17" s="796"/>
    </row>
    <row r="18" spans="1:12" ht="14.25" thickTop="1" thickBot="1" x14ac:dyDescent="0.25">
      <c r="A18" s="1789" t="s">
        <v>706</v>
      </c>
      <c r="B18" s="1790"/>
      <c r="C18" s="772"/>
      <c r="D18" s="772"/>
      <c r="E18" s="772"/>
      <c r="F18" s="851"/>
      <c r="G18" s="852"/>
      <c r="H18" s="774"/>
      <c r="I18" s="1782">
        <f>SUM(I16,I17)</f>
        <v>449488.3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3" activePane="bottomLeft" state="frozen"/>
      <selection activeCell="H16" sqref="H16"/>
      <selection pane="bottomLeft" activeCell="H16" sqref="H1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1699</v>
      </c>
      <c r="B1" s="2281"/>
      <c r="C1" s="2281"/>
      <c r="D1" s="2281"/>
      <c r="E1" s="2281"/>
      <c r="F1" s="2282"/>
      <c r="G1" s="856"/>
    </row>
    <row r="2" spans="1:7" ht="15" customHeight="1" thickBot="1" x14ac:dyDescent="0.25">
      <c r="A2" s="2283" t="s">
        <v>498</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4240986</v>
      </c>
      <c r="G8" s="866"/>
    </row>
    <row r="9" spans="1:7" x14ac:dyDescent="0.2">
      <c r="A9" s="870" t="s">
        <v>480</v>
      </c>
      <c r="B9" s="871" t="s">
        <v>1988</v>
      </c>
      <c r="C9" s="872"/>
      <c r="D9" s="870" t="s">
        <v>522</v>
      </c>
      <c r="E9" s="869"/>
      <c r="F9" s="1935">
        <f>'Expenditures 15-22'!K151</f>
        <v>483638</v>
      </c>
      <c r="G9" s="873"/>
    </row>
    <row r="10" spans="1:7" x14ac:dyDescent="0.2">
      <c r="A10" s="870" t="s">
        <v>520</v>
      </c>
      <c r="B10" s="871" t="s">
        <v>1989</v>
      </c>
      <c r="C10" s="872"/>
      <c r="D10" s="870" t="s">
        <v>522</v>
      </c>
      <c r="E10" s="869"/>
      <c r="F10" s="1935">
        <f>'Expenditures 15-22'!K174</f>
        <v>967835</v>
      </c>
      <c r="G10" s="873"/>
    </row>
    <row r="11" spans="1:7" x14ac:dyDescent="0.2">
      <c r="A11" s="870" t="s">
        <v>481</v>
      </c>
      <c r="B11" s="871" t="s">
        <v>1990</v>
      </c>
      <c r="C11" s="872"/>
      <c r="D11" s="870" t="s">
        <v>522</v>
      </c>
      <c r="E11" s="869"/>
      <c r="F11" s="1935">
        <f>'Expenditures 15-22'!K210</f>
        <v>54209</v>
      </c>
      <c r="G11" s="873"/>
    </row>
    <row r="12" spans="1:7" x14ac:dyDescent="0.2">
      <c r="A12" s="870" t="s">
        <v>482</v>
      </c>
      <c r="B12" s="871" t="s">
        <v>1991</v>
      </c>
      <c r="C12" s="872"/>
      <c r="D12" s="870" t="s">
        <v>522</v>
      </c>
      <c r="E12" s="869"/>
      <c r="F12" s="1935">
        <f>'Expenditures 15-22'!K295</f>
        <v>166208</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5912876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6508</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13671</v>
      </c>
      <c r="G52" s="866"/>
    </row>
    <row r="53" spans="1:7" x14ac:dyDescent="0.2">
      <c r="A53" s="870" t="s">
        <v>479</v>
      </c>
      <c r="B53" s="870" t="s">
        <v>1551</v>
      </c>
      <c r="C53" s="890">
        <f>'Expenditures 15-22'!B102</f>
        <v>4000</v>
      </c>
      <c r="D53" s="889" t="str">
        <f>'Expenditures 15-22'!A102</f>
        <v>Total Payments to Other Govt Units</v>
      </c>
      <c r="E53" s="869"/>
      <c r="F53" s="1939">
        <f>'Expenditures 15-22'!K102</f>
        <v>157523</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148086</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19363</v>
      </c>
      <c r="G58" s="866"/>
    </row>
    <row r="59" spans="1:7" x14ac:dyDescent="0.2">
      <c r="A59" s="894" t="s">
        <v>480</v>
      </c>
      <c r="B59" s="857" t="s">
        <v>1995</v>
      </c>
      <c r="C59" s="895" t="s">
        <v>1039</v>
      </c>
      <c r="D59" s="857" t="s">
        <v>309</v>
      </c>
      <c r="F59" s="1942">
        <f>'Expenditures 15-22'!I151</f>
        <v>2207</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262031</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51</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609440</v>
      </c>
      <c r="G76" s="866"/>
    </row>
    <row r="77" spans="1:8" s="894" customFormat="1" ht="12" customHeight="1" thickTop="1" thickBot="1" x14ac:dyDescent="0.25">
      <c r="A77" s="1801"/>
      <c r="B77" s="1798"/>
      <c r="C77" s="1794"/>
      <c r="D77" s="1799" t="s">
        <v>2011</v>
      </c>
      <c r="E77" s="1796"/>
      <c r="F77" s="1802">
        <f>(F14-F76)</f>
        <v>5303436</v>
      </c>
      <c r="G77" s="870"/>
    </row>
    <row r="78" spans="1:8" s="894" customFormat="1" ht="12" customHeight="1" thickTop="1" x14ac:dyDescent="0.2">
      <c r="A78" s="1803"/>
      <c r="B78" s="1798"/>
      <c r="C78" s="1794"/>
      <c r="D78" s="1799" t="s">
        <v>2057</v>
      </c>
      <c r="E78" s="1796"/>
      <c r="F78" s="899">
        <v>265.88</v>
      </c>
      <c r="G78" s="900"/>
      <c r="H78" s="870"/>
    </row>
    <row r="79" spans="1:8" s="894" customFormat="1" ht="12" customHeight="1" thickBot="1" x14ac:dyDescent="0.25">
      <c r="A79" s="1804"/>
      <c r="B79" s="1798"/>
      <c r="C79" s="1794"/>
      <c r="D79" s="1799" t="s">
        <v>2012</v>
      </c>
      <c r="E79" s="1796" t="s">
        <v>1015</v>
      </c>
      <c r="F79" s="1805">
        <f>IF(F78&gt;0,F77/F78," Complete Line 78")</f>
        <v>19946.72784714909</v>
      </c>
      <c r="G79" s="870"/>
    </row>
    <row r="80" spans="1:8" s="894" customFormat="1" ht="8.25" customHeight="1" thickTop="1" x14ac:dyDescent="0.2">
      <c r="A80" s="901"/>
      <c r="B80" s="870"/>
      <c r="C80" s="872"/>
      <c r="D80" s="902"/>
      <c r="E80" s="869"/>
      <c r="F80" s="903"/>
      <c r="G80" s="870"/>
    </row>
    <row r="81" spans="1:7" s="894" customFormat="1" ht="12" thickBot="1" x14ac:dyDescent="0.25">
      <c r="A81" s="2277" t="s">
        <v>1167</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59837</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158000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96362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5319</v>
      </c>
      <c r="G107" s="913"/>
    </row>
    <row r="108" spans="1:7" x14ac:dyDescent="0.2">
      <c r="A108" s="909" t="s">
        <v>479</v>
      </c>
      <c r="B108" s="909" t="s">
        <v>844</v>
      </c>
      <c r="C108" s="921">
        <f>'Revenues 9-14'!B145</f>
        <v>3360</v>
      </c>
      <c r="D108" s="912" t="str">
        <f>'Revenues 9-14'!A145</f>
        <v>State Free Lunch &amp; Breakfast</v>
      </c>
      <c r="E108" s="907"/>
      <c r="F108" s="1811">
        <f>'Revenues 9-14'!C145</f>
        <v>247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33798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3361</v>
      </c>
      <c r="G129" s="931"/>
    </row>
    <row r="130" spans="1:7" x14ac:dyDescent="0.2">
      <c r="A130" s="928" t="s">
        <v>689</v>
      </c>
      <c r="B130" s="928" t="s">
        <v>804</v>
      </c>
      <c r="C130" s="933">
        <v>4300</v>
      </c>
      <c r="D130" s="934" t="str">
        <f>'Revenues 9-14'!A211</f>
        <v>Total Title I</v>
      </c>
      <c r="E130" s="907"/>
      <c r="F130" s="1811">
        <f>SUM('Revenues 9-14'!C211,'Revenues 9-14'!D211,'Revenues 9-14'!F211,'Revenues 9-14'!G211)</f>
        <v>53742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4404</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76746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11834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11629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35123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551902</v>
      </c>
    </row>
    <row r="179" spans="1:7" ht="12" customHeight="1" x14ac:dyDescent="0.2">
      <c r="A179" s="1792"/>
      <c r="B179" s="1806"/>
      <c r="C179" s="1807"/>
      <c r="D179" s="1808" t="s">
        <v>2014</v>
      </c>
      <c r="E179" s="1809"/>
      <c r="F179" s="1811">
        <f>'PCTC-OEPP 27-28'!F77-F178</f>
        <v>4751534</v>
      </c>
    </row>
    <row r="180" spans="1:7" ht="12" customHeight="1" x14ac:dyDescent="0.2">
      <c r="A180" s="1792"/>
      <c r="B180" s="1806"/>
      <c r="C180" s="1807"/>
      <c r="D180" s="1808" t="s">
        <v>1924</v>
      </c>
      <c r="E180" s="1809"/>
      <c r="F180" s="1811">
        <f>'Cap Outlay Deprec 26'!I18</f>
        <v>449488.3</v>
      </c>
    </row>
    <row r="181" spans="1:7" ht="12" customHeight="1" x14ac:dyDescent="0.2">
      <c r="A181" s="1792"/>
      <c r="B181" s="1806"/>
      <c r="C181" s="1807"/>
      <c r="D181" s="1808" t="s">
        <v>2015</v>
      </c>
      <c r="E181" s="1809"/>
      <c r="F181" s="1811">
        <f>F179+F180</f>
        <v>5201022.3</v>
      </c>
    </row>
    <row r="182" spans="1:7" ht="12" customHeight="1" x14ac:dyDescent="0.2">
      <c r="A182" s="1792"/>
      <c r="B182" s="1812"/>
      <c r="C182" s="1807"/>
      <c r="D182" s="1808" t="str">
        <f>D78</f>
        <v>9 Month ADA from District Average Daily Attendance/Prior General State Aid Inquiry 2017-2018</v>
      </c>
      <c r="E182" s="1809"/>
      <c r="F182" s="1813">
        <f>'PCTC-OEPP 27-28'!F78</f>
        <v>265.88</v>
      </c>
      <c r="G182" s="931"/>
    </row>
    <row r="183" spans="1:7" ht="12" customHeight="1" thickBot="1" x14ac:dyDescent="0.25">
      <c r="A183" s="1792"/>
      <c r="B183" s="1812"/>
      <c r="C183" s="1807"/>
      <c r="D183" s="1808" t="s">
        <v>2016</v>
      </c>
      <c r="E183" s="1809" t="s">
        <v>1626</v>
      </c>
      <c r="F183" s="1814">
        <f>F181/F182</f>
        <v>19561.540168497067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9" activePane="bottomLeft" state="frozen"/>
      <selection activeCell="H16" sqref="H16"/>
      <selection pane="bottomLeft" activeCell="H16" sqref="H16"/>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1" t="s">
        <v>1925</v>
      </c>
      <c r="B4" s="2292"/>
      <c r="C4" s="2292"/>
      <c r="D4" s="2292"/>
      <c r="E4" s="2292"/>
      <c r="F4" s="2292"/>
      <c r="G4" s="2293"/>
    </row>
    <row r="5" spans="1:7" x14ac:dyDescent="0.25">
      <c r="A5" s="2294"/>
      <c r="B5" s="2295"/>
      <c r="C5" s="2295"/>
      <c r="D5" s="2295"/>
      <c r="E5" s="2295"/>
      <c r="F5" s="2295"/>
      <c r="G5" s="2296"/>
    </row>
    <row r="6" spans="1:7" ht="18.75" x14ac:dyDescent="0.25">
      <c r="A6" s="1556" t="s">
        <v>1926</v>
      </c>
      <c r="B6" s="1557"/>
      <c r="C6" s="1557"/>
      <c r="D6" s="1557"/>
      <c r="E6" s="1557"/>
      <c r="F6" s="1557"/>
      <c r="G6" s="1558"/>
    </row>
    <row r="7" spans="1:7" ht="30.75" customHeight="1" x14ac:dyDescent="0.25">
      <c r="A7" s="2297" t="s">
        <v>2073</v>
      </c>
      <c r="B7" s="2298"/>
      <c r="C7" s="2298"/>
      <c r="D7" s="2298"/>
      <c r="E7" s="2298"/>
      <c r="F7" s="2298"/>
      <c r="G7" s="2299"/>
    </row>
    <row r="8" spans="1:7" ht="15.75" customHeight="1" x14ac:dyDescent="0.25">
      <c r="A8" s="2300" t="s">
        <v>2022</v>
      </c>
      <c r="B8" s="2301"/>
      <c r="C8" s="2301"/>
      <c r="D8" s="2301"/>
      <c r="E8" s="2301"/>
      <c r="F8" s="2301"/>
      <c r="G8" s="2302"/>
    </row>
    <row r="9" spans="1:7" ht="35.25" customHeight="1" x14ac:dyDescent="0.25">
      <c r="A9" s="2297" t="s">
        <v>2076</v>
      </c>
      <c r="B9" s="2298"/>
      <c r="C9" s="2298"/>
      <c r="D9" s="2298"/>
      <c r="E9" s="2298"/>
      <c r="F9" s="2298"/>
      <c r="G9" s="2299"/>
    </row>
    <row r="10" spans="1:7" ht="15" customHeight="1" x14ac:dyDescent="0.25">
      <c r="A10" s="1559" t="s">
        <v>1927</v>
      </c>
      <c r="B10" s="1560"/>
      <c r="C10" s="1560"/>
      <c r="D10" s="1560"/>
      <c r="E10" s="1560"/>
      <c r="F10" s="1560"/>
      <c r="G10" s="1561"/>
    </row>
    <row r="11" spans="1:7" ht="17.25" customHeight="1" x14ac:dyDescent="0.25">
      <c r="A11" s="2297" t="s">
        <v>2075</v>
      </c>
      <c r="B11" s="2298"/>
      <c r="C11" s="2298"/>
      <c r="D11" s="2298"/>
      <c r="E11" s="2298"/>
      <c r="F11" s="2298"/>
      <c r="G11" s="2299"/>
    </row>
    <row r="12" spans="1:7" ht="15" customHeight="1" x14ac:dyDescent="0.25">
      <c r="A12" s="1559" t="s">
        <v>1932</v>
      </c>
      <c r="B12" s="1560"/>
      <c r="C12" s="1560"/>
      <c r="D12" s="1560"/>
      <c r="E12" s="1560"/>
      <c r="F12" s="1560"/>
      <c r="G12" s="1561"/>
    </row>
    <row r="13" spans="1:7" ht="32.25" customHeight="1" x14ac:dyDescent="0.25">
      <c r="A13" s="2288" t="s">
        <v>1933</v>
      </c>
      <c r="B13" s="2289"/>
      <c r="C13" s="2289"/>
      <c r="D13" s="2289"/>
      <c r="E13" s="2289"/>
      <c r="F13" s="2289"/>
      <c r="G13" s="2290"/>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6" t="s">
        <v>2096</v>
      </c>
      <c r="B17" s="1957" t="s">
        <v>2097</v>
      </c>
      <c r="C17" s="1958" t="s">
        <v>2098</v>
      </c>
      <c r="D17" s="1867">
        <v>5226</v>
      </c>
      <c r="E17" s="1562">
        <f t="shared" ref="E17:E141" si="1">IF(D17&lt;=25000,D17,IF(D17&gt;25000,25000,0))</f>
        <v>5226</v>
      </c>
      <c r="F17" s="1815">
        <f t="shared" si="0"/>
        <v>5226</v>
      </c>
      <c r="G17" s="1816">
        <f>IF(F17=0,0,D17-F17)</f>
        <v>0</v>
      </c>
      <c r="H17" s="1669"/>
    </row>
    <row r="18" spans="1:8" x14ac:dyDescent="0.25">
      <c r="A18" s="1956" t="s">
        <v>2099</v>
      </c>
      <c r="B18" s="1957" t="s">
        <v>2100</v>
      </c>
      <c r="C18" s="1958" t="s">
        <v>2101</v>
      </c>
      <c r="D18" s="1867">
        <v>33593</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8593</v>
      </c>
    </row>
    <row r="19" spans="1:8" ht="30" x14ac:dyDescent="0.25">
      <c r="A19" s="1960" t="s">
        <v>2102</v>
      </c>
      <c r="B19" s="1957" t="s">
        <v>2103</v>
      </c>
      <c r="C19" s="1959" t="s">
        <v>2105</v>
      </c>
      <c r="D19" s="1867">
        <f>20598+3663</f>
        <v>24261</v>
      </c>
      <c r="E19" s="1562">
        <f t="shared" si="2"/>
        <v>24261</v>
      </c>
      <c r="F19" s="1815">
        <f t="shared" si="3"/>
        <v>24261</v>
      </c>
      <c r="G19" s="1816">
        <f t="shared" si="4"/>
        <v>0</v>
      </c>
    </row>
    <row r="20" spans="1:8" x14ac:dyDescent="0.25">
      <c r="A20" s="1960" t="s">
        <v>2106</v>
      </c>
      <c r="B20" s="1961" t="s">
        <v>2107</v>
      </c>
      <c r="C20" s="1959" t="s">
        <v>2108</v>
      </c>
      <c r="D20" s="1867">
        <v>41608</v>
      </c>
      <c r="E20" s="1562">
        <f t="shared" si="2"/>
        <v>25000</v>
      </c>
      <c r="F20" s="1815">
        <f t="shared" si="3"/>
        <v>25000</v>
      </c>
      <c r="G20" s="1816">
        <f t="shared" si="4"/>
        <v>16608</v>
      </c>
    </row>
    <row r="21" spans="1:8" x14ac:dyDescent="0.25">
      <c r="A21" s="1960" t="s">
        <v>2106</v>
      </c>
      <c r="B21" s="1961" t="s">
        <v>2107</v>
      </c>
      <c r="C21" s="1959" t="s">
        <v>2109</v>
      </c>
      <c r="D21" s="1867">
        <v>3825</v>
      </c>
      <c r="E21" s="1562">
        <f t="shared" si="2"/>
        <v>3825</v>
      </c>
      <c r="F21" s="1815">
        <f t="shared" si="3"/>
        <v>3825</v>
      </c>
      <c r="G21" s="1816">
        <f t="shared" si="4"/>
        <v>0</v>
      </c>
    </row>
    <row r="22" spans="1:8" x14ac:dyDescent="0.25">
      <c r="A22" s="1960" t="s">
        <v>2110</v>
      </c>
      <c r="B22" s="1961" t="s">
        <v>2111</v>
      </c>
      <c r="C22" s="1959" t="s">
        <v>2112</v>
      </c>
      <c r="D22" s="1867">
        <v>18179</v>
      </c>
      <c r="E22" s="1562">
        <f t="shared" si="2"/>
        <v>18179</v>
      </c>
      <c r="F22" s="1815">
        <f t="shared" si="3"/>
        <v>0</v>
      </c>
      <c r="G22" s="1816">
        <f t="shared" si="4"/>
        <v>0</v>
      </c>
    </row>
    <row r="23" spans="1:8" ht="30" x14ac:dyDescent="0.25">
      <c r="A23" s="1960" t="s">
        <v>2113</v>
      </c>
      <c r="B23" s="1961" t="s">
        <v>2114</v>
      </c>
      <c r="C23" s="1959" t="s">
        <v>2112</v>
      </c>
      <c r="D23" s="1867">
        <v>25641</v>
      </c>
      <c r="E23" s="1562">
        <f t="shared" si="2"/>
        <v>25000</v>
      </c>
      <c r="F23" s="1815">
        <f t="shared" si="3"/>
        <v>25000</v>
      </c>
      <c r="G23" s="1816">
        <f t="shared" si="4"/>
        <v>641</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152333</v>
      </c>
      <c r="E141" s="1563">
        <f t="shared" si="1"/>
        <v>25000</v>
      </c>
      <c r="F141" s="1817">
        <f>SUM(F17:F140)</f>
        <v>108312</v>
      </c>
      <c r="G141" s="1818">
        <f>SUM(G17:G140)</f>
        <v>25842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H16" sqref="H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3" t="s">
        <v>1778</v>
      </c>
      <c r="B5" s="2304"/>
      <c r="C5" s="2304"/>
      <c r="D5" s="2304"/>
      <c r="E5" s="2304"/>
      <c r="F5" s="2304"/>
      <c r="G5" s="230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8" t="s">
        <v>1944</v>
      </c>
      <c r="B11" s="2309"/>
      <c r="C11" s="2309"/>
      <c r="D11" s="2310"/>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2442334</v>
      </c>
      <c r="F19" s="1822"/>
      <c r="G19" s="1824">
        <f>'Expenditures 15-22'!K33-SUM('Expenditures 15-22'!G33,'Expenditures 15-22'!I33)+'Expenditures 15-22'!D229</f>
        <v>2442334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425951</v>
      </c>
      <c r="F21" s="1825"/>
      <c r="G21" s="1828">
        <f>'Expenditures 15-22'!K42-SUM('Expenditures 15-22'!G42,'Expenditures 15-22'!I42)+'Expenditures 15-22'!K120-SUM('Expenditures 15-22'!G120,'Expenditures 15-22'!I120)+'Expenditures 15-22'!K180-SUM('Expenditures 15-22'!G180,'Expenditures 15-22'!I180)+'Expenditures 15-22'!D238</f>
        <v>425951</v>
      </c>
      <c r="H21" s="988"/>
      <c r="I21" s="162"/>
    </row>
    <row r="22" spans="1:9" s="669" customFormat="1" ht="12" customHeight="1" x14ac:dyDescent="0.2">
      <c r="A22" s="995" t="s">
        <v>585</v>
      </c>
      <c r="B22" s="996"/>
      <c r="C22" s="994">
        <v>2200</v>
      </c>
      <c r="D22" s="1825"/>
      <c r="E22" s="1827">
        <f>'Expenditures 15-22'!K47-SUM('Expenditures 15-22'!G47,'Expenditures 15-22'!I47)+'Expenditures 15-22'!D243</f>
        <v>90846</v>
      </c>
      <c r="F22" s="1825"/>
      <c r="G22" s="1828">
        <f>'Expenditures 15-22'!K47-SUM('Expenditures 15-22'!G47,'Expenditures 15-22'!I47)+'Expenditures 15-22'!D243</f>
        <v>90846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415533</v>
      </c>
      <c r="F23" s="1825"/>
      <c r="G23" s="1827">
        <f>'Expenditures 15-22'!K53-SUM('Expenditures 15-22'!G53,'Expenditures 15-22'!I53)+'Expenditures 15-22'!D257+'Expenditures 15-22'!K330-SUM('Expenditures 15-22'!G330,'Expenditures 15-22'!I330)</f>
        <v>415533</v>
      </c>
      <c r="H23" s="988"/>
      <c r="I23" s="162"/>
    </row>
    <row r="24" spans="1:9" s="669" customFormat="1" ht="12" customHeight="1" x14ac:dyDescent="0.2">
      <c r="A24" s="995" t="s">
        <v>587</v>
      </c>
      <c r="B24" s="996"/>
      <c r="C24" s="994">
        <v>2400</v>
      </c>
      <c r="D24" s="1825"/>
      <c r="E24" s="1827">
        <f>'Expenditures 15-22'!K57-SUM('Expenditures 15-22'!G57,'Expenditures 15-22'!I57)+'Expenditures 15-22'!D261</f>
        <v>248845</v>
      </c>
      <c r="F24" s="1825"/>
      <c r="G24" s="1828">
        <f>'Expenditures 15-22'!K57-SUM('Expenditures 15-22'!G57,'Expenditures 15-22'!I57)+'Expenditures 15-22'!D261</f>
        <v>248845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47363</v>
      </c>
      <c r="E26" s="1827">
        <f>'Expenditures 15-22'!K122-SUM('Expenditures 15-22'!G122,'Expenditures 15-22'!I122)+E7</f>
        <v>0</v>
      </c>
      <c r="F26" s="1827">
        <f>'Expenditures 15-22'!K59-SUM('Expenditures 15-22'!G59,'Expenditures 15-22'!I59)+'Expenditures 15-22'!D263-E7</f>
        <v>47363</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152438</v>
      </c>
      <c r="E27" s="1827">
        <f>E8</f>
        <v>0</v>
      </c>
      <c r="F27" s="1827">
        <f>'Expenditures 15-22'!K60-SUM('Expenditures 15-22'!G60,'Expenditures 15-22'!I60)+'Expenditures 15-22'!D264-E8</f>
        <v>152438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523530</v>
      </c>
      <c r="F28" s="1829">
        <f>'Expenditures 15-22'!K61-SUM('Expenditures 15-22'!G61,'Expenditures 15-22'!I61)+'Expenditures 15-22'!K124-SUM('Expenditures 15-22'!G124,'Expenditures 15-22'!I124)+'Expenditures 15-22'!D266-E9</f>
        <v>523530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54612</v>
      </c>
      <c r="F29" s="1825"/>
      <c r="G29" s="1828">
        <f>'Expenditures 15-22'!K62-SUM('Expenditures 15-22'!G62,'Expenditures 15-22'!I62)+'Expenditures 15-22'!K125-SUM('Expenditures 15-22'!G125,'Expenditures 15-22'!I125)+'Expenditures 15-22'!K182-SUM('Expenditures 15-22'!G182,'Expenditures 15-22'!I182)+'Expenditures 15-22'!D267</f>
        <v>54612</v>
      </c>
      <c r="H29" s="986"/>
    </row>
    <row r="30" spans="1:9" ht="12" customHeight="1" x14ac:dyDescent="0.2">
      <c r="A30" s="995" t="s">
        <v>102</v>
      </c>
      <c r="B30" s="998"/>
      <c r="C30" s="994">
        <v>2560</v>
      </c>
      <c r="D30" s="1825"/>
      <c r="E30" s="1827">
        <f>'Expenditures 15-22'!K63-SUM('Expenditures 15-22'!G63,'Expenditures 15-22'!I63)+'Expenditures 15-22'!D268-E10</f>
        <v>6297</v>
      </c>
      <c r="F30" s="1825"/>
      <c r="G30" s="1827">
        <f>'Expenditures 15-22'!K63-SUM('Expenditures 15-22'!G63,'Expenditures 15-22'!I63)+'Expenditures 15-22'!D268-E10</f>
        <v>6297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3321</v>
      </c>
      <c r="F35" s="1825"/>
      <c r="G35" s="1827">
        <f>'Expenditures 15-22'!K69-SUM('Expenditures 15-22'!G69,'Expenditures 15-22'!I69)+'Expenditures 15-22'!D274</f>
        <v>3321</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193121</v>
      </c>
      <c r="E37" s="1827">
        <f>E14</f>
        <v>0</v>
      </c>
      <c r="F37" s="1827">
        <f>'Expenditures 15-22'!K71-SUM('Expenditures 15-22'!G71,'Expenditures 15-22'!I71)+'Expenditures 15-22'!D276-E14</f>
        <v>193121</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13671</v>
      </c>
      <c r="F39" s="1825"/>
      <c r="G39" s="1827">
        <f>'Expenditures 15-22'!K75-SUM('Expenditures 15-22'!G75,'Expenditures 15-22'!I75)+'Expenditures 15-22'!K130-SUM('Expenditures 15-22'!G130,'Expenditures 15-22'!I130)+'Expenditures 15-22'!K185-SUM('Expenditures 15-22'!G185,'Expenditures 15-22'!I185)+'Expenditures 15-22'!D280</f>
        <v>13671</v>
      </c>
    </row>
    <row r="40" spans="1:7" ht="12" customHeight="1" x14ac:dyDescent="0.2">
      <c r="A40" s="991" t="s">
        <v>1930</v>
      </c>
      <c r="B40" s="992"/>
      <c r="C40" s="994"/>
      <c r="D40" s="1825"/>
      <c r="E40" s="1829">
        <f>-'Contracts Paid in CY 29'!G141</f>
        <v>-25842</v>
      </c>
      <c r="F40" s="1825"/>
      <c r="G40" s="1829">
        <f>-'Contracts Paid in CY 29'!G141</f>
        <v>-25842</v>
      </c>
    </row>
    <row r="41" spans="1:7" ht="12" customHeight="1" x14ac:dyDescent="0.2">
      <c r="A41" s="999" t="s">
        <v>158</v>
      </c>
      <c r="B41" s="1000"/>
      <c r="C41" s="1001"/>
      <c r="D41" s="1829">
        <f>SUM(D19:D39)</f>
        <v>392922</v>
      </c>
      <c r="E41" s="1829">
        <f>SUM(E19:E40)</f>
        <v>4199098</v>
      </c>
      <c r="F41" s="1829">
        <f>SUM(F19:F39)</f>
        <v>916452</v>
      </c>
      <c r="G41" s="1829">
        <f>SUM(G19:G40)</f>
        <v>3675568</v>
      </c>
    </row>
    <row r="42" spans="1:7" x14ac:dyDescent="0.2">
      <c r="A42" s="988"/>
      <c r="B42" s="162"/>
      <c r="C42" s="1002"/>
      <c r="D42" s="2306" t="s">
        <v>543</v>
      </c>
      <c r="E42" s="2307"/>
      <c r="F42" s="1003" t="s">
        <v>544</v>
      </c>
      <c r="G42" s="1004"/>
    </row>
    <row r="43" spans="1:7" ht="12" customHeight="1" x14ac:dyDescent="0.2">
      <c r="A43" s="988"/>
      <c r="B43" s="162"/>
      <c r="C43" s="1002"/>
      <c r="D43" s="1830" t="s">
        <v>493</v>
      </c>
      <c r="E43" s="1831">
        <f>D41</f>
        <v>392922</v>
      </c>
      <c r="F43" s="1830" t="s">
        <v>495</v>
      </c>
      <c r="G43" s="1831">
        <f>F41</f>
        <v>916452</v>
      </c>
    </row>
    <row r="44" spans="1:7" ht="12" customHeight="1" x14ac:dyDescent="0.2">
      <c r="A44" s="988"/>
      <c r="B44" s="162"/>
      <c r="C44" s="1002"/>
      <c r="D44" s="1830" t="s">
        <v>494</v>
      </c>
      <c r="E44" s="1831">
        <f>E41</f>
        <v>4199098</v>
      </c>
      <c r="F44" s="1830" t="s">
        <v>494</v>
      </c>
      <c r="G44" s="1831">
        <f>G41</f>
        <v>3675568</v>
      </c>
    </row>
    <row r="45" spans="1:7" ht="12" customHeight="1" x14ac:dyDescent="0.2">
      <c r="A45" s="988"/>
      <c r="B45" s="162"/>
      <c r="C45" s="162"/>
      <c r="D45" s="1832" t="s">
        <v>1063</v>
      </c>
      <c r="E45" s="1833">
        <f>(E43/E44)</f>
        <v>9.3572953048488033E-2</v>
      </c>
      <c r="F45" s="1832" t="s">
        <v>1063</v>
      </c>
      <c r="G45" s="1833">
        <f>(G43/G44)</f>
        <v>0.249336157023894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H16" sqref="H16"/>
      <selection pane="bottomLeft" activeCell="J1" sqref="J1:J1048576"/>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4" t="s">
        <v>1446</v>
      </c>
      <c r="B1" s="2314"/>
      <c r="C1" s="2314"/>
      <c r="D1" s="2314"/>
      <c r="E1" s="2314"/>
      <c r="F1" s="2314"/>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5" t="s">
        <v>1627</v>
      </c>
      <c r="B5" s="2316"/>
      <c r="C5" s="2317"/>
      <c r="D5" s="2317"/>
      <c r="E5" s="2317"/>
      <c r="F5" s="2317"/>
    </row>
    <row r="6" spans="1:10" ht="12" customHeight="1" x14ac:dyDescent="0.25">
      <c r="A6" s="1875"/>
      <c r="B6" s="1876"/>
      <c r="C6" s="2318" t="str">
        <f>COVER!A17</f>
        <v>Winfield SD 34</v>
      </c>
      <c r="D6" s="2318"/>
      <c r="E6" s="2318"/>
      <c r="F6" s="1877"/>
    </row>
    <row r="7" spans="1:10" ht="11.25" customHeight="1" thickBot="1" x14ac:dyDescent="0.3">
      <c r="A7" s="1875"/>
      <c r="B7" s="1876"/>
      <c r="C7" s="2319">
        <f>COVER!A13</f>
        <v>19022034002</v>
      </c>
      <c r="D7" s="2319"/>
      <c r="E7" s="2319"/>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2104</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c r="F30" s="1892"/>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5</v>
      </c>
      <c r="K34" s="1903">
        <f>SUM(H34:J34)</f>
        <v>25</v>
      </c>
    </row>
    <row r="35" spans="1:11" ht="12" customHeight="1" x14ac:dyDescent="0.2">
      <c r="A35" s="1896" t="s">
        <v>1459</v>
      </c>
      <c r="B35" s="1897"/>
      <c r="C35" s="2320"/>
      <c r="D35" s="2320"/>
      <c r="E35" s="2320"/>
      <c r="F35" s="2321"/>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25"/>
      <c r="B38" s="2326"/>
      <c r="C38" s="2326"/>
      <c r="D38" s="2326"/>
      <c r="E38" s="2326"/>
      <c r="F38" s="2327"/>
    </row>
    <row r="39" spans="1:11" ht="4.5" hidden="1" customHeight="1" x14ac:dyDescent="0.2">
      <c r="A39" s="1898"/>
      <c r="B39" s="1898"/>
      <c r="C39" s="1898"/>
      <c r="D39" s="1898"/>
      <c r="E39" s="1898"/>
      <c r="F39" s="1898"/>
    </row>
    <row r="40" spans="1:11" s="1895" customFormat="1" ht="12" customHeight="1" x14ac:dyDescent="0.25">
      <c r="A40" s="1899" t="s">
        <v>1458</v>
      </c>
      <c r="B40" s="1900"/>
      <c r="C40" s="2328"/>
      <c r="D40" s="2328"/>
      <c r="E40" s="2328"/>
      <c r="F40" s="2329"/>
      <c r="H40" s="1904"/>
      <c r="I40" s="1904"/>
      <c r="J40" s="1904"/>
      <c r="K40" s="1904"/>
    </row>
    <row r="41" spans="1:11" s="1895" customFormat="1" ht="12" customHeight="1" x14ac:dyDescent="0.25">
      <c r="A41" s="2330"/>
      <c r="B41" s="2331"/>
      <c r="C41" s="2331"/>
      <c r="D41" s="2331"/>
      <c r="E41" s="2331"/>
      <c r="F41" s="2332"/>
      <c r="H41" s="1904"/>
      <c r="I41" s="1904"/>
      <c r="J41" s="1904"/>
      <c r="K41" s="1904"/>
    </row>
    <row r="42" spans="1:11" s="1895" customFormat="1" ht="12" customHeight="1" x14ac:dyDescent="0.25">
      <c r="A42" s="2330"/>
      <c r="B42" s="2331"/>
      <c r="C42" s="2331"/>
      <c r="D42" s="2331"/>
      <c r="E42" s="2331"/>
      <c r="F42" s="2332"/>
      <c r="H42" s="1904"/>
      <c r="I42" s="1904"/>
      <c r="J42" s="1904"/>
      <c r="K42" s="1904"/>
    </row>
    <row r="43" spans="1:11" s="1895" customFormat="1" ht="15" x14ac:dyDescent="0.25">
      <c r="A43" s="2322"/>
      <c r="B43" s="2323"/>
      <c r="C43" s="2323"/>
      <c r="D43" s="2323"/>
      <c r="E43" s="2323"/>
      <c r="F43" s="2324"/>
      <c r="H43" s="1904"/>
      <c r="I43" s="1904"/>
      <c r="J43" s="1904"/>
      <c r="K43" s="1904"/>
    </row>
    <row r="44" spans="1:11" s="1895" customFormat="1" ht="12" hidden="1" customHeight="1" x14ac:dyDescent="0.25">
      <c r="A44" s="2322"/>
      <c r="B44" s="2323"/>
      <c r="C44" s="2323"/>
      <c r="D44" s="2323"/>
      <c r="E44" s="2323"/>
      <c r="F44" s="2324"/>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8" t="str">
        <f>COVER!A17</f>
        <v>Winfield SD 34</v>
      </c>
      <c r="J6" s="2339"/>
      <c r="Q6" s="1686"/>
    </row>
    <row r="7" spans="1:17" x14ac:dyDescent="0.2">
      <c r="A7" s="2340" t="s">
        <v>924</v>
      </c>
      <c r="B7" s="2341"/>
      <c r="C7" s="2341"/>
      <c r="D7" s="2341"/>
      <c r="E7" s="2342"/>
      <c r="F7" s="1018"/>
      <c r="G7" s="1010"/>
      <c r="H7" s="1017" t="s">
        <v>390</v>
      </c>
      <c r="I7" s="2343">
        <f>COVER!A13</f>
        <v>19022034002</v>
      </c>
      <c r="J7" s="234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4" t="s">
        <v>502</v>
      </c>
      <c r="B11" s="2345"/>
      <c r="C11" s="234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265380</v>
      </c>
      <c r="F12" s="1040"/>
      <c r="G12" s="1834">
        <f t="shared" ref="G12:G18" si="0">SUM(E12:F12)</f>
        <v>265380</v>
      </c>
      <c r="H12" s="1041">
        <v>281350</v>
      </c>
      <c r="I12" s="1040"/>
      <c r="J12" s="1834">
        <f t="shared" ref="J12:J18" si="1">SUM(H12:I12)</f>
        <v>281350</v>
      </c>
    </row>
    <row r="13" spans="1:17" ht="15" customHeight="1" x14ac:dyDescent="0.2">
      <c r="A13" s="1036">
        <v>2</v>
      </c>
      <c r="B13" s="1037" t="s">
        <v>44</v>
      </c>
      <c r="C13" s="1038"/>
      <c r="D13" s="1039">
        <v>2330</v>
      </c>
      <c r="E13" s="1834">
        <f>'Expenditures 15-22'!K51</f>
        <v>63206</v>
      </c>
      <c r="F13" s="1040"/>
      <c r="G13" s="1834">
        <f t="shared" si="0"/>
        <v>63206</v>
      </c>
      <c r="H13" s="1041">
        <v>65500</v>
      </c>
      <c r="I13" s="1040"/>
      <c r="J13" s="1834">
        <f t="shared" si="1"/>
        <v>65500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44392</v>
      </c>
      <c r="F15" s="1834">
        <f>'Expenditures 15-22'!K122</f>
        <v>0</v>
      </c>
      <c r="G15" s="1834">
        <f t="shared" si="0"/>
        <v>44392</v>
      </c>
      <c r="H15" s="1041">
        <v>46600</v>
      </c>
      <c r="I15" s="1041"/>
      <c r="J15" s="1834">
        <f t="shared" si="1"/>
        <v>46600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7" t="s">
        <v>7</v>
      </c>
      <c r="C18" s="2348"/>
      <c r="D18" s="2349"/>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372978</v>
      </c>
      <c r="F19" s="1836">
        <f t="shared" si="2"/>
        <v>0</v>
      </c>
      <c r="G19" s="1836">
        <f t="shared" si="2"/>
        <v>372978</v>
      </c>
      <c r="H19" s="1836">
        <f t="shared" si="2"/>
        <v>393450</v>
      </c>
      <c r="I19" s="1836">
        <f t="shared" si="2"/>
        <v>0</v>
      </c>
      <c r="J19" s="1836">
        <f t="shared" si="2"/>
        <v>393450</v>
      </c>
    </row>
    <row r="20" spans="1:10" ht="13.5" thickTop="1" x14ac:dyDescent="0.2">
      <c r="A20" s="1036">
        <v>9</v>
      </c>
      <c r="B20" s="2350" t="s">
        <v>1703</v>
      </c>
      <c r="C20" s="2350"/>
      <c r="D20" s="2351"/>
      <c r="E20" s="1047"/>
      <c r="F20" s="1047"/>
      <c r="G20" s="1047"/>
      <c r="H20" s="1047"/>
      <c r="I20" s="1047"/>
      <c r="J20" s="1837">
        <f>IF(AND(G19&gt;0,J19&gt;0),(((J19-G19)/G19)),"Enter Budget Data")</f>
        <v>5.4887955857986261E-2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1093</v>
      </c>
      <c r="D27" s="1053"/>
      <c r="E27" s="1054"/>
      <c r="F27" s="2352" t="s">
        <v>1589</v>
      </c>
      <c r="G27" s="2352"/>
    </row>
    <row r="28" spans="1:10" ht="28.5" customHeight="1" x14ac:dyDescent="0.2">
      <c r="B28" s="1048"/>
      <c r="C28" s="2354"/>
      <c r="D28" s="2354"/>
      <c r="E28" s="1055"/>
      <c r="F28" s="2354"/>
      <c r="G28" s="2354"/>
    </row>
    <row r="29" spans="1:10" x14ac:dyDescent="0.2">
      <c r="B29" s="1048"/>
      <c r="C29" s="1056" t="s">
        <v>1642</v>
      </c>
      <c r="E29" s="1057"/>
      <c r="F29" s="2353" t="s">
        <v>1590</v>
      </c>
      <c r="G29" s="235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1943</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937</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Winfield SD 34</v>
      </c>
    </row>
    <row r="65" spans="2:2" x14ac:dyDescent="0.2">
      <c r="B65" s="1071">
        <f>COVER!A13</f>
        <v>19022034002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H16" sqref="H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0" sqref="C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7" t="s">
        <v>1784</v>
      </c>
      <c r="B18" s="235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1276350</xdr:colOff>
                <xdr:row>3</xdr:row>
                <xdr:rowOff>28575</xdr:rowOff>
              </from>
              <to>
                <xdr:col>1</xdr:col>
                <xdr:colOff>2190750</xdr:colOff>
                <xdr:row>7</xdr:row>
                <xdr:rowOff>66675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5"/>
      <c r="H2" s="1075"/>
    </row>
    <row r="3" spans="1:8" ht="57" customHeight="1" x14ac:dyDescent="0.2">
      <c r="A3" s="2371" t="s">
        <v>1786</v>
      </c>
      <c r="B3" s="2372"/>
      <c r="C3" s="2372"/>
      <c r="D3" s="2372"/>
      <c r="E3" s="2372"/>
      <c r="F3" s="2373"/>
      <c r="G3" s="1075"/>
      <c r="H3" s="1075"/>
    </row>
    <row r="4" spans="1:8" ht="14.25" customHeight="1" x14ac:dyDescent="0.2">
      <c r="A4" s="2377" t="s">
        <v>2054</v>
      </c>
      <c r="B4" s="2378"/>
      <c r="C4" s="2378"/>
      <c r="D4" s="2378"/>
      <c r="E4" s="2378"/>
      <c r="F4" s="2379"/>
      <c r="G4" s="1075"/>
      <c r="H4" s="1075"/>
    </row>
    <row r="5" spans="1:8" ht="14.25" customHeight="1" x14ac:dyDescent="0.2">
      <c r="A5" s="2380" t="s">
        <v>2055</v>
      </c>
      <c r="B5" s="2381"/>
      <c r="C5" s="2381"/>
      <c r="D5" s="2381"/>
      <c r="E5" s="2381"/>
      <c r="F5" s="2382"/>
      <c r="G5" s="1075"/>
      <c r="H5" s="1075"/>
    </row>
    <row r="6" spans="1:8" s="1076" customFormat="1" ht="41.25" customHeight="1" x14ac:dyDescent="0.2">
      <c r="A6" s="2374" t="s">
        <v>1792</v>
      </c>
      <c r="B6" s="2375"/>
      <c r="C6" s="2375"/>
      <c r="D6" s="2375"/>
      <c r="E6" s="2375"/>
      <c r="F6" s="237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4751313</v>
      </c>
      <c r="C8" s="1838">
        <f>'Acct Summary 7-8'!D8</f>
        <v>569484</v>
      </c>
      <c r="D8" s="1838">
        <f>'Acct Summary 7-8'!F8</f>
        <v>56013</v>
      </c>
      <c r="E8" s="1838">
        <f>'Acct Summary 7-8'!I8</f>
        <v>7236</v>
      </c>
      <c r="F8" s="1838">
        <f>SUM(B8:E8)</f>
        <v>5384046</v>
      </c>
    </row>
    <row r="9" spans="1:8" s="1080" customFormat="1" ht="14.25" customHeight="1" thickBot="1" x14ac:dyDescent="0.25">
      <c r="A9" s="1079" t="s">
        <v>1436</v>
      </c>
      <c r="B9" s="1839">
        <f>'Acct Summary 7-8'!C17</f>
        <v>4240986</v>
      </c>
      <c r="C9" s="1839">
        <f>'Acct Summary 7-8'!D17</f>
        <v>483638</v>
      </c>
      <c r="D9" s="1839">
        <f>'Acct Summary 7-8'!F17</f>
        <v>54209</v>
      </c>
      <c r="E9" s="1838"/>
      <c r="F9" s="1838">
        <f>SUM(B9:E9)</f>
        <v>4778833</v>
      </c>
    </row>
    <row r="10" spans="1:8" s="1080" customFormat="1" ht="14.25" thickTop="1" thickBot="1" x14ac:dyDescent="0.25">
      <c r="A10" s="1081" t="s">
        <v>1437</v>
      </c>
      <c r="B10" s="1840">
        <f>(B8-B9)</f>
        <v>510327</v>
      </c>
      <c r="C10" s="1840">
        <f>(C8-C9)</f>
        <v>85846</v>
      </c>
      <c r="D10" s="1840">
        <f>(D8-D9)</f>
        <v>1804</v>
      </c>
      <c r="E10" s="1839">
        <f>(E8-E9)</f>
        <v>7236</v>
      </c>
      <c r="F10" s="1841">
        <f>SUM(F8-F9)</f>
        <v>605213</v>
      </c>
    </row>
    <row r="11" spans="1:8" s="1080" customFormat="1" ht="14.25" thickTop="1" thickBot="1" x14ac:dyDescent="0.25">
      <c r="A11" s="1082" t="s">
        <v>1785</v>
      </c>
      <c r="B11" s="1842">
        <f>'Acct Summary 7-8'!C81</f>
        <v>2992496</v>
      </c>
      <c r="C11" s="1842">
        <f>'Acct Summary 7-8'!D81</f>
        <v>463599</v>
      </c>
      <c r="D11" s="1842">
        <f>'Acct Summary 7-8'!F81</f>
        <v>65683</v>
      </c>
      <c r="E11" s="1842">
        <f>'Acct Summary 7-8'!I81</f>
        <v>447175</v>
      </c>
      <c r="F11" s="1843">
        <f>SUM(B11:E11)</f>
        <v>3968953</v>
      </c>
    </row>
    <row r="12" spans="1:8" ht="16.5" customHeight="1" thickTop="1" x14ac:dyDescent="0.2">
      <c r="A12" s="1083"/>
      <c r="B12" s="1084"/>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5"/>
      <c r="B13" s="1086"/>
      <c r="C13" s="2362"/>
      <c r="D13" s="2363"/>
      <c r="E13" s="2363"/>
      <c r="F13" s="2364"/>
      <c r="H13" s="1075"/>
    </row>
    <row r="14" spans="1:8" ht="19.5" customHeight="1" x14ac:dyDescent="0.2">
      <c r="A14" s="1085"/>
      <c r="B14" s="1086"/>
      <c r="C14" s="2362"/>
      <c r="D14" s="2363"/>
      <c r="E14" s="2363"/>
      <c r="F14" s="2364"/>
      <c r="H14" s="1075"/>
    </row>
    <row r="15" spans="1:8" ht="17.25" customHeight="1" x14ac:dyDescent="0.2">
      <c r="A15" s="1085"/>
      <c r="B15" s="1086"/>
      <c r="C15" s="2365"/>
      <c r="D15" s="2366"/>
      <c r="E15" s="2366"/>
      <c r="F15" s="2367"/>
      <c r="H15" s="1075"/>
    </row>
    <row r="16" spans="1:8" s="310" customFormat="1" ht="51.75" hidden="1" customHeight="1" x14ac:dyDescent="0.2">
      <c r="A16" s="2361" t="s">
        <v>1787</v>
      </c>
      <c r="B16" s="2361"/>
      <c r="C16" s="2361"/>
      <c r="D16" s="2361"/>
      <c r="E16" s="236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3" t="s">
        <v>686</v>
      </c>
      <c r="B3" s="2384"/>
      <c r="C3" s="2384"/>
      <c r="D3" s="2385"/>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4" t="s">
        <v>1584</v>
      </c>
      <c r="D7" s="2395"/>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8" t="s">
        <v>332</v>
      </c>
      <c r="D21" s="2399"/>
    </row>
    <row r="22" spans="1:10" ht="12.75" x14ac:dyDescent="0.2">
      <c r="A22" s="1140"/>
      <c r="B22" s="1141">
        <v>2</v>
      </c>
      <c r="C22" s="2396" t="s">
        <v>1605</v>
      </c>
      <c r="D22" s="239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0" t="s">
        <v>557</v>
      </c>
      <c r="D43" s="240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2" t="s">
        <v>817</v>
      </c>
      <c r="D56" s="239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2" t="s">
        <v>1797</v>
      </c>
      <c r="D70" s="239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19022034002</v>
      </c>
    </row>
    <row r="3" spans="1:2" x14ac:dyDescent="0.2">
      <c r="A3" t="s">
        <v>1013</v>
      </c>
      <c r="B3" s="138" t="str">
        <f>COVER!A15</f>
        <v>DUPAGE</v>
      </c>
    </row>
    <row r="4" spans="1:2" x14ac:dyDescent="0.2">
      <c r="A4" t="s">
        <v>1064</v>
      </c>
      <c r="B4" s="138" t="str">
        <f>COVER!A17</f>
        <v>Winfield SD 34</v>
      </c>
    </row>
    <row r="5" spans="1:2" x14ac:dyDescent="0.2">
      <c r="A5" t="s">
        <v>728</v>
      </c>
      <c r="B5" s="138" t="str">
        <f>COVER!A38</f>
        <v>DR. MATT RICH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&amp;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2992496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2992496</v>
      </c>
      <c r="D92" s="2" t="str">
        <f t="shared" si="0"/>
        <v>Error?</v>
      </c>
    </row>
    <row r="93" spans="1:4" x14ac:dyDescent="0.2">
      <c r="A93" s="5">
        <v>32</v>
      </c>
      <c r="B93" s="138">
        <f>'Assets-Liab 5-6'!C41</f>
        <v>2992496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463599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463599</v>
      </c>
      <c r="D123" s="2" t="str">
        <f t="shared" si="0"/>
        <v>Error?</v>
      </c>
    </row>
    <row r="124" spans="1:4" x14ac:dyDescent="0.2">
      <c r="A124" s="5">
        <v>63</v>
      </c>
      <c r="B124" s="138">
        <f>'Assets-Liab 5-6'!D41</f>
        <v>463599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665439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665439</v>
      </c>
      <c r="D140" s="2" t="str">
        <f t="shared" si="1"/>
        <v>Error?</v>
      </c>
    </row>
    <row r="141" spans="1:4" x14ac:dyDescent="0.2">
      <c r="A141" s="5">
        <v>80</v>
      </c>
      <c r="B141" s="138">
        <f>'Assets-Liab 5-6'!E41</f>
        <v>665439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65683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65683</v>
      </c>
      <c r="D170" s="2" t="str">
        <f t="shared" si="1"/>
        <v>Error?</v>
      </c>
    </row>
    <row r="171" spans="1:4" x14ac:dyDescent="0.2">
      <c r="A171" s="5">
        <v>110</v>
      </c>
      <c r="B171" s="138">
        <f>'Assets-Liab 5-6'!F41</f>
        <v>65683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259529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259529</v>
      </c>
      <c r="D189" s="2" t="str">
        <f t="shared" si="1"/>
        <v>Error?</v>
      </c>
    </row>
    <row r="190" spans="1:4" x14ac:dyDescent="0.2">
      <c r="A190" s="5">
        <v>129</v>
      </c>
      <c r="B190" s="138">
        <f>'Assets-Liab 5-6'!G41</f>
        <v>259529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378355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378355</v>
      </c>
      <c r="D212" s="2" t="str">
        <f t="shared" si="2"/>
        <v>Error?</v>
      </c>
    </row>
    <row r="213" spans="1:4" x14ac:dyDescent="0.2">
      <c r="A213" s="12">
        <v>152</v>
      </c>
      <c r="B213" s="138">
        <f>'Assets-Liab 5-6'!H41</f>
        <v>378355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591553</v>
      </c>
      <c r="D273" s="2" t="str">
        <f t="shared" si="3"/>
        <v>Error?</v>
      </c>
    </row>
    <row r="274" spans="1:4" x14ac:dyDescent="0.2">
      <c r="A274" s="5">
        <v>213</v>
      </c>
      <c r="B274" s="138">
        <f>'Assets-Liab 5-6'!M17</f>
        <v>16096184</v>
      </c>
      <c r="D274" s="2" t="str">
        <f t="shared" si="3"/>
        <v>Error?</v>
      </c>
    </row>
    <row r="275" spans="1:4" x14ac:dyDescent="0.2">
      <c r="A275" s="5">
        <v>214</v>
      </c>
      <c r="B275" s="138">
        <f>'Assets-Liab 5-6'!M18</f>
        <v>653918</v>
      </c>
      <c r="D275" s="2" t="str">
        <f t="shared" si="3"/>
        <v>Error?</v>
      </c>
    </row>
    <row r="276" spans="1:4" x14ac:dyDescent="0.2">
      <c r="A276" s="5">
        <v>215</v>
      </c>
      <c r="B276" s="138">
        <f>'Assets-Liab 5-6'!M19</f>
        <v>702501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18044156</v>
      </c>
      <c r="C279" s="2" t="s">
        <v>594</v>
      </c>
      <c r="D279" s="2" t="str">
        <f t="shared" si="3"/>
        <v>Error?</v>
      </c>
    </row>
    <row r="280" spans="1:4" x14ac:dyDescent="0.2">
      <c r="A280" s="5">
        <v>219</v>
      </c>
      <c r="B280" s="138">
        <f>'Assets-Liab 5-6'!M40</f>
        <v>18044156</v>
      </c>
      <c r="D280" s="2" t="str">
        <f t="shared" si="3"/>
        <v>Error?</v>
      </c>
    </row>
    <row r="281" spans="1:4" x14ac:dyDescent="0.2">
      <c r="A281" s="5">
        <v>220</v>
      </c>
      <c r="B281" s="138">
        <f>'Assets-Liab 5-6'!M41</f>
        <v>18044156</v>
      </c>
      <c r="C281" s="2" t="s">
        <v>594</v>
      </c>
      <c r="D281" s="2" t="str">
        <f t="shared" si="3"/>
        <v>Error?</v>
      </c>
    </row>
    <row r="282" spans="1:4" x14ac:dyDescent="0.2">
      <c r="A282" s="5">
        <v>221</v>
      </c>
      <c r="B282" s="138">
        <f>'Assets-Liab 5-6'!N21</f>
        <v>665439</v>
      </c>
      <c r="D282" s="2" t="str">
        <f t="shared" si="3"/>
        <v>Error?</v>
      </c>
    </row>
    <row r="283" spans="1:4" x14ac:dyDescent="0.2">
      <c r="A283" s="5">
        <v>222</v>
      </c>
      <c r="B283" s="138">
        <f>'Assets-Liab 5-6'!N22</f>
        <v>2021742</v>
      </c>
      <c r="D283" s="2" t="str">
        <f t="shared" si="3"/>
        <v>Error?</v>
      </c>
    </row>
    <row r="284" spans="1:4" x14ac:dyDescent="0.2">
      <c r="A284" s="5">
        <v>223</v>
      </c>
      <c r="B284" s="138">
        <f>'Assets-Liab 5-6'!N23</f>
        <v>2687181</v>
      </c>
      <c r="C284" s="2" t="s">
        <v>594</v>
      </c>
      <c r="D284" s="2" t="str">
        <f t="shared" si="3"/>
        <v>Error?</v>
      </c>
    </row>
    <row r="285" spans="1:4" x14ac:dyDescent="0.2">
      <c r="A285" s="5">
        <v>224</v>
      </c>
      <c r="B285" s="138">
        <f>'Assets-Liab 5-6'!N36</f>
        <v>2687181</v>
      </c>
      <c r="D285" s="2" t="str">
        <f t="shared" si="3"/>
        <v>Error?</v>
      </c>
    </row>
    <row r="286" spans="1:4" x14ac:dyDescent="0.2">
      <c r="A286" s="10">
        <v>225</v>
      </c>
      <c r="D286" s="2" t="str">
        <f t="shared" si="3"/>
        <v>OK</v>
      </c>
    </row>
    <row r="287" spans="1:4" x14ac:dyDescent="0.2">
      <c r="A287" s="5">
        <v>226</v>
      </c>
      <c r="B287" s="138">
        <f>'Assets-Liab 5-6'!N37</f>
        <v>2687181</v>
      </c>
      <c r="C287" s="2" t="s">
        <v>594</v>
      </c>
      <c r="D287" s="2" t="str">
        <f t="shared" si="3"/>
        <v>Error?</v>
      </c>
    </row>
    <row r="288" spans="1:4" x14ac:dyDescent="0.2">
      <c r="A288" s="5">
        <v>227</v>
      </c>
      <c r="B288" s="138">
        <f>'Assets-Liab 5-6'!N41</f>
        <v>2687181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1620713</v>
      </c>
      <c r="D705" s="2" t="str">
        <f t="shared" si="10"/>
        <v>Error?</v>
      </c>
    </row>
    <row r="706" spans="1:4" x14ac:dyDescent="0.2">
      <c r="A706" s="5">
        <v>645</v>
      </c>
      <c r="B706" s="138">
        <f>'Expenditures 15-22'!C16</f>
        <v>33195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6074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26550</v>
      </c>
      <c r="D718" s="2" t="str">
        <f t="shared" si="10"/>
        <v>Error?</v>
      </c>
    </row>
    <row r="719" spans="1:4" x14ac:dyDescent="0.2">
      <c r="A719" s="5">
        <v>658</v>
      </c>
      <c r="B719" s="138">
        <f>'Expenditures 15-22'!C15</f>
        <v>6457</v>
      </c>
      <c r="D719" s="2" t="str">
        <f t="shared" si="10"/>
        <v>Error?</v>
      </c>
    </row>
    <row r="720" spans="1:4" x14ac:dyDescent="0.2">
      <c r="A720" s="5">
        <v>659</v>
      </c>
      <c r="B720" s="138">
        <f>'Expenditures 15-22'!C33</f>
        <v>2060395</v>
      </c>
      <c r="C720" s="2" t="s">
        <v>594</v>
      </c>
      <c r="D720" s="2" t="str">
        <f t="shared" si="10"/>
        <v>Error?</v>
      </c>
    </row>
    <row r="721" spans="1:4" x14ac:dyDescent="0.2">
      <c r="A721" s="5">
        <v>660</v>
      </c>
      <c r="B721" s="138">
        <f>'Expenditures 15-22'!C36</f>
        <v>83882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52891</v>
      </c>
      <c r="D723" s="2" t="str">
        <f t="shared" si="10"/>
        <v>Error?</v>
      </c>
    </row>
    <row r="724" spans="1:4" x14ac:dyDescent="0.2">
      <c r="A724" s="5">
        <v>663</v>
      </c>
      <c r="B724" s="138">
        <f>'Expenditures 15-22'!C39</f>
        <v>78911</v>
      </c>
      <c r="D724" s="2" t="str">
        <f t="shared" si="10"/>
        <v>Error?</v>
      </c>
    </row>
    <row r="725" spans="1:4" x14ac:dyDescent="0.2">
      <c r="A725" s="5">
        <v>664</v>
      </c>
      <c r="B725" s="138">
        <f>'Expenditures 15-22'!C40</f>
        <v>94628</v>
      </c>
      <c r="D725" s="2" t="str">
        <f t="shared" si="10"/>
        <v>Error?</v>
      </c>
    </row>
    <row r="726" spans="1:4" x14ac:dyDescent="0.2">
      <c r="A726" s="5">
        <v>665</v>
      </c>
      <c r="B726" s="138">
        <f>'Expenditures 15-22'!C41</f>
        <v>54351</v>
      </c>
      <c r="D726" s="2" t="str">
        <f t="shared" si="10"/>
        <v>Error?</v>
      </c>
    </row>
    <row r="727" spans="1:4" x14ac:dyDescent="0.2">
      <c r="A727" s="5">
        <v>666</v>
      </c>
      <c r="B727" s="138">
        <f>'Expenditures 15-22'!C42</f>
        <v>364663</v>
      </c>
      <c r="C727" s="2" t="s">
        <v>594</v>
      </c>
      <c r="D727" s="2" t="str">
        <f t="shared" si="10"/>
        <v>Error?</v>
      </c>
    </row>
    <row r="728" spans="1:4" x14ac:dyDescent="0.2">
      <c r="A728" s="5">
        <v>667</v>
      </c>
      <c r="B728" s="138">
        <f>'Expenditures 15-22'!C44</f>
        <v>13556</v>
      </c>
      <c r="D728" s="2" t="str">
        <f t="shared" si="10"/>
        <v>Error?</v>
      </c>
    </row>
    <row r="729" spans="1:4" x14ac:dyDescent="0.2">
      <c r="A729" s="5">
        <v>668</v>
      </c>
      <c r="B729" s="138">
        <f>'Expenditures 15-22'!C45</f>
        <v>29375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42931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215818</v>
      </c>
      <c r="D733" s="2" t="str">
        <f t="shared" si="10"/>
        <v>Error?</v>
      </c>
    </row>
    <row r="734" spans="1:4" x14ac:dyDescent="0.2">
      <c r="A734" s="5">
        <v>673</v>
      </c>
      <c r="B734" s="138">
        <f>'Expenditures 15-22'!C53</f>
        <v>278847</v>
      </c>
      <c r="C734" s="2" t="s">
        <v>594</v>
      </c>
      <c r="D734" s="2" t="str">
        <f t="shared" si="10"/>
        <v>Error?</v>
      </c>
    </row>
    <row r="735" spans="1:4" x14ac:dyDescent="0.2">
      <c r="A735" s="5">
        <v>674</v>
      </c>
      <c r="B735" s="138">
        <f>'Expenditures 15-22'!C55</f>
        <v>198712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198712</v>
      </c>
      <c r="C737" s="2" t="s">
        <v>594</v>
      </c>
      <c r="D737" s="2" t="str">
        <f t="shared" si="10"/>
        <v>Error?</v>
      </c>
    </row>
    <row r="738" spans="1:4" x14ac:dyDescent="0.2">
      <c r="A738" s="5">
        <v>677</v>
      </c>
      <c r="B738" s="138">
        <f>'Expenditures 15-22'!C59</f>
        <v>38832</v>
      </c>
      <c r="D738" s="2" t="str">
        <f t="shared" si="10"/>
        <v>Error?</v>
      </c>
    </row>
    <row r="739" spans="1:4" x14ac:dyDescent="0.2">
      <c r="A739" s="5">
        <v>678</v>
      </c>
      <c r="B739" s="138">
        <f>'Expenditures 15-22'!C60</f>
        <v>107295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146127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1031280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3091675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183186</v>
      </c>
      <c r="D763" s="2" t="str">
        <f t="shared" si="10"/>
        <v>Error?</v>
      </c>
    </row>
    <row r="764" spans="1:4" x14ac:dyDescent="0.2">
      <c r="A764" s="5">
        <v>703</v>
      </c>
      <c r="B764" s="138">
        <f>'Expenditures 15-22'!D16</f>
        <v>505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1060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1584</v>
      </c>
      <c r="D776" s="2" t="str">
        <f t="shared" si="11"/>
        <v>Error?</v>
      </c>
    </row>
    <row r="777" spans="1:4" x14ac:dyDescent="0.2">
      <c r="A777" s="5">
        <v>716</v>
      </c>
      <c r="B777" s="138">
        <f>'Expenditures 15-22'!D15</f>
        <v>51</v>
      </c>
      <c r="D777" s="2" t="str">
        <f t="shared" si="11"/>
        <v>Error?</v>
      </c>
    </row>
    <row r="778" spans="1:4" x14ac:dyDescent="0.2">
      <c r="A778" s="5">
        <v>717</v>
      </c>
      <c r="B778" s="138">
        <f>'Expenditures 15-22'!D33</f>
        <v>263327</v>
      </c>
      <c r="C778" s="2" t="s">
        <v>594</v>
      </c>
      <c r="D778" s="2" t="str">
        <f t="shared" si="11"/>
        <v>Error?</v>
      </c>
    </row>
    <row r="779" spans="1:4" x14ac:dyDescent="0.2">
      <c r="A779" s="5">
        <v>718</v>
      </c>
      <c r="B779" s="138">
        <f>'Expenditures 15-22'!D36</f>
        <v>1391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7628</v>
      </c>
      <c r="D781" s="2" t="str">
        <f t="shared" si="11"/>
        <v>Error?</v>
      </c>
    </row>
    <row r="782" spans="1:4" x14ac:dyDescent="0.2">
      <c r="A782" s="5">
        <v>721</v>
      </c>
      <c r="B782" s="138">
        <f>'Expenditures 15-22'!D39</f>
        <v>17671</v>
      </c>
      <c r="D782" s="2" t="str">
        <f t="shared" si="11"/>
        <v>Error?</v>
      </c>
    </row>
    <row r="783" spans="1:4" x14ac:dyDescent="0.2">
      <c r="A783" s="5">
        <v>722</v>
      </c>
      <c r="B783" s="138">
        <f>'Expenditures 15-22'!D40</f>
        <v>8554</v>
      </c>
      <c r="D783" s="2" t="str">
        <f t="shared" si="11"/>
        <v>Error?</v>
      </c>
    </row>
    <row r="784" spans="1:4" x14ac:dyDescent="0.2">
      <c r="A784" s="5">
        <v>723</v>
      </c>
      <c r="B784" s="138">
        <f>'Expenditures 15-22'!D41</f>
        <v>3634</v>
      </c>
      <c r="D784" s="2" t="str">
        <f t="shared" si="11"/>
        <v>Error?</v>
      </c>
    </row>
    <row r="785" spans="1:4" x14ac:dyDescent="0.2">
      <c r="A785" s="5">
        <v>724</v>
      </c>
      <c r="B785" s="138">
        <f>'Expenditures 15-22'!D42</f>
        <v>38878</v>
      </c>
      <c r="C785" s="2" t="s">
        <v>594</v>
      </c>
      <c r="D785" s="2" t="str">
        <f t="shared" si="11"/>
        <v>Error?</v>
      </c>
    </row>
    <row r="786" spans="1:4" x14ac:dyDescent="0.2">
      <c r="A786" s="5">
        <v>725</v>
      </c>
      <c r="B786" s="138">
        <f>'Expenditures 15-22'!D44</f>
        <v>4437</v>
      </c>
      <c r="D786" s="2" t="str">
        <f t="shared" si="11"/>
        <v>Error?</v>
      </c>
    </row>
    <row r="787" spans="1:4" x14ac:dyDescent="0.2">
      <c r="A787" s="5">
        <v>726</v>
      </c>
      <c r="B787" s="138">
        <f>'Expenditures 15-22'!D45</f>
        <v>12917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17354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45902</v>
      </c>
      <c r="D791" s="2" t="str">
        <f t="shared" si="11"/>
        <v>Error?</v>
      </c>
    </row>
    <row r="792" spans="1:4" x14ac:dyDescent="0.2">
      <c r="A792" s="5">
        <v>731</v>
      </c>
      <c r="B792" s="138">
        <f>'Expenditures 15-22'!D53</f>
        <v>45902</v>
      </c>
      <c r="C792" s="2" t="s">
        <v>594</v>
      </c>
      <c r="D792" s="2" t="str">
        <f t="shared" si="11"/>
        <v>Error?</v>
      </c>
    </row>
    <row r="793" spans="1:4" x14ac:dyDescent="0.2">
      <c r="A793" s="5">
        <v>732</v>
      </c>
      <c r="B793" s="138">
        <f>'Expenditures 15-22'!D55</f>
        <v>33944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33944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19007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19007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155085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418412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3425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4203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8470</v>
      </c>
      <c r="C836" s="2" t="s">
        <v>594</v>
      </c>
      <c r="D836" s="2" t="str">
        <f t="shared" si="12"/>
        <v>Error?</v>
      </c>
    </row>
    <row r="837" spans="1:4" x14ac:dyDescent="0.2">
      <c r="A837" s="5">
        <v>776</v>
      </c>
      <c r="B837" s="138">
        <f>'Expenditures 15-22'!E36</f>
        <v>2513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6360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8873</v>
      </c>
      <c r="C843" s="2" t="s">
        <v>594</v>
      </c>
      <c r="D843" s="2" t="str">
        <f t="shared" si="12"/>
        <v>Error?</v>
      </c>
    </row>
    <row r="844" spans="1:4" x14ac:dyDescent="0.2">
      <c r="A844" s="5">
        <v>783</v>
      </c>
      <c r="B844" s="138">
        <f>'Expenditures 15-22'!E44</f>
        <v>12326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2344</v>
      </c>
      <c r="D846" s="2" t="str">
        <f t="shared" si="12"/>
        <v>Error?</v>
      </c>
    </row>
    <row r="847" spans="1:4" x14ac:dyDescent="0.2">
      <c r="A847" s="5">
        <v>786</v>
      </c>
      <c r="B847" s="138">
        <f>'Expenditures 15-22'!E47</f>
        <v>14670</v>
      </c>
      <c r="C847" s="2" t="s">
        <v>594</v>
      </c>
      <c r="D847" s="2" t="str">
        <f t="shared" si="12"/>
        <v>Error?</v>
      </c>
    </row>
    <row r="848" spans="1:4" x14ac:dyDescent="0.2">
      <c r="A848" s="5">
        <v>787</v>
      </c>
      <c r="B848" s="138">
        <f>'Expenditures 15-22'!E49</f>
        <v>66353</v>
      </c>
      <c r="D848" s="2" t="str">
        <f t="shared" si="12"/>
        <v>Error?</v>
      </c>
    </row>
    <row r="849" spans="1:4" x14ac:dyDescent="0.2">
      <c r="A849" s="5">
        <v>788</v>
      </c>
      <c r="B849" s="138">
        <f>'Expenditures 15-22'!E50</f>
        <v>1785</v>
      </c>
      <c r="D849" s="2" t="str">
        <f t="shared" si="12"/>
        <v>Error?</v>
      </c>
    </row>
    <row r="850" spans="1:4" x14ac:dyDescent="0.2">
      <c r="A850" s="5">
        <v>789</v>
      </c>
      <c r="B850" s="138">
        <f>'Expenditures 15-22'!E53</f>
        <v>68315</v>
      </c>
      <c r="C850" s="2" t="s">
        <v>594</v>
      </c>
      <c r="D850" s="2" t="str">
        <f t="shared" si="12"/>
        <v>Error?</v>
      </c>
    </row>
    <row r="851" spans="1:4" x14ac:dyDescent="0.2">
      <c r="A851" s="5">
        <v>790</v>
      </c>
      <c r="B851" s="138">
        <f>'Expenditures 15-22'!E55</f>
        <v>290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290</v>
      </c>
      <c r="C853" s="2" t="s">
        <v>594</v>
      </c>
      <c r="D853" s="2" t="str">
        <f t="shared" si="12"/>
        <v>Error?</v>
      </c>
    </row>
    <row r="854" spans="1:4" x14ac:dyDescent="0.2">
      <c r="A854" s="5">
        <v>793</v>
      </c>
      <c r="B854" s="138">
        <f>'Expenditures 15-22'!E59</f>
        <v>5560</v>
      </c>
      <c r="D854" s="2" t="str">
        <f t="shared" si="12"/>
        <v>Error?</v>
      </c>
    </row>
    <row r="855" spans="1:4" x14ac:dyDescent="0.2">
      <c r="A855" s="5">
        <v>794</v>
      </c>
      <c r="B855" s="138">
        <f>'Expenditures 15-22'!E60</f>
        <v>6037</v>
      </c>
      <c r="D855" s="2" t="str">
        <f t="shared" si="12"/>
        <v>Error?</v>
      </c>
    </row>
    <row r="856" spans="1:4" x14ac:dyDescent="0.2">
      <c r="A856" s="5">
        <v>795</v>
      </c>
      <c r="B856" s="138">
        <f>'Expenditures 15-22'!E61</f>
        <v>14054</v>
      </c>
      <c r="D856" s="2" t="str">
        <f t="shared" si="12"/>
        <v>Error?</v>
      </c>
    </row>
    <row r="857" spans="1:4" x14ac:dyDescent="0.2">
      <c r="A857" s="5">
        <v>796</v>
      </c>
      <c r="B857" s="138">
        <f>'Expenditures 15-22'!E62</f>
        <v>403</v>
      </c>
      <c r="D857" s="2" t="str">
        <f t="shared" si="12"/>
        <v>Error?</v>
      </c>
    </row>
    <row r="858" spans="1:4" x14ac:dyDescent="0.2">
      <c r="A858" s="5">
        <v>797</v>
      </c>
      <c r="B858" s="138">
        <f>'Expenditures 15-22'!E63</f>
        <v>6297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32351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3321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164997</v>
      </c>
      <c r="D867" s="2" t="str">
        <f t="shared" si="12"/>
        <v>Error?</v>
      </c>
    </row>
    <row r="868" spans="1:4" x14ac:dyDescent="0.2">
      <c r="A868" s="10">
        <v>807</v>
      </c>
      <c r="D868" s="2" t="str">
        <f t="shared" si="12"/>
        <v>OK</v>
      </c>
    </row>
    <row r="869" spans="1:4" x14ac:dyDescent="0.2">
      <c r="A869" s="5">
        <v>808</v>
      </c>
      <c r="B869" s="138">
        <f>'Expenditures 15-22'!E72</f>
        <v>168318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292817</v>
      </c>
      <c r="C871" s="2" t="s">
        <v>594</v>
      </c>
      <c r="D871" s="2" t="str">
        <f t="shared" si="12"/>
        <v>Error?</v>
      </c>
    </row>
    <row r="872" spans="1:4" x14ac:dyDescent="0.2">
      <c r="A872" s="5">
        <v>811</v>
      </c>
      <c r="B872" s="138">
        <f>'Expenditures 15-22'!E75</f>
        <v>13671</v>
      </c>
      <c r="D872" s="2" t="str">
        <f t="shared" si="12"/>
        <v>Error?</v>
      </c>
    </row>
    <row r="873" spans="1:4" x14ac:dyDescent="0.2">
      <c r="A873" s="5">
        <v>812</v>
      </c>
      <c r="B873" s="138">
        <f>'Expenditures 15-22'!E114</f>
        <v>314958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40071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46565</v>
      </c>
      <c r="C894" s="2" t="s">
        <v>594</v>
      </c>
      <c r="D894" s="2" t="str">
        <f t="shared" si="12"/>
        <v>Error?</v>
      </c>
    </row>
    <row r="895" spans="1:4" x14ac:dyDescent="0.2">
      <c r="A895" s="5">
        <v>834</v>
      </c>
      <c r="B895" s="138">
        <f>'Expenditures 15-22'!F36</f>
        <v>105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1900</v>
      </c>
      <c r="D897" s="2" t="str">
        <f t="shared" si="13"/>
        <v>Error?</v>
      </c>
    </row>
    <row r="898" spans="1:4" x14ac:dyDescent="0.2">
      <c r="A898" s="5">
        <v>837</v>
      </c>
      <c r="B898" s="138">
        <f>'Expenditures 15-22'!F39</f>
        <v>103</v>
      </c>
      <c r="D898" s="2" t="str">
        <f t="shared" si="13"/>
        <v>Error?</v>
      </c>
    </row>
    <row r="899" spans="1:4" x14ac:dyDescent="0.2">
      <c r="A899" s="5">
        <v>838</v>
      </c>
      <c r="B899" s="138">
        <f>'Expenditures 15-22'!F40</f>
        <v>310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2418</v>
      </c>
      <c r="C901" s="2" t="s">
        <v>594</v>
      </c>
      <c r="D901" s="2" t="str">
        <f t="shared" si="13"/>
        <v>Error?</v>
      </c>
    </row>
    <row r="902" spans="1:4" x14ac:dyDescent="0.2">
      <c r="A902" s="5">
        <v>841</v>
      </c>
      <c r="B902" s="138">
        <f>'Expenditures 15-22'!F44</f>
        <v>1939</v>
      </c>
      <c r="D902" s="2" t="str">
        <f t="shared" si="13"/>
        <v>Error?</v>
      </c>
    </row>
    <row r="903" spans="1:4" x14ac:dyDescent="0.2">
      <c r="A903" s="5">
        <v>842</v>
      </c>
      <c r="B903" s="138">
        <f>'Expenditures 15-22'!F45</f>
        <v>8223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10162</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14348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14348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28124</v>
      </c>
      <c r="D925" s="2" t="str">
        <f t="shared" si="13"/>
        <v>Error?</v>
      </c>
    </row>
    <row r="926" spans="1:4" x14ac:dyDescent="0.2">
      <c r="A926" s="10">
        <v>865</v>
      </c>
      <c r="D926" s="2" t="str">
        <f t="shared" si="13"/>
        <v>OK</v>
      </c>
    </row>
    <row r="927" spans="1:4" x14ac:dyDescent="0.2">
      <c r="A927" s="5">
        <v>866</v>
      </c>
      <c r="B927" s="138">
        <f>'Expenditures 15-22'!F72</f>
        <v>28124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55052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101617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6455</v>
      </c>
      <c r="D1022" s="2" t="str">
        <f t="shared" si="14"/>
        <v>Error?</v>
      </c>
    </row>
    <row r="1023" spans="1:4" x14ac:dyDescent="0.2">
      <c r="A1023" s="5">
        <v>962</v>
      </c>
      <c r="B1023" s="138">
        <f>'Expenditures 15-22'!H50</f>
        <v>1875</v>
      </c>
      <c r="D1023" s="2" t="str">
        <f t="shared" ref="D1023:D1086" si="15">IF(ISBLANK(B1023),"OK",IF(A1023-B1023=0,"OK","Error?"))</f>
        <v>Error?</v>
      </c>
    </row>
    <row r="1024" spans="1:4" x14ac:dyDescent="0.2">
      <c r="A1024" s="5">
        <v>963</v>
      </c>
      <c r="B1024" s="138">
        <f>'Expenditures 15-22'!H53</f>
        <v>8330</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8715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157523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166238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1995481</v>
      </c>
      <c r="C1093" s="2" t="s">
        <v>594</v>
      </c>
      <c r="D1093" s="2" t="str">
        <f t="shared" si="16"/>
        <v>Error?</v>
      </c>
    </row>
    <row r="1094" spans="1:4" x14ac:dyDescent="0.2">
      <c r="A1094" s="5">
        <v>1033</v>
      </c>
      <c r="B1094" s="138">
        <f>'Expenditures 15-22'!K16</f>
        <v>33700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7134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32337</v>
      </c>
      <c r="C1106" s="2" t="s">
        <v>594</v>
      </c>
      <c r="D1106" s="2" t="str">
        <f t="shared" si="16"/>
        <v>Error?</v>
      </c>
    </row>
    <row r="1107" spans="1:4" x14ac:dyDescent="0.2">
      <c r="A1107" s="5">
        <v>1046</v>
      </c>
      <c r="B1107" s="138">
        <f>'Expenditures 15-22'!K15</f>
        <v>6508</v>
      </c>
      <c r="C1107" s="2" t="s">
        <v>594</v>
      </c>
      <c r="D1107" s="2" t="str">
        <f t="shared" si="16"/>
        <v>Error?</v>
      </c>
    </row>
    <row r="1108" spans="1:4" x14ac:dyDescent="0.2">
      <c r="A1108" s="5">
        <v>1047</v>
      </c>
      <c r="B1108" s="138">
        <f>'Expenditures 15-22'!K33</f>
        <v>2526843</v>
      </c>
      <c r="C1108" s="2" t="s">
        <v>594</v>
      </c>
      <c r="D1108" s="2" t="str">
        <f t="shared" si="16"/>
        <v>Error?</v>
      </c>
    </row>
    <row r="1109" spans="1:4" x14ac:dyDescent="0.2">
      <c r="A1109" s="5">
        <v>1048</v>
      </c>
      <c r="B1109" s="138">
        <f>'Expenditures 15-22'!K36</f>
        <v>87891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62419</v>
      </c>
      <c r="C1111" s="2" t="s">
        <v>594</v>
      </c>
      <c r="D1111" s="2" t="str">
        <f t="shared" si="16"/>
        <v>Error?</v>
      </c>
    </row>
    <row r="1112" spans="1:4" x14ac:dyDescent="0.2">
      <c r="A1112" s="5">
        <v>1051</v>
      </c>
      <c r="B1112" s="138">
        <f>'Expenditures 15-22'!K39</f>
        <v>103045</v>
      </c>
      <c r="C1112" s="2" t="s">
        <v>594</v>
      </c>
      <c r="D1112" s="2" t="str">
        <f t="shared" si="16"/>
        <v>Error?</v>
      </c>
    </row>
    <row r="1113" spans="1:4" x14ac:dyDescent="0.2">
      <c r="A1113" s="5">
        <v>1052</v>
      </c>
      <c r="B1113" s="138">
        <f>'Expenditures 15-22'!K40</f>
        <v>103492</v>
      </c>
      <c r="C1113" s="2" t="s">
        <v>594</v>
      </c>
      <c r="D1113" s="2" t="str">
        <f t="shared" si="16"/>
        <v>Error?</v>
      </c>
    </row>
    <row r="1114" spans="1:4" x14ac:dyDescent="0.2">
      <c r="A1114" s="5">
        <v>1053</v>
      </c>
      <c r="B1114" s="138">
        <f>'Expenditures 15-22'!K41</f>
        <v>57985</v>
      </c>
      <c r="C1114" s="2" t="s">
        <v>594</v>
      </c>
      <c r="D1114" s="2" t="str">
        <f t="shared" si="16"/>
        <v>Error?</v>
      </c>
    </row>
    <row r="1115" spans="1:4" x14ac:dyDescent="0.2">
      <c r="A1115" s="5">
        <v>1054</v>
      </c>
      <c r="B1115" s="138">
        <f>'Expenditures 15-22'!K42</f>
        <v>414832</v>
      </c>
      <c r="C1115" s="2" t="s">
        <v>594</v>
      </c>
      <c r="D1115" s="2" t="str">
        <f t="shared" si="16"/>
        <v>Error?</v>
      </c>
    </row>
    <row r="1116" spans="1:4" x14ac:dyDescent="0.2">
      <c r="A1116" s="5">
        <v>1055</v>
      </c>
      <c r="B1116" s="138">
        <f>'Expenditures 15-22'!K44</f>
        <v>32258</v>
      </c>
      <c r="C1116" s="2" t="s">
        <v>594</v>
      </c>
      <c r="D1116" s="2" t="str">
        <f t="shared" si="16"/>
        <v>Error?</v>
      </c>
    </row>
    <row r="1117" spans="1:4" x14ac:dyDescent="0.2">
      <c r="A1117" s="5">
        <v>1056</v>
      </c>
      <c r="B1117" s="138">
        <f>'Expenditures 15-22'!K45</f>
        <v>50515</v>
      </c>
      <c r="C1117" s="2" t="s">
        <v>594</v>
      </c>
      <c r="D1117" s="2" t="str">
        <f t="shared" si="16"/>
        <v>Error?</v>
      </c>
    </row>
    <row r="1118" spans="1:4" x14ac:dyDescent="0.2">
      <c r="A1118" s="5">
        <v>1057</v>
      </c>
      <c r="B1118" s="138">
        <f>'Expenditures 15-22'!K46</f>
        <v>2344</v>
      </c>
      <c r="C1118" s="2" t="s">
        <v>594</v>
      </c>
      <c r="D1118" s="2" t="str">
        <f t="shared" si="16"/>
        <v>Error?</v>
      </c>
    </row>
    <row r="1119" spans="1:4" x14ac:dyDescent="0.2">
      <c r="A1119" s="5">
        <v>1058</v>
      </c>
      <c r="B1119" s="138">
        <f>'Expenditures 15-22'!K47</f>
        <v>85117</v>
      </c>
      <c r="C1119" s="2" t="s">
        <v>594</v>
      </c>
      <c r="D1119" s="2" t="str">
        <f t="shared" si="16"/>
        <v>Error?</v>
      </c>
    </row>
    <row r="1120" spans="1:4" x14ac:dyDescent="0.2">
      <c r="A1120" s="5">
        <v>1059</v>
      </c>
      <c r="B1120" s="138">
        <f>'Expenditures 15-22'!K49</f>
        <v>72808</v>
      </c>
      <c r="C1120" s="2" t="s">
        <v>594</v>
      </c>
      <c r="D1120" s="2" t="str">
        <f t="shared" si="16"/>
        <v>Error?</v>
      </c>
    </row>
    <row r="1121" spans="1:4" x14ac:dyDescent="0.2">
      <c r="A1121" s="5">
        <v>1060</v>
      </c>
      <c r="B1121" s="138">
        <f>'Expenditures 15-22'!K50</f>
        <v>265380</v>
      </c>
      <c r="C1121" s="2" t="s">
        <v>594</v>
      </c>
      <c r="D1121" s="2" t="str">
        <f t="shared" si="16"/>
        <v>Error?</v>
      </c>
    </row>
    <row r="1122" spans="1:4" x14ac:dyDescent="0.2">
      <c r="A1122" s="5">
        <v>1061</v>
      </c>
      <c r="B1122" s="138">
        <f>'Expenditures 15-22'!K53</f>
        <v>401394</v>
      </c>
      <c r="C1122" s="2" t="s">
        <v>594</v>
      </c>
      <c r="D1122" s="2" t="str">
        <f t="shared" si="16"/>
        <v>Error?</v>
      </c>
    </row>
    <row r="1123" spans="1:4" x14ac:dyDescent="0.2">
      <c r="A1123" s="5">
        <v>1062</v>
      </c>
      <c r="B1123" s="138">
        <f>'Expenditures 15-22'!K55</f>
        <v>233331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233331</v>
      </c>
      <c r="C1125" s="2" t="s">
        <v>594</v>
      </c>
      <c r="D1125" s="2" t="str">
        <f t="shared" si="16"/>
        <v>Error?</v>
      </c>
    </row>
    <row r="1126" spans="1:4" x14ac:dyDescent="0.2">
      <c r="A1126" s="5">
        <v>1065</v>
      </c>
      <c r="B1126" s="138">
        <f>'Expenditures 15-22'!K59</f>
        <v>44392</v>
      </c>
      <c r="C1126" s="2" t="s">
        <v>594</v>
      </c>
      <c r="D1126" s="2" t="str">
        <f t="shared" si="16"/>
        <v>Error?</v>
      </c>
    </row>
    <row r="1127" spans="1:4" x14ac:dyDescent="0.2">
      <c r="A1127" s="5">
        <v>1066</v>
      </c>
      <c r="B1127" s="138">
        <f>'Expenditures 15-22'!K60</f>
        <v>132339</v>
      </c>
      <c r="C1127" s="2" t="s">
        <v>594</v>
      </c>
      <c r="D1127" s="2" t="str">
        <f t="shared" si="16"/>
        <v>Error?</v>
      </c>
    </row>
    <row r="1128" spans="1:4" x14ac:dyDescent="0.2">
      <c r="A1128" s="5">
        <v>1067</v>
      </c>
      <c r="B1128" s="138">
        <f>'Expenditures 15-22'!K61</f>
        <v>28402</v>
      </c>
      <c r="C1128" s="2" t="s">
        <v>594</v>
      </c>
      <c r="D1128" s="2" t="str">
        <f t="shared" si="16"/>
        <v>Error?</v>
      </c>
    </row>
    <row r="1129" spans="1:4" x14ac:dyDescent="0.2">
      <c r="A1129" s="5">
        <v>1068</v>
      </c>
      <c r="B1129" s="138">
        <f>'Expenditures 15-22'!K62</f>
        <v>403</v>
      </c>
      <c r="C1129" s="2" t="s">
        <v>594</v>
      </c>
      <c r="D1129" s="2" t="str">
        <f t="shared" si="16"/>
        <v>Error?</v>
      </c>
    </row>
    <row r="1130" spans="1:4" x14ac:dyDescent="0.2">
      <c r="A1130" s="5">
        <v>1069</v>
      </c>
      <c r="B1130" s="138">
        <f>'Expenditures 15-22'!K63</f>
        <v>6297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211833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3321</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193121</v>
      </c>
      <c r="C1139" s="2" t="s">
        <v>594</v>
      </c>
      <c r="D1139" s="2" t="str">
        <f t="shared" si="16"/>
        <v>Error?</v>
      </c>
    </row>
    <row r="1140" spans="1:4" x14ac:dyDescent="0.2">
      <c r="A1140" s="10">
        <v>1079</v>
      </c>
      <c r="D1140" s="2" t="str">
        <f t="shared" si="16"/>
        <v>OK</v>
      </c>
    </row>
    <row r="1141" spans="1:4" x14ac:dyDescent="0.2">
      <c r="A1141" s="5">
        <v>1080</v>
      </c>
      <c r="B1141" s="138">
        <f>'Expenditures 15-22'!K72</f>
        <v>196442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1542949</v>
      </c>
      <c r="C1143" s="2" t="s">
        <v>594</v>
      </c>
      <c r="D1143" s="2" t="str">
        <f t="shared" si="16"/>
        <v>Error?</v>
      </c>
    </row>
    <row r="1144" spans="1:4" x14ac:dyDescent="0.2">
      <c r="A1144" s="5">
        <v>1083</v>
      </c>
      <c r="B1144" s="138">
        <f>'Expenditures 15-22'!K75</f>
        <v>13671</v>
      </c>
      <c r="C1144" s="2" t="s">
        <v>594</v>
      </c>
      <c r="D1144" s="2" t="str">
        <f t="shared" si="16"/>
        <v>Error?</v>
      </c>
    </row>
    <row r="1145" spans="1:4" x14ac:dyDescent="0.2">
      <c r="A1145" s="5">
        <v>1084</v>
      </c>
      <c r="B1145" s="138">
        <f>'Expenditures 15-22'!K102</f>
        <v>157523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4240986</v>
      </c>
      <c r="C1152" s="2" t="s">
        <v>594</v>
      </c>
      <c r="D1152" s="2" t="str">
        <f t="shared" si="17"/>
        <v>Error?</v>
      </c>
    </row>
    <row r="1153" spans="1:4" x14ac:dyDescent="0.2">
      <c r="A1153" s="5">
        <v>1092</v>
      </c>
      <c r="B1153" s="138">
        <f>'Expenditures 15-22'!K115</f>
        <v>510327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165935</v>
      </c>
      <c r="D1221" s="2" t="str">
        <f t="shared" si="18"/>
        <v>Error?</v>
      </c>
    </row>
    <row r="1222" spans="1:4" x14ac:dyDescent="0.2">
      <c r="A1222" s="10">
        <v>1161</v>
      </c>
      <c r="D1222" s="2" t="str">
        <f t="shared" si="18"/>
        <v>OK</v>
      </c>
    </row>
    <row r="1223" spans="1:4" x14ac:dyDescent="0.2">
      <c r="A1223" s="5">
        <v>1162</v>
      </c>
      <c r="B1223" s="138">
        <f>'Expenditures 15-22'!C127</f>
        <v>165935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165935</v>
      </c>
      <c r="C1225" s="2" t="s">
        <v>594</v>
      </c>
      <c r="D1225" s="2" t="str">
        <f t="shared" si="18"/>
        <v>Error?</v>
      </c>
    </row>
    <row r="1226" spans="1:4" x14ac:dyDescent="0.2">
      <c r="A1226" s="5">
        <v>1165</v>
      </c>
      <c r="B1226" s="138">
        <f>'Expenditures 15-22'!C151</f>
        <v>165935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25813</v>
      </c>
      <c r="D1229" s="2" t="str">
        <f t="shared" si="18"/>
        <v>Error?</v>
      </c>
    </row>
    <row r="1230" spans="1:4" x14ac:dyDescent="0.2">
      <c r="A1230" s="10">
        <v>1169</v>
      </c>
      <c r="D1230" s="2" t="str">
        <f t="shared" si="18"/>
        <v>OK</v>
      </c>
    </row>
    <row r="1231" spans="1:4" x14ac:dyDescent="0.2">
      <c r="A1231" s="5">
        <v>1170</v>
      </c>
      <c r="B1231" s="138">
        <f>'Expenditures 15-22'!D127</f>
        <v>25813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25813</v>
      </c>
      <c r="C1233" s="2" t="s">
        <v>594</v>
      </c>
      <c r="D1233" s="2" t="str">
        <f t="shared" si="18"/>
        <v>Error?</v>
      </c>
    </row>
    <row r="1234" spans="1:4" x14ac:dyDescent="0.2">
      <c r="A1234" s="5">
        <v>1173</v>
      </c>
      <c r="B1234" s="138">
        <f>'Expenditures 15-22'!D151</f>
        <v>25813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128003</v>
      </c>
      <c r="D1237" s="2" t="str">
        <f t="shared" si="18"/>
        <v>Error?</v>
      </c>
    </row>
    <row r="1238" spans="1:4" x14ac:dyDescent="0.2">
      <c r="A1238" s="10">
        <v>1177</v>
      </c>
      <c r="D1238" s="2" t="str">
        <f t="shared" si="18"/>
        <v>OK</v>
      </c>
    </row>
    <row r="1239" spans="1:4" x14ac:dyDescent="0.2">
      <c r="A1239" s="5">
        <v>1178</v>
      </c>
      <c r="B1239" s="138">
        <f>'Expenditures 15-22'!E127</f>
        <v>128003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128003</v>
      </c>
      <c r="C1241" s="2" t="s">
        <v>594</v>
      </c>
      <c r="D1241" s="2" t="str">
        <f t="shared" si="18"/>
        <v>Error?</v>
      </c>
    </row>
    <row r="1242" spans="1:4" x14ac:dyDescent="0.2">
      <c r="A1242" s="5">
        <v>1181</v>
      </c>
      <c r="B1242" s="138">
        <f>'Expenditures 15-22'!E151</f>
        <v>128003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142317</v>
      </c>
      <c r="D1245" s="2" t="str">
        <f t="shared" si="18"/>
        <v>Error?</v>
      </c>
    </row>
    <row r="1246" spans="1:4" x14ac:dyDescent="0.2">
      <c r="A1246" s="10">
        <v>1185</v>
      </c>
      <c r="D1246" s="2" t="str">
        <f t="shared" si="18"/>
        <v>OK</v>
      </c>
    </row>
    <row r="1247" spans="1:4" x14ac:dyDescent="0.2">
      <c r="A1247" s="5">
        <v>1186</v>
      </c>
      <c r="B1247" s="138">
        <f>'Expenditures 15-22'!F127</f>
        <v>142317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142317</v>
      </c>
      <c r="C1249" s="2" t="s">
        <v>594</v>
      </c>
      <c r="D1249" s="2" t="str">
        <f t="shared" si="18"/>
        <v>Error?</v>
      </c>
    </row>
    <row r="1250" spans="1:4" x14ac:dyDescent="0.2">
      <c r="A1250" s="5">
        <v>1189</v>
      </c>
      <c r="B1250" s="138">
        <f>'Expenditures 15-22'!F151</f>
        <v>142317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19363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19363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19363</v>
      </c>
      <c r="C1258" s="2" t="s">
        <v>594</v>
      </c>
      <c r="D1258" s="2" t="str">
        <f t="shared" si="18"/>
        <v>Error?</v>
      </c>
    </row>
    <row r="1259" spans="1:4" x14ac:dyDescent="0.2">
      <c r="A1259" s="5">
        <v>1198</v>
      </c>
      <c r="B1259" s="138">
        <f>'Expenditures 15-22'!G151</f>
        <v>19363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483638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483638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483638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483638</v>
      </c>
      <c r="C1288" s="2" t="s">
        <v>594</v>
      </c>
      <c r="D1288" s="2" t="str">
        <f t="shared" si="19"/>
        <v>Error?</v>
      </c>
    </row>
    <row r="1289" spans="1:4" x14ac:dyDescent="0.2">
      <c r="A1289" s="5">
        <v>1228</v>
      </c>
      <c r="B1289" s="138">
        <f>'Expenditures 15-22'!K152</f>
        <v>85846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705804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262031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967835</v>
      </c>
      <c r="C1317" s="2" t="s">
        <v>594</v>
      </c>
      <c r="D1317" s="2" t="str">
        <f t="shared" si="19"/>
        <v>Error?</v>
      </c>
    </row>
    <row r="1318" spans="1:4" x14ac:dyDescent="0.2">
      <c r="A1318" s="5">
        <v>1257</v>
      </c>
      <c r="B1318" s="138">
        <f>'Expenditures 15-22'!H174</f>
        <v>967835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705804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262031</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967835</v>
      </c>
      <c r="C1331" s="2" t="s">
        <v>594</v>
      </c>
      <c r="D1331" s="2" t="str">
        <f t="shared" si="19"/>
        <v>Error?</v>
      </c>
    </row>
    <row r="1332" spans="1:4" x14ac:dyDescent="0.2">
      <c r="A1332" s="5">
        <v>1271</v>
      </c>
      <c r="B1332" s="138">
        <f>'Expenditures 15-22'!K174</f>
        <v>967835</v>
      </c>
      <c r="C1332" s="2" t="s">
        <v>594</v>
      </c>
      <c r="D1332" s="2" t="str">
        <f t="shared" si="19"/>
        <v>Error?</v>
      </c>
    </row>
    <row r="1333" spans="1:4" x14ac:dyDescent="0.2">
      <c r="A1333" s="5">
        <v>1272</v>
      </c>
      <c r="B1333" s="138">
        <f>'Expenditures 15-22'!K175</f>
        <v>42486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54209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54209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54209</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54209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54209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54209</v>
      </c>
      <c r="C1388" s="2" t="s">
        <v>594</v>
      </c>
      <c r="D1388" s="2" t="str">
        <f t="shared" si="20"/>
        <v>Error?</v>
      </c>
    </row>
    <row r="1389" spans="1:4" x14ac:dyDescent="0.2">
      <c r="A1389" s="5">
        <v>1328</v>
      </c>
      <c r="B1389" s="138">
        <f>'Expenditures 15-22'!K211</f>
        <v>1804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443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378</v>
      </c>
      <c r="D1408" s="2" t="str">
        <f t="shared" si="21"/>
        <v>Error?</v>
      </c>
    </row>
    <row r="1409" spans="1:4" x14ac:dyDescent="0.2">
      <c r="A1409" s="5">
        <v>1348</v>
      </c>
      <c r="B1409" s="138">
        <f>'Expenditures 15-22'!D224</f>
        <v>51</v>
      </c>
      <c r="D1409" s="2" t="str">
        <f t="shared" si="21"/>
        <v>Error?</v>
      </c>
    </row>
    <row r="1410" spans="1:4" x14ac:dyDescent="0.2">
      <c r="A1410" s="5">
        <v>1349</v>
      </c>
      <c r="B1410" s="138">
        <f>'Expenditures 15-22'!D229</f>
        <v>63577</v>
      </c>
      <c r="C1410" s="2" t="s">
        <v>594</v>
      </c>
      <c r="D1410" s="2" t="str">
        <f t="shared" si="21"/>
        <v>Error?</v>
      </c>
    </row>
    <row r="1411" spans="1:4" x14ac:dyDescent="0.2">
      <c r="A1411" s="5">
        <v>1350</v>
      </c>
      <c r="B1411" s="138">
        <f>'Expenditures 15-22'!D232</f>
        <v>1218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4526</v>
      </c>
      <c r="D1413" s="2" t="str">
        <f t="shared" si="21"/>
        <v>Error?</v>
      </c>
    </row>
    <row r="1414" spans="1:4" x14ac:dyDescent="0.2">
      <c r="A1414" s="5">
        <v>1353</v>
      </c>
      <c r="B1414" s="138">
        <f>'Expenditures 15-22'!D235</f>
        <v>1033</v>
      </c>
      <c r="D1414" s="2" t="str">
        <f t="shared" si="21"/>
        <v>Error?</v>
      </c>
    </row>
    <row r="1415" spans="1:4" x14ac:dyDescent="0.2">
      <c r="A1415" s="5">
        <v>1354</v>
      </c>
      <c r="B1415" s="138">
        <f>'Expenditures 15-22'!D236</f>
        <v>1350</v>
      </c>
      <c r="D1415" s="2" t="str">
        <f t="shared" si="21"/>
        <v>Error?</v>
      </c>
    </row>
    <row r="1416" spans="1:4" x14ac:dyDescent="0.2">
      <c r="A1416" s="5">
        <v>1355</v>
      </c>
      <c r="B1416" s="138">
        <f>'Expenditures 15-22'!D237</f>
        <v>2992</v>
      </c>
      <c r="D1416" s="2" t="str">
        <f t="shared" si="21"/>
        <v>Error?</v>
      </c>
    </row>
    <row r="1417" spans="1:4" x14ac:dyDescent="0.2">
      <c r="A1417" s="5">
        <v>1356</v>
      </c>
      <c r="B1417" s="138">
        <f>'Expenditures 15-22'!D238</f>
        <v>11119</v>
      </c>
      <c r="C1417" s="2" t="s">
        <v>594</v>
      </c>
      <c r="D1417" s="2" t="str">
        <f t="shared" si="21"/>
        <v>Error?</v>
      </c>
    </row>
    <row r="1418" spans="1:4" x14ac:dyDescent="0.2">
      <c r="A1418" s="5">
        <v>1357</v>
      </c>
      <c r="B1418" s="138">
        <f>'Expenditures 15-22'!D240</f>
        <v>199</v>
      </c>
      <c r="D1418" s="2" t="str">
        <f t="shared" si="21"/>
        <v>Error?</v>
      </c>
    </row>
    <row r="1419" spans="1:4" x14ac:dyDescent="0.2">
      <c r="A1419" s="5">
        <v>1358</v>
      </c>
      <c r="B1419" s="138">
        <f>'Expenditures 15-22'!D241</f>
        <v>5530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5729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13225</v>
      </c>
      <c r="D1423" s="2" t="str">
        <f t="shared" si="21"/>
        <v>Error?</v>
      </c>
    </row>
    <row r="1424" spans="1:4" x14ac:dyDescent="0.2">
      <c r="A1424" s="5">
        <v>1363</v>
      </c>
      <c r="B1424" s="138">
        <f>'Expenditures 15-22'!D257</f>
        <v>14139</v>
      </c>
      <c r="C1424" s="2" t="s">
        <v>594</v>
      </c>
      <c r="D1424" s="2" t="str">
        <f t="shared" si="21"/>
        <v>Error?</v>
      </c>
    </row>
    <row r="1425" spans="1:4" x14ac:dyDescent="0.2">
      <c r="A1425" s="5">
        <v>1364</v>
      </c>
      <c r="B1425" s="138">
        <f>'Expenditures 15-22'!D259</f>
        <v>15514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15514</v>
      </c>
      <c r="C1427" s="2" t="s">
        <v>594</v>
      </c>
      <c r="D1427" s="2" t="str">
        <f t="shared" si="21"/>
        <v>Error?</v>
      </c>
    </row>
    <row r="1428" spans="1:4" x14ac:dyDescent="0.2">
      <c r="A1428" s="5">
        <v>1367</v>
      </c>
      <c r="B1428" s="138">
        <f>'Expenditures 15-22'!D263</f>
        <v>2971</v>
      </c>
      <c r="D1428" s="2" t="str">
        <f t="shared" si="21"/>
        <v>Error?</v>
      </c>
    </row>
    <row r="1429" spans="1:4" x14ac:dyDescent="0.2">
      <c r="A1429" s="5">
        <v>1368</v>
      </c>
      <c r="B1429" s="138">
        <f>'Expenditures 15-22'!D264</f>
        <v>20099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33060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56130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102631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166208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443</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378</v>
      </c>
      <c r="C1472" s="2" t="s">
        <v>594</v>
      </c>
      <c r="D1472" s="2" t="str">
        <f t="shared" si="22"/>
        <v>Error?</v>
      </c>
    </row>
    <row r="1473" spans="1:4" x14ac:dyDescent="0.2">
      <c r="A1473" s="5">
        <v>1412</v>
      </c>
      <c r="B1473" s="138">
        <f>'Expenditures 15-22'!K224</f>
        <v>51</v>
      </c>
      <c r="C1473" s="2" t="s">
        <v>594</v>
      </c>
      <c r="D1473" s="2" t="str">
        <f t="shared" si="22"/>
        <v>Error?</v>
      </c>
    </row>
    <row r="1474" spans="1:4" x14ac:dyDescent="0.2">
      <c r="A1474" s="5">
        <v>1413</v>
      </c>
      <c r="B1474" s="138">
        <f>'Expenditures 15-22'!K229</f>
        <v>63577</v>
      </c>
      <c r="C1474" s="2" t="s">
        <v>594</v>
      </c>
      <c r="D1474" s="2" t="str">
        <f t="shared" si="22"/>
        <v>Error?</v>
      </c>
    </row>
    <row r="1475" spans="1:4" x14ac:dyDescent="0.2">
      <c r="A1475" s="5">
        <v>1414</v>
      </c>
      <c r="B1475" s="138">
        <f>'Expenditures 15-22'!K232</f>
        <v>1218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4526</v>
      </c>
      <c r="C1477" s="2" t="s">
        <v>594</v>
      </c>
      <c r="D1477" s="2" t="str">
        <f t="shared" si="22"/>
        <v>Error?</v>
      </c>
    </row>
    <row r="1478" spans="1:4" x14ac:dyDescent="0.2">
      <c r="A1478" s="5">
        <v>1417</v>
      </c>
      <c r="B1478" s="138">
        <f>'Expenditures 15-22'!K235</f>
        <v>1033</v>
      </c>
      <c r="C1478" s="2" t="s">
        <v>594</v>
      </c>
      <c r="D1478" s="2" t="str">
        <f t="shared" si="22"/>
        <v>Error?</v>
      </c>
    </row>
    <row r="1479" spans="1:4" x14ac:dyDescent="0.2">
      <c r="A1479" s="5">
        <v>1418</v>
      </c>
      <c r="B1479" s="138">
        <f>'Expenditures 15-22'!K236</f>
        <v>1350</v>
      </c>
      <c r="C1479" s="2" t="s">
        <v>594</v>
      </c>
      <c r="D1479" s="2" t="str">
        <f t="shared" si="22"/>
        <v>Error?</v>
      </c>
    </row>
    <row r="1480" spans="1:4" x14ac:dyDescent="0.2">
      <c r="A1480" s="5">
        <v>1419</v>
      </c>
      <c r="B1480" s="138">
        <f>'Expenditures 15-22'!K237</f>
        <v>2992</v>
      </c>
      <c r="C1480" s="2" t="s">
        <v>594</v>
      </c>
      <c r="D1480" s="2" t="str">
        <f t="shared" si="22"/>
        <v>Error?</v>
      </c>
    </row>
    <row r="1481" spans="1:4" x14ac:dyDescent="0.2">
      <c r="A1481" s="5">
        <v>1420</v>
      </c>
      <c r="B1481" s="138">
        <f>'Expenditures 15-22'!K238</f>
        <v>11119</v>
      </c>
      <c r="C1481" s="2" t="s">
        <v>594</v>
      </c>
      <c r="D1481" s="2" t="str">
        <f t="shared" si="22"/>
        <v>Error?</v>
      </c>
    </row>
    <row r="1482" spans="1:4" x14ac:dyDescent="0.2">
      <c r="A1482" s="5">
        <v>1421</v>
      </c>
      <c r="B1482" s="138">
        <f>'Expenditures 15-22'!K240</f>
        <v>199</v>
      </c>
      <c r="C1482" s="2" t="s">
        <v>594</v>
      </c>
      <c r="D1482" s="2" t="str">
        <f t="shared" si="22"/>
        <v>Error?</v>
      </c>
    </row>
    <row r="1483" spans="1:4" x14ac:dyDescent="0.2">
      <c r="A1483" s="5">
        <v>1422</v>
      </c>
      <c r="B1483" s="138">
        <f>'Expenditures 15-22'!K241</f>
        <v>5530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5729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13225</v>
      </c>
      <c r="C1487" s="2" t="s">
        <v>594</v>
      </c>
      <c r="D1487" s="2" t="str">
        <f t="shared" si="22"/>
        <v>Error?</v>
      </c>
    </row>
    <row r="1488" spans="1:4" x14ac:dyDescent="0.2">
      <c r="A1488" s="5">
        <v>1427</v>
      </c>
      <c r="B1488" s="138">
        <f>'Expenditures 15-22'!K257</f>
        <v>14139</v>
      </c>
      <c r="C1488" s="2" t="s">
        <v>594</v>
      </c>
      <c r="D1488" s="2" t="str">
        <f t="shared" si="22"/>
        <v>Error?</v>
      </c>
    </row>
    <row r="1489" spans="1:4" x14ac:dyDescent="0.2">
      <c r="A1489" s="5">
        <v>1428</v>
      </c>
      <c r="B1489" s="138">
        <f>'Expenditures 15-22'!K259</f>
        <v>15514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15514</v>
      </c>
      <c r="C1491" s="2" t="s">
        <v>594</v>
      </c>
      <c r="D1491" s="2" t="str">
        <f t="shared" si="22"/>
        <v>Error?</v>
      </c>
    </row>
    <row r="1492" spans="1:4" x14ac:dyDescent="0.2">
      <c r="A1492" s="5">
        <v>1431</v>
      </c>
      <c r="B1492" s="138">
        <f>'Expenditures 15-22'!K263</f>
        <v>2971</v>
      </c>
      <c r="C1492" s="2" t="s">
        <v>594</v>
      </c>
      <c r="D1492" s="2" t="str">
        <f t="shared" si="22"/>
        <v>Error?</v>
      </c>
    </row>
    <row r="1493" spans="1:4" x14ac:dyDescent="0.2">
      <c r="A1493" s="5">
        <v>1432</v>
      </c>
      <c r="B1493" s="138">
        <f>'Expenditures 15-22'!K264</f>
        <v>20099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33060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56130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102631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166208</v>
      </c>
      <c r="C1517" s="2" t="s">
        <v>594</v>
      </c>
      <c r="D1517" s="2" t="str">
        <f t="shared" si="22"/>
        <v>Error?</v>
      </c>
    </row>
    <row r="1518" spans="1:4" x14ac:dyDescent="0.2">
      <c r="A1518" s="5">
        <v>1457</v>
      </c>
      <c r="B1518" s="138">
        <f>'Expenditures 15-22'!K296</f>
        <v>65260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13924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13924</v>
      </c>
      <c r="C1535" s="2" t="s">
        <v>594</v>
      </c>
      <c r="D1535" s="2" t="str">
        <f t="shared" ref="D1535:D1598" si="23">IF(ISBLANK(B1535),"OK",IF(A1535-B1535=0,"OK","Error?"))</f>
        <v>Error?</v>
      </c>
    </row>
    <row r="1536" spans="1:4" x14ac:dyDescent="0.2">
      <c r="A1536" s="5">
        <v>1475</v>
      </c>
      <c r="B1536" s="138">
        <f>'Expenditures 15-22'!E312</f>
        <v>13924</v>
      </c>
      <c r="C1536" s="2" t="s">
        <v>594</v>
      </c>
      <c r="D1536" s="2" t="str">
        <f t="shared" si="23"/>
        <v>Error?</v>
      </c>
    </row>
    <row r="1537" spans="1:4" x14ac:dyDescent="0.2">
      <c r="A1537" s="5">
        <v>1476</v>
      </c>
      <c r="B1537" s="138">
        <f>'Expenditures 15-22'!F301</f>
        <v>7840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7840</v>
      </c>
      <c r="C1541" s="2" t="s">
        <v>594</v>
      </c>
      <c r="D1541" s="2" t="str">
        <f t="shared" si="23"/>
        <v>Error?</v>
      </c>
    </row>
    <row r="1542" spans="1:4" x14ac:dyDescent="0.2">
      <c r="A1542" s="5">
        <v>1481</v>
      </c>
      <c r="B1542" s="138">
        <f>'Expenditures 15-22'!F312</f>
        <v>7840</v>
      </c>
      <c r="C1542" s="2" t="s">
        <v>594</v>
      </c>
      <c r="D1542" s="2" t="str">
        <f t="shared" si="23"/>
        <v>Error?</v>
      </c>
    </row>
    <row r="1543" spans="1:4" x14ac:dyDescent="0.2">
      <c r="A1543" s="5">
        <v>1482</v>
      </c>
      <c r="B1543" s="138">
        <f>'Expenditures 15-22'!G301</f>
        <v>42984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42984</v>
      </c>
      <c r="C1547" s="2" t="s">
        <v>594</v>
      </c>
      <c r="D1547" s="2" t="str">
        <f t="shared" si="23"/>
        <v>Error?</v>
      </c>
    </row>
    <row r="1548" spans="1:4" x14ac:dyDescent="0.2">
      <c r="A1548" s="5">
        <v>1487</v>
      </c>
      <c r="B1548" s="138">
        <f>'Expenditures 15-22'!G312</f>
        <v>42984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64748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64748</v>
      </c>
      <c r="C1559" s="2" t="s">
        <v>594</v>
      </c>
      <c r="D1559" s="2" t="str">
        <f t="shared" si="23"/>
        <v>Error?</v>
      </c>
    </row>
    <row r="1560" spans="1:4" x14ac:dyDescent="0.2">
      <c r="A1560" s="5">
        <v>1499</v>
      </c>
      <c r="B1560" s="138">
        <f>'Expenditures 15-22'!K312</f>
        <v>64748</v>
      </c>
      <c r="C1560" s="2" t="s">
        <v>594</v>
      </c>
      <c r="D1560" s="2" t="str">
        <f t="shared" si="23"/>
        <v>Error?</v>
      </c>
    </row>
    <row r="1561" spans="1:4" x14ac:dyDescent="0.2">
      <c r="A1561" s="5">
        <v>1500</v>
      </c>
      <c r="B1561" s="138">
        <f>'Expenditures 15-22'!K313</f>
        <v>-59031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2490044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2992496</v>
      </c>
      <c r="C1630" s="2" t="s">
        <v>594</v>
      </c>
      <c r="D1630" s="2" t="str">
        <f t="shared" si="24"/>
        <v>Error?</v>
      </c>
    </row>
    <row r="1631" spans="1:4" x14ac:dyDescent="0.2">
      <c r="A1631" s="5">
        <v>1570</v>
      </c>
      <c r="B1631" s="138">
        <f>'Acct Summary 7-8'!D79</f>
        <v>377753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463599</v>
      </c>
      <c r="C1644" s="2" t="s">
        <v>594</v>
      </c>
      <c r="D1644" s="2" t="str">
        <f t="shared" si="24"/>
        <v>Error?</v>
      </c>
    </row>
    <row r="1645" spans="1:4" x14ac:dyDescent="0.2">
      <c r="A1645" s="5">
        <v>1584</v>
      </c>
      <c r="B1645" s="138">
        <f>'Acct Summary 7-8'!E79</f>
        <v>615078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665439</v>
      </c>
      <c r="C1658" s="2" t="s">
        <v>594</v>
      </c>
      <c r="D1658" s="2" t="str">
        <f t="shared" si="24"/>
        <v>Error?</v>
      </c>
    </row>
    <row r="1659" spans="1:4" x14ac:dyDescent="0.2">
      <c r="A1659" s="5">
        <v>1598</v>
      </c>
      <c r="B1659" s="138">
        <f>'Acct Summary 7-8'!F79</f>
        <v>63879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65683</v>
      </c>
      <c r="C1672" s="2" t="s">
        <v>594</v>
      </c>
      <c r="D1672" s="2" t="str">
        <f t="shared" si="25"/>
        <v>Error?</v>
      </c>
    </row>
    <row r="1673" spans="1:4" x14ac:dyDescent="0.2">
      <c r="A1673" s="5">
        <v>1612</v>
      </c>
      <c r="B1673" s="138">
        <f>'Acct Summary 7-8'!G79</f>
        <v>194269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259529</v>
      </c>
      <c r="C1686" s="2" t="s">
        <v>594</v>
      </c>
      <c r="D1686" s="2" t="str">
        <f t="shared" si="25"/>
        <v>Error?</v>
      </c>
    </row>
    <row r="1687" spans="1:4" x14ac:dyDescent="0.2">
      <c r="A1687" s="5">
        <v>1626</v>
      </c>
      <c r="B1687" s="138">
        <f>'Acct Summary 7-8'!H79</f>
        <v>437386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378355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3429986</v>
      </c>
      <c r="C1744" s="2" t="s">
        <v>594</v>
      </c>
      <c r="D1744" s="2" t="str">
        <f t="shared" si="26"/>
        <v>Error?</v>
      </c>
    </row>
    <row r="1745" spans="1:5" x14ac:dyDescent="0.2">
      <c r="A1745" s="5">
        <v>1684</v>
      </c>
      <c r="B1745" s="138">
        <f>'Tax Sched 23'!B5</f>
        <v>552676</v>
      </c>
      <c r="C1745" s="2" t="s">
        <v>594</v>
      </c>
      <c r="D1745" s="2" t="str">
        <f t="shared" si="26"/>
        <v>Error?</v>
      </c>
    </row>
    <row r="1746" spans="1:5" x14ac:dyDescent="0.2">
      <c r="A1746" s="5">
        <v>1685</v>
      </c>
      <c r="B1746" s="138">
        <f>'Tax Sched 23'!B6</f>
        <v>1001806</v>
      </c>
      <c r="C1746" s="2" t="s">
        <v>594</v>
      </c>
      <c r="D1746" s="2" t="str">
        <f t="shared" si="26"/>
        <v>Error?</v>
      </c>
    </row>
    <row r="1747" spans="1:5" x14ac:dyDescent="0.2">
      <c r="A1747" s="5">
        <v>1686</v>
      </c>
      <c r="B1747" s="138">
        <f>'Tax Sched 23'!B7</f>
        <v>21160</v>
      </c>
      <c r="C1747" s="2" t="s">
        <v>594</v>
      </c>
      <c r="D1747" s="2" t="str">
        <f t="shared" si="26"/>
        <v>Error?</v>
      </c>
    </row>
    <row r="1748" spans="1:5" x14ac:dyDescent="0.2">
      <c r="A1748" s="5">
        <v>1687</v>
      </c>
      <c r="B1748" s="138">
        <f>'Tax Sched 23'!B8</f>
        <v>120673</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314418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5516804</v>
      </c>
      <c r="C1759" s="2" t="s">
        <v>594</v>
      </c>
      <c r="D1759" s="2" t="str">
        <f t="shared" si="26"/>
        <v>Error?</v>
      </c>
    </row>
    <row r="1760" spans="1:5" x14ac:dyDescent="0.2">
      <c r="A1760" s="5">
        <v>1699</v>
      </c>
      <c r="B1760" s="138">
        <f>'Tax Sched 23'!D4</f>
        <v>1807389</v>
      </c>
      <c r="C1760" s="2" t="s">
        <v>594</v>
      </c>
      <c r="D1760" s="2" t="str">
        <f t="shared" si="26"/>
        <v>Error?</v>
      </c>
    </row>
    <row r="1761" spans="1:5" x14ac:dyDescent="0.2">
      <c r="A1761" s="5">
        <v>1700</v>
      </c>
      <c r="B1761" s="138">
        <f>'Tax Sched 23'!D5</f>
        <v>231106</v>
      </c>
      <c r="C1761" s="2" t="s">
        <v>594</v>
      </c>
      <c r="D1761" s="2" t="str">
        <f t="shared" si="26"/>
        <v>Error?</v>
      </c>
    </row>
    <row r="1762" spans="1:5" s="8" customFormat="1" x14ac:dyDescent="0.2">
      <c r="A1762" s="5">
        <v>1701</v>
      </c>
      <c r="B1762" s="138">
        <f>'Tax Sched 23'!D6</f>
        <v>480602</v>
      </c>
      <c r="C1762" s="2" t="s">
        <v>594</v>
      </c>
      <c r="D1762" s="2" t="str">
        <f t="shared" si="26"/>
        <v>Error?</v>
      </c>
      <c r="E1762" s="9"/>
    </row>
    <row r="1763" spans="1:5" x14ac:dyDescent="0.2">
      <c r="A1763" s="5">
        <v>1702</v>
      </c>
      <c r="B1763" s="138">
        <f>'Tax Sched 23'!D7</f>
        <v>10231</v>
      </c>
      <c r="C1763" s="2" t="s">
        <v>594</v>
      </c>
      <c r="D1763" s="2" t="str">
        <f t="shared" si="26"/>
        <v>Error?</v>
      </c>
    </row>
    <row r="1764" spans="1:5" x14ac:dyDescent="0.2">
      <c r="A1764" s="5">
        <v>1703</v>
      </c>
      <c r="B1764" s="138">
        <f>'Tax Sched 23'!D8</f>
        <v>58245</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36712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2660997</v>
      </c>
      <c r="C1775" s="2" t="s">
        <v>594</v>
      </c>
      <c r="D1775" s="2" t="str">
        <f t="shared" si="26"/>
        <v>Error?</v>
      </c>
    </row>
    <row r="1776" spans="1:5" x14ac:dyDescent="0.2">
      <c r="A1776" s="5">
        <v>1715</v>
      </c>
      <c r="B1776" s="138">
        <f>'Tax Sched 23'!C4</f>
        <v>1622597</v>
      </c>
      <c r="D1776" s="2" t="str">
        <f t="shared" si="26"/>
        <v>Error?</v>
      </c>
    </row>
    <row r="1777" spans="1:4" x14ac:dyDescent="0.2">
      <c r="A1777" s="5">
        <v>1716</v>
      </c>
      <c r="B1777" s="138">
        <f>'Tax Sched 23'!C5</f>
        <v>321570</v>
      </c>
      <c r="D1777" s="2" t="str">
        <f t="shared" si="26"/>
        <v>Error?</v>
      </c>
    </row>
    <row r="1778" spans="1:4" x14ac:dyDescent="0.2">
      <c r="A1778" s="5">
        <v>1717</v>
      </c>
      <c r="B1778" s="138">
        <f>'Tax Sched 23'!C6</f>
        <v>521204</v>
      </c>
      <c r="D1778" s="2" t="str">
        <f t="shared" si="26"/>
        <v>Error?</v>
      </c>
    </row>
    <row r="1779" spans="1:4" x14ac:dyDescent="0.2">
      <c r="A1779" s="5">
        <v>1718</v>
      </c>
      <c r="B1779" s="138">
        <f>'Tax Sched 23'!C7</f>
        <v>10929</v>
      </c>
      <c r="D1779" s="2" t="str">
        <f t="shared" si="26"/>
        <v>Error?</v>
      </c>
    </row>
    <row r="1780" spans="1:4" x14ac:dyDescent="0.2">
      <c r="A1780" s="5">
        <v>1719</v>
      </c>
      <c r="B1780" s="138">
        <f>'Tax Sched 23'!C8</f>
        <v>62428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277706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2855807</v>
      </c>
      <c r="C1791" s="2" t="s">
        <v>594</v>
      </c>
      <c r="D1791" s="2" t="str">
        <f t="shared" ref="D1791:D1854" si="27">IF(ISBLANK(B1791),"OK",IF(A1791-B1791=0,"OK","Error?"))</f>
        <v>Error?</v>
      </c>
    </row>
    <row r="1792" spans="1:4" x14ac:dyDescent="0.2">
      <c r="A1792" s="5">
        <v>1731</v>
      </c>
      <c r="B1792" s="138">
        <f>'Tax Sched 23'!F4</f>
        <v>1505605</v>
      </c>
      <c r="C1792" s="2" t="s">
        <v>594</v>
      </c>
      <c r="D1792" s="2" t="str">
        <f t="shared" si="27"/>
        <v>Error?</v>
      </c>
    </row>
    <row r="1793" spans="1:4" x14ac:dyDescent="0.2">
      <c r="A1793" s="5">
        <v>1732</v>
      </c>
      <c r="B1793" s="138">
        <f>'Tax Sched 23'!F5</f>
        <v>298385</v>
      </c>
      <c r="C1793" s="2" t="s">
        <v>594</v>
      </c>
      <c r="D1793" s="2" t="str">
        <f t="shared" si="27"/>
        <v>Error?</v>
      </c>
    </row>
    <row r="1794" spans="1:4" x14ac:dyDescent="0.2">
      <c r="A1794" s="5">
        <v>1733</v>
      </c>
      <c r="B1794" s="138">
        <f>'Tax Sched 23'!F6</f>
        <v>483625</v>
      </c>
      <c r="C1794" s="2" t="s">
        <v>594</v>
      </c>
      <c r="D1794" s="2" t="str">
        <f t="shared" si="27"/>
        <v>Error?</v>
      </c>
    </row>
    <row r="1795" spans="1:4" x14ac:dyDescent="0.2">
      <c r="A1795" s="5">
        <v>1734</v>
      </c>
      <c r="B1795" s="138">
        <f>'Tax Sched 23'!F7</f>
        <v>10140</v>
      </c>
      <c r="C1795" s="2" t="s">
        <v>594</v>
      </c>
      <c r="D1795" s="2" t="str">
        <f t="shared" si="27"/>
        <v>Error?</v>
      </c>
    </row>
    <row r="1796" spans="1:4" x14ac:dyDescent="0.2">
      <c r="A1796" s="5">
        <v>1735</v>
      </c>
      <c r="B1796" s="138">
        <f>'Tax Sched 23'!F8</f>
        <v>57926</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257683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2649898</v>
      </c>
      <c r="C1807" s="2" t="s">
        <v>594</v>
      </c>
      <c r="D1807" s="2" t="str">
        <f t="shared" si="27"/>
        <v>Error?</v>
      </c>
    </row>
    <row r="1808" spans="1:4" x14ac:dyDescent="0.2">
      <c r="A1808" s="5">
        <v>1747</v>
      </c>
      <c r="B1808" s="138">
        <f>'Tax Sched 23'!E4</f>
        <v>3128202</v>
      </c>
      <c r="D1808" s="2" t="str">
        <f t="shared" si="27"/>
        <v>Error?</v>
      </c>
    </row>
    <row r="1809" spans="1:4" x14ac:dyDescent="0.2">
      <c r="A1809" s="5">
        <v>1748</v>
      </c>
      <c r="B1809" s="138">
        <f>'Tax Sched 23'!E5</f>
        <v>619955</v>
      </c>
      <c r="D1809" s="2" t="str">
        <f t="shared" si="27"/>
        <v>Error?</v>
      </c>
    </row>
    <row r="1810" spans="1:4" x14ac:dyDescent="0.2">
      <c r="A1810" s="5">
        <v>1749</v>
      </c>
      <c r="B1810" s="138">
        <f>'Tax Sched 23'!E6</f>
        <v>1004829</v>
      </c>
      <c r="D1810" s="2" t="str">
        <f t="shared" si="27"/>
        <v>Error?</v>
      </c>
    </row>
    <row r="1811" spans="1:4" x14ac:dyDescent="0.2">
      <c r="A1811" s="5">
        <v>1750</v>
      </c>
      <c r="B1811" s="138">
        <f>'Tax Sched 23'!E7</f>
        <v>21069</v>
      </c>
      <c r="D1811" s="2" t="str">
        <f t="shared" si="27"/>
        <v>Error?</v>
      </c>
    </row>
    <row r="1812" spans="1:4" x14ac:dyDescent="0.2">
      <c r="A1812" s="5">
        <v>1751</v>
      </c>
      <c r="B1812" s="138">
        <f>'Tax Sched 23'!E8</f>
        <v>120354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535389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5505705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2949212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314418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314418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314418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591553</v>
      </c>
      <c r="D2008" s="2" t="str">
        <f t="shared" si="30"/>
        <v>Error?</v>
      </c>
    </row>
    <row r="2009" spans="1:4" x14ac:dyDescent="0.2">
      <c r="A2009" s="5">
        <v>1948</v>
      </c>
      <c r="B2009" s="138">
        <f>'Cap Outlay Deprec 26'!C8</f>
        <v>16065468</v>
      </c>
      <c r="D2009" s="2" t="str">
        <f t="shared" si="30"/>
        <v>Error?</v>
      </c>
    </row>
    <row r="2010" spans="1:4" x14ac:dyDescent="0.2">
      <c r="A2010" s="5">
        <v>1949</v>
      </c>
      <c r="B2010" s="138">
        <f>'Cap Outlay Deprec 26'!C10</f>
        <v>641650</v>
      </c>
      <c r="D2010" s="2" t="str">
        <f t="shared" si="30"/>
        <v>Error?</v>
      </c>
    </row>
    <row r="2011" spans="1:4" x14ac:dyDescent="0.2">
      <c r="A2011" s="5">
        <v>1950</v>
      </c>
      <c r="B2011" s="138">
        <f>'Cap Outlay Deprec 26'!C12</f>
        <v>683138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17981809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30716</v>
      </c>
      <c r="D2015" s="2" t="str">
        <f t="shared" si="30"/>
        <v>Error?</v>
      </c>
    </row>
    <row r="2016" spans="1:4" x14ac:dyDescent="0.2">
      <c r="A2016" s="5">
        <v>1955</v>
      </c>
      <c r="B2016" s="138">
        <f>'Cap Outlay Deprec 26'!D10</f>
        <v>12268</v>
      </c>
      <c r="D2016" s="2" t="str">
        <f t="shared" si="30"/>
        <v>Error?</v>
      </c>
    </row>
    <row r="2017" spans="1:4" x14ac:dyDescent="0.2">
      <c r="A2017" s="5">
        <v>1956</v>
      </c>
      <c r="B2017" s="138">
        <f>'Cap Outlay Deprec 26'!D12</f>
        <v>19363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62347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591553</v>
      </c>
      <c r="C2026" s="2" t="s">
        <v>594</v>
      </c>
      <c r="D2026" s="2" t="str">
        <f t="shared" si="30"/>
        <v>Error?</v>
      </c>
    </row>
    <row r="2027" spans="1:4" x14ac:dyDescent="0.2">
      <c r="A2027" s="5">
        <v>1966</v>
      </c>
      <c r="B2027" s="138">
        <f>'Cap Outlay Deprec 26'!F8</f>
        <v>16096184</v>
      </c>
      <c r="C2027" s="2" t="s">
        <v>594</v>
      </c>
      <c r="D2027" s="2" t="str">
        <f t="shared" si="30"/>
        <v>Error?</v>
      </c>
    </row>
    <row r="2028" spans="1:4" x14ac:dyDescent="0.2">
      <c r="A2028" s="5">
        <v>1967</v>
      </c>
      <c r="B2028" s="138">
        <f>'Cap Outlay Deprec 26'!F10</f>
        <v>653918</v>
      </c>
      <c r="C2028" s="2" t="s">
        <v>594</v>
      </c>
      <c r="D2028" s="2" t="str">
        <f t="shared" si="30"/>
        <v>Error?</v>
      </c>
    </row>
    <row r="2029" spans="1:4" x14ac:dyDescent="0.2">
      <c r="A2029" s="5">
        <v>1968</v>
      </c>
      <c r="B2029" s="138">
        <f>'Cap Outlay Deprec 26'!F12</f>
        <v>702501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18044156</v>
      </c>
      <c r="C2031" s="2" t="s">
        <v>594</v>
      </c>
      <c r="D2031" s="2" t="str">
        <f t="shared" si="30"/>
        <v>Error?</v>
      </c>
    </row>
    <row r="2032" spans="1:4" x14ac:dyDescent="0.2">
      <c r="A2032" s="10">
        <v>1971</v>
      </c>
      <c r="D2032" s="2" t="str">
        <f t="shared" si="30"/>
        <v>OK</v>
      </c>
    </row>
    <row r="2033" spans="1:4" x14ac:dyDescent="0.2">
      <c r="A2033" s="5">
        <v>1972</v>
      </c>
      <c r="B2033" s="138">
        <f>'Cap Outlay Deprec 26'!H8</f>
        <v>6374248</v>
      </c>
      <c r="D2033" s="2" t="str">
        <f t="shared" si="30"/>
        <v>Error?</v>
      </c>
    </row>
    <row r="2034" spans="1:4" x14ac:dyDescent="0.2">
      <c r="A2034" s="5">
        <v>1973</v>
      </c>
      <c r="B2034" s="138">
        <f>'Cap Outlay Deprec 26'!H10</f>
        <v>346633</v>
      </c>
      <c r="D2034" s="2" t="str">
        <f t="shared" si="30"/>
        <v>Error?</v>
      </c>
    </row>
    <row r="2035" spans="1:4" x14ac:dyDescent="0.2">
      <c r="A2035" s="5">
        <v>1974</v>
      </c>
      <c r="B2035" s="138">
        <f>'Cap Outlay Deprec 26'!H12</f>
        <v>527637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7248518</v>
      </c>
      <c r="C2037" s="2" t="s">
        <v>594</v>
      </c>
      <c r="D2037" s="2" t="str">
        <f t="shared" si="30"/>
        <v>Error?</v>
      </c>
    </row>
    <row r="2038" spans="1:4" x14ac:dyDescent="0.2">
      <c r="A2038" s="10">
        <v>1977</v>
      </c>
      <c r="D2038" s="2" t="str">
        <f t="shared" si="30"/>
        <v>OK</v>
      </c>
    </row>
    <row r="2039" spans="1:4" x14ac:dyDescent="0.2">
      <c r="A2039" s="5">
        <v>1978</v>
      </c>
      <c r="B2039" s="138">
        <f>'Cap Outlay Deprec 26'!I8</f>
        <v>370280</v>
      </c>
      <c r="D2039" s="2" t="str">
        <f t="shared" si="30"/>
        <v>Error?</v>
      </c>
    </row>
    <row r="2040" spans="1:4" x14ac:dyDescent="0.2">
      <c r="A2040" s="5">
        <v>1979</v>
      </c>
      <c r="B2040" s="138">
        <f>'Cap Outlay Deprec 26'!I10</f>
        <v>27636</v>
      </c>
      <c r="D2040" s="2" t="str">
        <f t="shared" si="30"/>
        <v>Error?</v>
      </c>
    </row>
    <row r="2041" spans="1:4" x14ac:dyDescent="0.2">
      <c r="A2041" s="5">
        <v>1980</v>
      </c>
      <c r="B2041" s="138">
        <f>'Cap Outlay Deprec 26'!I12</f>
        <v>36543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434459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6744528</v>
      </c>
      <c r="C2051" s="2" t="s">
        <v>594</v>
      </c>
      <c r="D2051" s="2" t="str">
        <f t="shared" si="31"/>
        <v>Error?</v>
      </c>
    </row>
    <row r="2052" spans="1:4" x14ac:dyDescent="0.2">
      <c r="A2052" s="5">
        <v>1991</v>
      </c>
      <c r="B2052" s="138">
        <f>'Cap Outlay Deprec 26'!K10</f>
        <v>374269</v>
      </c>
      <c r="C2052" s="2" t="s">
        <v>594</v>
      </c>
      <c r="D2052" s="2" t="str">
        <f t="shared" si="31"/>
        <v>Error?</v>
      </c>
    </row>
    <row r="2053" spans="1:4" x14ac:dyDescent="0.2">
      <c r="A2053" s="5">
        <v>1992</v>
      </c>
      <c r="B2053" s="138">
        <f>'Cap Outlay Deprec 26'!K12</f>
        <v>564180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7682977</v>
      </c>
      <c r="C2055" s="2" t="s">
        <v>594</v>
      </c>
      <c r="D2055" s="2" t="str">
        <f t="shared" si="31"/>
        <v>Error?</v>
      </c>
    </row>
    <row r="2056" spans="1:4" x14ac:dyDescent="0.2">
      <c r="A2056" s="5">
        <v>1995</v>
      </c>
      <c r="B2056" s="138">
        <f>'Cap Outlay Deprec 26'!L5</f>
        <v>591553</v>
      </c>
      <c r="C2056" s="2" t="s">
        <v>594</v>
      </c>
      <c r="D2056" s="2" t="str">
        <f t="shared" si="31"/>
        <v>Error?</v>
      </c>
    </row>
    <row r="2057" spans="1:4" x14ac:dyDescent="0.2">
      <c r="A2057" s="5">
        <v>1996</v>
      </c>
      <c r="B2057" s="138">
        <f>'Cap Outlay Deprec 26'!L8</f>
        <v>9351656</v>
      </c>
      <c r="C2057" s="2" t="s">
        <v>594</v>
      </c>
      <c r="D2057" s="2" t="str">
        <f t="shared" si="31"/>
        <v>Error?</v>
      </c>
    </row>
    <row r="2058" spans="1:4" x14ac:dyDescent="0.2">
      <c r="A2058" s="5">
        <v>1997</v>
      </c>
      <c r="B2058" s="138">
        <f>'Cap Outlay Deprec 26'!L10</f>
        <v>279649</v>
      </c>
      <c r="C2058" s="2" t="s">
        <v>594</v>
      </c>
      <c r="D2058" s="2" t="str">
        <f t="shared" si="31"/>
        <v>Error?</v>
      </c>
    </row>
    <row r="2059" spans="1:4" x14ac:dyDescent="0.2">
      <c r="A2059" s="5">
        <v>1998</v>
      </c>
      <c r="B2059" s="138">
        <f>'Cap Outlay Deprec 26'!L12</f>
        <v>138321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10361179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157523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4170964</v>
      </c>
      <c r="C2551" s="2" t="s">
        <v>594</v>
      </c>
      <c r="D2551" s="2" t="str">
        <f t="shared" si="38"/>
        <v>Error?</v>
      </c>
    </row>
    <row r="2552" spans="1:4" x14ac:dyDescent="0.2">
      <c r="A2552" s="10">
        <v>2491</v>
      </c>
      <c r="D2552" s="2" t="str">
        <f t="shared" si="38"/>
        <v>OK</v>
      </c>
    </row>
    <row r="2553" spans="1:4" x14ac:dyDescent="0.2">
      <c r="A2553" s="5">
        <v>2492</v>
      </c>
      <c r="B2553" s="138">
        <f>'Acct Summary 7-8'!C6</f>
        <v>381571</v>
      </c>
      <c r="C2553" s="2" t="s">
        <v>594</v>
      </c>
      <c r="D2553" s="2" t="str">
        <f t="shared" si="38"/>
        <v>Error?</v>
      </c>
    </row>
    <row r="2554" spans="1:4" x14ac:dyDescent="0.2">
      <c r="A2554" s="5">
        <v>2493</v>
      </c>
      <c r="B2554" s="138">
        <f>'Acct Summary 7-8'!C7</f>
        <v>198778</v>
      </c>
      <c r="C2554" s="2" t="s">
        <v>594</v>
      </c>
      <c r="D2554" s="2" t="str">
        <f t="shared" si="38"/>
        <v>Error?</v>
      </c>
    </row>
    <row r="2555" spans="1:4" x14ac:dyDescent="0.2">
      <c r="A2555" s="5">
        <v>2494</v>
      </c>
      <c r="B2555" s="138">
        <f>'Acct Summary 7-8'!C8</f>
        <v>4751313</v>
      </c>
      <c r="C2555" s="2" t="s">
        <v>594</v>
      </c>
      <c r="D2555" s="2" t="str">
        <f t="shared" si="38"/>
        <v>Error?</v>
      </c>
    </row>
    <row r="2556" spans="1:4" x14ac:dyDescent="0.2">
      <c r="A2556" s="5">
        <v>2495</v>
      </c>
      <c r="B2556" s="138">
        <f>'Acct Summary 7-8'!C12</f>
        <v>2526843</v>
      </c>
      <c r="C2556" s="2" t="s">
        <v>594</v>
      </c>
      <c r="D2556" s="2" t="str">
        <f t="shared" si="38"/>
        <v>Error?</v>
      </c>
    </row>
    <row r="2557" spans="1:4" x14ac:dyDescent="0.2">
      <c r="A2557" s="5">
        <v>2496</v>
      </c>
      <c r="B2557" s="138">
        <f>'Acct Summary 7-8'!C13</f>
        <v>1542949</v>
      </c>
      <c r="C2557" s="2" t="s">
        <v>594</v>
      </c>
      <c r="D2557" s="2" t="str">
        <f t="shared" si="38"/>
        <v>Error?</v>
      </c>
    </row>
    <row r="2558" spans="1:4" x14ac:dyDescent="0.2">
      <c r="A2558" s="5">
        <v>2497</v>
      </c>
      <c r="B2558" s="138">
        <f>'Acct Summary 7-8'!C14</f>
        <v>13671</v>
      </c>
      <c r="C2558" s="2" t="s">
        <v>594</v>
      </c>
      <c r="D2558" s="2" t="str">
        <f t="shared" si="38"/>
        <v>Error?</v>
      </c>
    </row>
    <row r="2559" spans="1:4" x14ac:dyDescent="0.2">
      <c r="A2559" s="5">
        <v>2498</v>
      </c>
      <c r="B2559" s="138">
        <f>'Acct Summary 7-8'!C15</f>
        <v>157523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4240986</v>
      </c>
      <c r="C2561" s="2" t="s">
        <v>594</v>
      </c>
      <c r="D2561" s="2" t="str">
        <f t="shared" si="39"/>
        <v>Error?</v>
      </c>
    </row>
    <row r="2562" spans="1:4" x14ac:dyDescent="0.2">
      <c r="A2562" s="5">
        <v>2501</v>
      </c>
      <c r="B2562" s="138">
        <f>'Acct Summary 7-8'!C20</f>
        <v>510327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569484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569484</v>
      </c>
      <c r="C2568" s="2" t="s">
        <v>594</v>
      </c>
      <c r="D2568" s="2" t="str">
        <f t="shared" si="39"/>
        <v>Error?</v>
      </c>
    </row>
    <row r="2569" spans="1:4" x14ac:dyDescent="0.2">
      <c r="A2569" s="5">
        <v>2508</v>
      </c>
      <c r="B2569" s="138">
        <f>'Acct Summary 7-8'!D13</f>
        <v>483638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483638</v>
      </c>
      <c r="C2573" s="2" t="s">
        <v>594</v>
      </c>
      <c r="D2573" s="2" t="str">
        <f t="shared" si="39"/>
        <v>Error?</v>
      </c>
    </row>
    <row r="2574" spans="1:4" x14ac:dyDescent="0.2">
      <c r="A2574" s="5">
        <v>2513</v>
      </c>
      <c r="B2574" s="138">
        <f>'Acct Summary 7-8'!D20</f>
        <v>85846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22215</v>
      </c>
      <c r="C2591" s="2" t="s">
        <v>594</v>
      </c>
      <c r="D2591" s="2" t="str">
        <f t="shared" si="39"/>
        <v>Error?</v>
      </c>
    </row>
    <row r="2592" spans="1:4" x14ac:dyDescent="0.2">
      <c r="A2592" s="10">
        <v>2531</v>
      </c>
      <c r="D2592" s="2" t="str">
        <f t="shared" si="39"/>
        <v>OK</v>
      </c>
    </row>
    <row r="2593" spans="1:4" x14ac:dyDescent="0.2">
      <c r="A2593" s="5">
        <v>2532</v>
      </c>
      <c r="B2593" s="138">
        <f>'Acct Summary 7-8'!F6</f>
        <v>33798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56013</v>
      </c>
      <c r="C2595" s="2" t="s">
        <v>594</v>
      </c>
      <c r="D2595" s="2" t="str">
        <f t="shared" si="39"/>
        <v>Error?</v>
      </c>
    </row>
    <row r="2596" spans="1:4" x14ac:dyDescent="0.2">
      <c r="A2596" s="5">
        <v>2535</v>
      </c>
      <c r="B2596" s="138">
        <f>'Acct Summary 7-8'!F13</f>
        <v>54209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54209</v>
      </c>
      <c r="C2600" s="2" t="s">
        <v>594</v>
      </c>
      <c r="D2600" s="2" t="str">
        <f t="shared" si="39"/>
        <v>Error?</v>
      </c>
    </row>
    <row r="2601" spans="1:4" x14ac:dyDescent="0.2">
      <c r="A2601" s="5">
        <v>2540</v>
      </c>
      <c r="B2601" s="138">
        <f>'Acct Summary 7-8'!F20</f>
        <v>1804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231468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231468</v>
      </c>
      <c r="C2606" s="2" t="s">
        <v>594</v>
      </c>
      <c r="D2606" s="2" t="str">
        <f t="shared" si="39"/>
        <v>Error?</v>
      </c>
    </row>
    <row r="2607" spans="1:4" x14ac:dyDescent="0.2">
      <c r="A2607" s="5">
        <v>2546</v>
      </c>
      <c r="B2607" s="138">
        <f>'Acct Summary 7-8'!G12</f>
        <v>63577</v>
      </c>
      <c r="C2607" s="2" t="s">
        <v>594</v>
      </c>
      <c r="D2607" s="2" t="str">
        <f t="shared" si="39"/>
        <v>Error?</v>
      </c>
    </row>
    <row r="2608" spans="1:4" x14ac:dyDescent="0.2">
      <c r="A2608" s="5">
        <v>2547</v>
      </c>
      <c r="B2608" s="138">
        <f>'Acct Summary 7-8'!G13</f>
        <v>102631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166208</v>
      </c>
      <c r="C2612" s="2" t="s">
        <v>594</v>
      </c>
      <c r="D2612" s="2" t="str">
        <f t="shared" si="39"/>
        <v>Error?</v>
      </c>
    </row>
    <row r="2613" spans="1:4" x14ac:dyDescent="0.2">
      <c r="A2613" s="5">
        <v>2552</v>
      </c>
      <c r="B2613" s="138">
        <f>'Acct Summary 7-8'!G20</f>
        <v>65260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1010321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1010321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967835</v>
      </c>
      <c r="C2634" s="2" t="s">
        <v>594</v>
      </c>
      <c r="D2634" s="2" t="str">
        <f t="shared" si="40"/>
        <v>Error?</v>
      </c>
    </row>
    <row r="2635" spans="1:4" x14ac:dyDescent="0.2">
      <c r="A2635" s="5">
        <v>2574</v>
      </c>
      <c r="B2635" s="138">
        <f>'Acct Summary 7-8'!E17</f>
        <v>967835</v>
      </c>
      <c r="C2635" s="2" t="s">
        <v>594</v>
      </c>
      <c r="D2635" s="2" t="str">
        <f t="shared" si="40"/>
        <v>Error?</v>
      </c>
    </row>
    <row r="2636" spans="1:4" x14ac:dyDescent="0.2">
      <c r="A2636" s="5">
        <v>2575</v>
      </c>
      <c r="B2636" s="138">
        <f>'Acct Summary 7-8'!E20</f>
        <v>42486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5717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5717</v>
      </c>
      <c r="C2658" s="2" t="s">
        <v>594</v>
      </c>
      <c r="D2658" s="2" t="str">
        <f t="shared" si="40"/>
        <v>Error?</v>
      </c>
    </row>
    <row r="2659" spans="1:4" x14ac:dyDescent="0.2">
      <c r="A2659" s="5">
        <v>2598</v>
      </c>
      <c r="B2659" s="138">
        <f>'Acct Summary 7-8'!H13</f>
        <v>64748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64748</v>
      </c>
      <c r="C2661" s="2" t="s">
        <v>594</v>
      </c>
      <c r="D2661" s="2" t="str">
        <f t="shared" si="40"/>
        <v>Error?</v>
      </c>
    </row>
    <row r="2662" spans="1:4" x14ac:dyDescent="0.2">
      <c r="A2662" s="5">
        <v>2601</v>
      </c>
      <c r="B2662" s="138">
        <f>'Acct Summary 7-8'!H20</f>
        <v>-59031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63029</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177</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63206</v>
      </c>
      <c r="C2724" s="2" t="s">
        <v>594</v>
      </c>
      <c r="D2724" s="2" t="str">
        <f t="shared" si="41"/>
        <v>Error?</v>
      </c>
    </row>
    <row r="2725" spans="1:4" x14ac:dyDescent="0.2">
      <c r="A2725" s="5">
        <v>2664</v>
      </c>
      <c r="B2725" s="138">
        <f>'Expenditures 15-22'!D247</f>
        <v>914</v>
      </c>
      <c r="D2725" s="2" t="str">
        <f t="shared" si="41"/>
        <v>Error?</v>
      </c>
    </row>
    <row r="2726" spans="1:4" x14ac:dyDescent="0.2">
      <c r="A2726" s="5">
        <v>2665</v>
      </c>
      <c r="B2726" s="138">
        <f>'Expenditures 15-22'!K247</f>
        <v>914</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447175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17412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447175</v>
      </c>
      <c r="D2912" s="2" t="str">
        <f t="shared" si="44"/>
        <v>Error?</v>
      </c>
    </row>
    <row r="2913" spans="1:4" x14ac:dyDescent="0.2">
      <c r="A2913" s="5">
        <v>2852</v>
      </c>
      <c r="B2913" s="138">
        <f>'Assets-Liab 5-6'!I41</f>
        <v>447175</v>
      </c>
      <c r="C2913" s="2" t="s">
        <v>594</v>
      </c>
      <c r="D2913" s="2" t="str">
        <f t="shared" si="44"/>
        <v>Error?</v>
      </c>
    </row>
    <row r="2914" spans="1:4" x14ac:dyDescent="0.2">
      <c r="A2914" s="5">
        <v>2853</v>
      </c>
      <c r="B2914" s="138">
        <f>'Assets-Liab 5-6'!L33</f>
        <v>17412</v>
      </c>
      <c r="D2914" s="2" t="str">
        <f t="shared" si="44"/>
        <v>Error?</v>
      </c>
    </row>
    <row r="2915" spans="1:4" x14ac:dyDescent="0.2">
      <c r="A2915" s="10">
        <v>2854</v>
      </c>
      <c r="D2915" s="2" t="str">
        <f t="shared" si="44"/>
        <v>OK</v>
      </c>
    </row>
    <row r="2916" spans="1:4" x14ac:dyDescent="0.2">
      <c r="A2916" s="5">
        <v>2855</v>
      </c>
      <c r="B2916" s="138">
        <f>'Assets-Liab 5-6'!L34</f>
        <v>17412</v>
      </c>
      <c r="C2916" s="2" t="s">
        <v>594</v>
      </c>
      <c r="D2916" s="2" t="str">
        <f t="shared" si="44"/>
        <v>Error?</v>
      </c>
    </row>
    <row r="2917" spans="1:4" x14ac:dyDescent="0.2">
      <c r="A2917" s="5">
        <v>2856</v>
      </c>
      <c r="B2917" s="138">
        <f>'Assets-Liab 5-6'!L41</f>
        <v>17412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44149</v>
      </c>
      <c r="D3055" s="2" t="str">
        <f t="shared" si="46"/>
        <v>Error?</v>
      </c>
    </row>
    <row r="3056" spans="1:4" x14ac:dyDescent="0.2">
      <c r="A3056" s="5">
        <v>2995</v>
      </c>
      <c r="B3056" s="138">
        <f>'Expenditures 15-22'!D10</f>
        <v>15444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1000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60593</v>
      </c>
      <c r="C3062" s="2" t="s">
        <v>594</v>
      </c>
      <c r="D3062" s="2" t="str">
        <f t="shared" si="46"/>
        <v>Error?</v>
      </c>
    </row>
    <row r="3063" spans="1:4" x14ac:dyDescent="0.2">
      <c r="A3063" s="10">
        <v>3002</v>
      </c>
      <c r="D3063" s="2" t="str">
        <f t="shared" si="46"/>
        <v>OK</v>
      </c>
    </row>
    <row r="3064" spans="1:4" x14ac:dyDescent="0.2">
      <c r="A3064" s="5">
        <v>3003</v>
      </c>
      <c r="B3064" s="138">
        <f>'Expenditures 15-22'!D219</f>
        <v>3588</v>
      </c>
      <c r="D3064" s="2" t="str">
        <f t="shared" si="46"/>
        <v>Error?</v>
      </c>
    </row>
    <row r="3065" spans="1:4" x14ac:dyDescent="0.2">
      <c r="A3065" s="5">
        <v>3004</v>
      </c>
      <c r="B3065" s="138">
        <f>'Expenditures 15-22'!K219</f>
        <v>3588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7236</v>
      </c>
      <c r="C3225" s="2" t="s">
        <v>594</v>
      </c>
      <c r="D3225" s="2" t="str">
        <f t="shared" si="49"/>
        <v>Error?</v>
      </c>
    </row>
    <row r="3226" spans="1:4" x14ac:dyDescent="0.2">
      <c r="A3226" s="5">
        <v>3165</v>
      </c>
      <c r="B3226" s="138">
        <f>'Acct Summary 7-8'!I8</f>
        <v>7236</v>
      </c>
      <c r="C3226" s="2" t="s">
        <v>594</v>
      </c>
      <c r="D3226" s="2" t="str">
        <f t="shared" si="49"/>
        <v>Error?</v>
      </c>
    </row>
    <row r="3227" spans="1:4" x14ac:dyDescent="0.2">
      <c r="A3227" s="5">
        <v>3166</v>
      </c>
      <c r="B3227" s="138">
        <f>'Acct Summary 7-8'!I20</f>
        <v>7236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7875</v>
      </c>
      <c r="C3231" s="2" t="s">
        <v>594</v>
      </c>
      <c r="D3231" s="2" t="str">
        <f t="shared" si="49"/>
        <v>Error?</v>
      </c>
    </row>
    <row r="3232" spans="1:4" x14ac:dyDescent="0.2">
      <c r="A3232" s="5">
        <v>3171</v>
      </c>
      <c r="B3232" s="138">
        <f>'Acct Summary 7-8'!C77</f>
        <v>-7875</v>
      </c>
      <c r="C3232" s="2" t="s">
        <v>594</v>
      </c>
      <c r="D3232" s="2" t="str">
        <f t="shared" si="49"/>
        <v>Error?</v>
      </c>
    </row>
    <row r="3233" spans="1:4" x14ac:dyDescent="0.2">
      <c r="A3233" s="5">
        <v>3172</v>
      </c>
      <c r="B3233" s="138">
        <f>'Acct Summary 7-8'!C78</f>
        <v>502452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85846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1804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65260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7875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7875</v>
      </c>
      <c r="C3277" s="2" t="s">
        <v>594</v>
      </c>
      <c r="D3277" s="2" t="str">
        <f t="shared" si="50"/>
        <v>Error?</v>
      </c>
    </row>
    <row r="3278" spans="1:4" x14ac:dyDescent="0.2">
      <c r="A3278" s="5">
        <v>3217</v>
      </c>
      <c r="B3278" s="138">
        <f>'Acct Summary 7-8'!E78</f>
        <v>50361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-59031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7236</v>
      </c>
      <c r="C3320" s="2" t="s">
        <v>594</v>
      </c>
      <c r="D3320" s="2" t="str">
        <f t="shared" si="50"/>
        <v>Error?</v>
      </c>
    </row>
    <row r="3321" spans="1:4" x14ac:dyDescent="0.2">
      <c r="A3321" s="5">
        <v>3260</v>
      </c>
      <c r="B3321" s="138">
        <f>'Acct Summary 7-8'!I79</f>
        <v>439939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447175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323257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61497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842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391090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23501</v>
      </c>
      <c r="D3387" s="2" t="str">
        <f t="shared" si="51"/>
        <v>Error?</v>
      </c>
    </row>
    <row r="3388" spans="1:4" x14ac:dyDescent="0.2">
      <c r="A3388" s="5">
        <v>3327</v>
      </c>
      <c r="B3388" s="138">
        <f>'Expenditures 15-22'!D217</f>
        <v>35541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23501</v>
      </c>
      <c r="C3390" s="2" t="s">
        <v>594</v>
      </c>
      <c r="D3390" s="2" t="str">
        <f t="shared" si="51"/>
        <v>Error?</v>
      </c>
    </row>
    <row r="3391" spans="1:4" x14ac:dyDescent="0.2">
      <c r="A3391" s="5">
        <v>3330</v>
      </c>
      <c r="B3391" s="138">
        <f>'Expenditures 15-22'!K217</f>
        <v>35541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2992496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463599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665439</v>
      </c>
      <c r="D3417" s="2" t="str">
        <f t="shared" si="52"/>
        <v>Error?</v>
      </c>
    </row>
    <row r="3418" spans="1:4" x14ac:dyDescent="0.2">
      <c r="A3418" s="10">
        <v>3357</v>
      </c>
      <c r="D3418" s="2" t="str">
        <f t="shared" si="52"/>
        <v>OK</v>
      </c>
    </row>
    <row r="3419" spans="1:4" x14ac:dyDescent="0.2">
      <c r="A3419" s="5">
        <v>3358</v>
      </c>
      <c r="B3419" s="138">
        <f>'Assets-Liab 5-6'!F4</f>
        <v>65683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259529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378355</v>
      </c>
      <c r="D3425" s="2" t="str">
        <f t="shared" si="52"/>
        <v>Error?</v>
      </c>
    </row>
    <row r="3426" spans="1:4" x14ac:dyDescent="0.2">
      <c r="A3426" s="10">
        <v>3365</v>
      </c>
      <c r="D3426" s="2" t="str">
        <f t="shared" si="52"/>
        <v>OK</v>
      </c>
    </row>
    <row r="3427" spans="1:4" x14ac:dyDescent="0.2">
      <c r="A3427" s="5">
        <v>3366</v>
      </c>
      <c r="B3427" s="138">
        <f>'Assets-Liab 5-6'!I4</f>
        <v>447175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17412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76085</v>
      </c>
      <c r="C3446" s="2" t="s">
        <v>594</v>
      </c>
      <c r="D3446" s="2" t="str">
        <f t="shared" si="52"/>
        <v>Error?</v>
      </c>
    </row>
    <row r="3447" spans="1:4" x14ac:dyDescent="0.2">
      <c r="A3447" s="5">
        <v>3386</v>
      </c>
      <c r="B3447" s="138">
        <f>'Tax Sched 23'!D16</f>
        <v>36712</v>
      </c>
      <c r="C3447" s="2" t="s">
        <v>594</v>
      </c>
      <c r="D3447" s="2" t="str">
        <f t="shared" si="52"/>
        <v>Error?</v>
      </c>
    </row>
    <row r="3448" spans="1:4" x14ac:dyDescent="0.2">
      <c r="A3448" s="5">
        <v>3387</v>
      </c>
      <c r="B3448" s="138">
        <f>'Tax Sched 23'!C16</f>
        <v>39373</v>
      </c>
      <c r="D3448" s="2" t="str">
        <f t="shared" si="52"/>
        <v>Error?</v>
      </c>
    </row>
    <row r="3449" spans="1:4" x14ac:dyDescent="0.2">
      <c r="A3449" s="5">
        <v>3388</v>
      </c>
      <c r="B3449" s="138">
        <f>'Tax Sched 23'!F16</f>
        <v>36534</v>
      </c>
      <c r="C3449" s="2" t="s">
        <v>594</v>
      </c>
      <c r="D3449" s="2" t="str">
        <f t="shared" si="52"/>
        <v>Error?</v>
      </c>
    </row>
    <row r="3450" spans="1:4" x14ac:dyDescent="0.2">
      <c r="A3450" s="5">
        <v>3389</v>
      </c>
      <c r="B3450" s="138">
        <f>'Tax Sched 23'!E16</f>
        <v>75907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1829746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6581059</v>
      </c>
      <c r="C4122" s="2" t="s">
        <v>594</v>
      </c>
      <c r="D4122" s="2" t="str">
        <f t="shared" si="63"/>
        <v>Error?</v>
      </c>
    </row>
    <row r="4123" spans="1:4" x14ac:dyDescent="0.2">
      <c r="A4123" s="5">
        <v>4062</v>
      </c>
      <c r="B4123" s="138">
        <f>'Acct Summary 7-8'!D10</f>
        <v>569484</v>
      </c>
      <c r="C4123" s="2" t="s">
        <v>594</v>
      </c>
      <c r="D4123" s="2" t="str">
        <f t="shared" si="63"/>
        <v>Error?</v>
      </c>
    </row>
    <row r="4124" spans="1:4" x14ac:dyDescent="0.2">
      <c r="A4124" s="5">
        <v>4063</v>
      </c>
      <c r="B4124" s="138">
        <f>'Acct Summary 7-8'!E10</f>
        <v>1010321</v>
      </c>
      <c r="C4124" s="2" t="s">
        <v>594</v>
      </c>
      <c r="D4124" s="2" t="str">
        <f t="shared" si="63"/>
        <v>Error?</v>
      </c>
    </row>
    <row r="4125" spans="1:4" x14ac:dyDescent="0.2">
      <c r="A4125" s="5">
        <v>4064</v>
      </c>
      <c r="B4125" s="138">
        <f>'Acct Summary 7-8'!F10</f>
        <v>56013</v>
      </c>
      <c r="C4125" s="2" t="s">
        <v>594</v>
      </c>
      <c r="D4125" s="2" t="str">
        <f t="shared" si="63"/>
        <v>Error?</v>
      </c>
    </row>
    <row r="4126" spans="1:4" x14ac:dyDescent="0.2">
      <c r="A4126" s="5">
        <v>4065</v>
      </c>
      <c r="B4126" s="138">
        <f>'Acct Summary 7-8'!G10</f>
        <v>231468</v>
      </c>
      <c r="C4126" s="2" t="s">
        <v>594</v>
      </c>
      <c r="D4126" s="2" t="str">
        <f t="shared" si="63"/>
        <v>Error?</v>
      </c>
    </row>
    <row r="4127" spans="1:4" x14ac:dyDescent="0.2">
      <c r="A4127" s="5">
        <v>4066</v>
      </c>
      <c r="B4127" s="138">
        <f>'Acct Summary 7-8'!H10</f>
        <v>5717</v>
      </c>
      <c r="C4127" s="2" t="s">
        <v>594</v>
      </c>
      <c r="D4127" s="2" t="str">
        <f t="shared" si="63"/>
        <v>Error?</v>
      </c>
    </row>
    <row r="4128" spans="1:4" x14ac:dyDescent="0.2">
      <c r="A4128" s="5">
        <v>4067</v>
      </c>
      <c r="B4128" s="138">
        <f>'Acct Summary 7-8'!I10</f>
        <v>7236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1829746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6070732</v>
      </c>
      <c r="C4136" s="2" t="s">
        <v>594</v>
      </c>
      <c r="D4136" s="2" t="str">
        <f t="shared" si="63"/>
        <v>Error?</v>
      </c>
    </row>
    <row r="4137" spans="1:4" x14ac:dyDescent="0.2">
      <c r="A4137" s="5">
        <v>4076</v>
      </c>
      <c r="B4137" s="138">
        <f>'Acct Summary 7-8'!D19</f>
        <v>483638</v>
      </c>
      <c r="C4137" s="2" t="s">
        <v>594</v>
      </c>
      <c r="D4137" s="2" t="str">
        <f t="shared" si="63"/>
        <v>Error?</v>
      </c>
    </row>
    <row r="4138" spans="1:4" x14ac:dyDescent="0.2">
      <c r="A4138" s="5">
        <v>4077</v>
      </c>
      <c r="B4138" s="138">
        <f>'Acct Summary 7-8'!E19</f>
        <v>967835</v>
      </c>
      <c r="C4138" s="2" t="s">
        <v>594</v>
      </c>
      <c r="D4138" s="2" t="str">
        <f t="shared" si="63"/>
        <v>Error?</v>
      </c>
    </row>
    <row r="4139" spans="1:4" x14ac:dyDescent="0.2">
      <c r="A4139" s="5">
        <v>4078</v>
      </c>
      <c r="B4139" s="138">
        <f>'Acct Summary 7-8'!F19</f>
        <v>54209</v>
      </c>
      <c r="C4139" s="2" t="s">
        <v>594</v>
      </c>
      <c r="D4139" s="2" t="str">
        <f t="shared" si="63"/>
        <v>Error?</v>
      </c>
    </row>
    <row r="4140" spans="1:4" x14ac:dyDescent="0.2">
      <c r="A4140" s="5">
        <v>4079</v>
      </c>
      <c r="B4140" s="138">
        <f>'Acct Summary 7-8'!G19</f>
        <v>166208</v>
      </c>
      <c r="C4140" s="2" t="s">
        <v>594</v>
      </c>
      <c r="D4140" s="2" t="str">
        <f t="shared" si="63"/>
        <v>Error?</v>
      </c>
    </row>
    <row r="4141" spans="1:4" x14ac:dyDescent="0.2">
      <c r="A4141" s="5">
        <v>4080</v>
      </c>
      <c r="B4141" s="138">
        <f>'Acct Summary 7-8'!H19</f>
        <v>64748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2687181</v>
      </c>
      <c r="C4171" s="2" t="s">
        <v>594</v>
      </c>
      <c r="D4171" s="2" t="str">
        <f t="shared" si="64"/>
        <v>Error?</v>
      </c>
    </row>
    <row r="4172" spans="1:4" x14ac:dyDescent="0.2">
      <c r="A4172" s="5">
        <v>4111</v>
      </c>
      <c r="B4172" s="138">
        <f>'Short-Term Long-Term Debt 24'!J49</f>
        <v>2021742</v>
      </c>
      <c r="C4172" s="2" t="s">
        <v>594</v>
      </c>
      <c r="D4172" s="2" t="str">
        <f t="shared" si="64"/>
        <v>Error?</v>
      </c>
    </row>
    <row r="4173" spans="1:4" x14ac:dyDescent="0.2">
      <c r="A4173" s="5">
        <v>4112</v>
      </c>
      <c r="B4173" s="138">
        <f>'Short-Term Long-Term Debt 24'!H49</f>
        <v>262031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2167.6999999999998</v>
      </c>
      <c r="C4265" s="2" t="s">
        <v>594</v>
      </c>
      <c r="D4265" s="2" t="str">
        <f t="shared" si="65"/>
        <v>Error?</v>
      </c>
      <c r="E4265" s="128"/>
    </row>
    <row r="4266" spans="1:5" x14ac:dyDescent="0.2">
      <c r="A4266" s="12">
        <v>4205</v>
      </c>
      <c r="B4266" s="138">
        <f>('FP Info 3'!F10)*100000</f>
        <v>429.6</v>
      </c>
      <c r="C4266" s="2" t="s">
        <v>594</v>
      </c>
      <c r="D4266" s="2" t="str">
        <f t="shared" si="65"/>
        <v>Error?</v>
      </c>
      <c r="E4266" s="128"/>
    </row>
    <row r="4267" spans="1:5" x14ac:dyDescent="0.2">
      <c r="A4267" s="12">
        <v>4206</v>
      </c>
      <c r="B4267" s="138">
        <f>('FP Info 3'!H10)*100000</f>
        <v>14.6</v>
      </c>
      <c r="C4267" s="2" t="s">
        <v>594</v>
      </c>
      <c r="D4267" s="2" t="str">
        <f t="shared" si="65"/>
        <v>Error?</v>
      </c>
      <c r="E4267" s="128"/>
    </row>
    <row r="4268" spans="1:5" x14ac:dyDescent="0.2">
      <c r="A4268" s="12">
        <v>4207</v>
      </c>
      <c r="B4268" s="138">
        <f>('FP Info 3'!J10)*100000</f>
        <v>2612</v>
      </c>
      <c r="C4268" s="2" t="s">
        <v>594</v>
      </c>
      <c r="D4268" s="2" t="str">
        <f t="shared" si="65"/>
        <v>Error?</v>
      </c>
    </row>
    <row r="4269" spans="1:5" x14ac:dyDescent="0.2">
      <c r="A4269" s="12">
        <v>4208</v>
      </c>
      <c r="B4269" s="138">
        <f>'FP Info 3'!J16</f>
        <v>3968953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19013</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25163</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8581</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11629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35123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4404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11834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144309744</v>
      </c>
      <c r="D4995" s="2" t="str">
        <f t="shared" si="77"/>
        <v>Error?</v>
      </c>
    </row>
    <row r="4996" spans="1:4" x14ac:dyDescent="0.2">
      <c r="A4996" s="12">
        <v>4935</v>
      </c>
      <c r="B4996" s="138">
        <f>'FP Info 3'!H31</f>
        <v>9957372.3360000011</v>
      </c>
      <c r="D4996" s="2" t="str">
        <f t="shared" si="77"/>
        <v>Error?</v>
      </c>
    </row>
    <row r="4997" spans="1:4" x14ac:dyDescent="0.2">
      <c r="A4997" s="12">
        <v>4936</v>
      </c>
      <c r="B4997" s="138">
        <f>'FP Info 3'!H37</f>
        <v>2687181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3429986</v>
      </c>
      <c r="D5061" s="2" t="str">
        <f t="shared" si="78"/>
        <v>Error?</v>
      </c>
    </row>
    <row r="5062" spans="1:4" x14ac:dyDescent="0.2">
      <c r="A5062" s="10">
        <v>5001</v>
      </c>
      <c r="D5062" s="2" t="str">
        <f t="shared" si="78"/>
        <v>OK</v>
      </c>
    </row>
    <row r="5063" spans="1:4" x14ac:dyDescent="0.2">
      <c r="A5063" s="5">
        <v>5002</v>
      </c>
      <c r="B5063" s="138">
        <f>'Revenues 9-14'!C7</f>
        <v>314418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3744404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50663</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50663</v>
      </c>
      <c r="C5087" s="2" t="s">
        <v>594</v>
      </c>
      <c r="D5087" s="2" t="str">
        <f t="shared" si="78"/>
        <v>Error?</v>
      </c>
    </row>
    <row r="5088" spans="1:4" x14ac:dyDescent="0.2">
      <c r="A5088" s="5">
        <v>5027</v>
      </c>
      <c r="B5088" s="138">
        <f>'Revenues 9-14'!C65</f>
        <v>43965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43965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59837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59837</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148086</v>
      </c>
      <c r="D5113" s="2" t="str">
        <f t="shared" si="78"/>
        <v>Error?</v>
      </c>
    </row>
    <row r="5114" spans="1:4" x14ac:dyDescent="0.2">
      <c r="A5114" s="5">
        <v>5053</v>
      </c>
      <c r="B5114" s="138">
        <f>'Revenues 9-14'!C96</f>
        <v>57738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12686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52585</v>
      </c>
      <c r="D5119" s="2" t="str">
        <f t="shared" ref="D5119:D5182" si="79">IF(ISBLANK(B5119),"OK",IF(A5119-B5119=0,"OK","Error?"))</f>
        <v>Error?</v>
      </c>
    </row>
    <row r="5120" spans="1:4" x14ac:dyDescent="0.2">
      <c r="A5120" s="5">
        <v>5059</v>
      </c>
      <c r="B5120" s="138">
        <f>'Revenues 9-14'!C108</f>
        <v>271095</v>
      </c>
      <c r="C5120" s="2" t="s">
        <v>594</v>
      </c>
      <c r="D5120" s="2" t="str">
        <f t="shared" si="79"/>
        <v>Error?</v>
      </c>
    </row>
    <row r="5121" spans="1:4" x14ac:dyDescent="0.2">
      <c r="A5121" s="5">
        <v>5060</v>
      </c>
      <c r="B5121" s="138">
        <f>'Revenues 9-14'!C109</f>
        <v>4170964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278143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278143</v>
      </c>
      <c r="C5132" s="2" t="s">
        <v>594</v>
      </c>
      <c r="D5132" s="2" t="str">
        <f t="shared" si="79"/>
        <v>Error?</v>
      </c>
    </row>
    <row r="5133" spans="1:4" x14ac:dyDescent="0.2">
      <c r="A5133" s="5">
        <v>5072</v>
      </c>
      <c r="B5133" s="138">
        <f>'Revenues 9-14'!C124</f>
        <v>27149</v>
      </c>
      <c r="D5133" s="2" t="str">
        <f t="shared" si="79"/>
        <v>Error?</v>
      </c>
    </row>
    <row r="5134" spans="1:4" x14ac:dyDescent="0.2">
      <c r="A5134" s="5">
        <v>5073</v>
      </c>
      <c r="B5134" s="138">
        <f>'Revenues 9-14'!C125</f>
        <v>19207</v>
      </c>
      <c r="D5134" s="2" t="str">
        <f t="shared" si="79"/>
        <v>Error?</v>
      </c>
    </row>
    <row r="5135" spans="1:4" x14ac:dyDescent="0.2">
      <c r="A5135" s="5">
        <v>5074</v>
      </c>
      <c r="B5135" s="138">
        <f>'Revenues 9-14'!C126</f>
        <v>49580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426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96362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5319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5319</v>
      </c>
      <c r="C5165" s="2" t="s">
        <v>594</v>
      </c>
      <c r="D5165" s="2" t="str">
        <f t="shared" si="79"/>
        <v>Error?</v>
      </c>
    </row>
    <row r="5166" spans="1:4" x14ac:dyDescent="0.2">
      <c r="A5166" s="10">
        <v>5105</v>
      </c>
      <c r="D5166" s="2" t="str">
        <f t="shared" si="79"/>
        <v>OK</v>
      </c>
    </row>
    <row r="5167" spans="1:4" x14ac:dyDescent="0.2">
      <c r="A5167" s="5">
        <v>5106</v>
      </c>
      <c r="B5167" s="138">
        <f>'Revenues 9-14'!C145</f>
        <v>247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103428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381571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3361</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3361</v>
      </c>
      <c r="C5246" s="2" t="s">
        <v>594</v>
      </c>
      <c r="D5246" s="2" t="str">
        <f t="shared" si="80"/>
        <v>Error?</v>
      </c>
    </row>
    <row r="5247" spans="1:4" x14ac:dyDescent="0.2">
      <c r="A5247" s="5">
        <v>5186</v>
      </c>
      <c r="B5247" s="138">
        <f>'Revenues 9-14'!C203</f>
        <v>53742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4404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53742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1939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76746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78685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198778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198778</v>
      </c>
      <c r="C5326" s="2" t="s">
        <v>594</v>
      </c>
      <c r="D5326" s="2" t="str">
        <f t="shared" si="82"/>
        <v>Error?</v>
      </c>
    </row>
    <row r="5327" spans="1:4" x14ac:dyDescent="0.2">
      <c r="A5327" s="5">
        <v>5266</v>
      </c>
      <c r="B5327" s="138">
        <f>'Revenues 9-14'!C275</f>
        <v>4751313</v>
      </c>
      <c r="C5327" s="2" t="s">
        <v>594</v>
      </c>
      <c r="D5327" s="2" t="str">
        <f t="shared" si="82"/>
        <v>Error?</v>
      </c>
    </row>
    <row r="5328" spans="1:4" x14ac:dyDescent="0.2">
      <c r="A5328" s="5">
        <v>5267</v>
      </c>
      <c r="B5328" s="138">
        <f>'Revenues 9-14'!D5</f>
        <v>552676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552676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6894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6894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9914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9914</v>
      </c>
      <c r="C5355" s="2" t="s">
        <v>594</v>
      </c>
      <c r="D5355" s="2" t="str">
        <f t="shared" si="82"/>
        <v>Error?</v>
      </c>
    </row>
    <row r="5356" spans="1:4" x14ac:dyDescent="0.2">
      <c r="A5356" s="5">
        <v>5295</v>
      </c>
      <c r="B5356" s="138">
        <f>'Revenues 9-14'!D109</f>
        <v>569484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569484</v>
      </c>
      <c r="C5508" s="2" t="s">
        <v>594</v>
      </c>
      <c r="D5508" s="2" t="str">
        <f t="shared" si="85"/>
        <v>Error?</v>
      </c>
    </row>
    <row r="5509" spans="1:4" x14ac:dyDescent="0.2">
      <c r="A5509" s="5">
        <v>5448</v>
      </c>
      <c r="B5509" s="138">
        <f>'Revenues 9-14'!E5</f>
        <v>1001806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1001806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8515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8515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1010321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1010321</v>
      </c>
      <c r="C5552" s="2" t="s">
        <v>594</v>
      </c>
      <c r="D5552" s="2" t="str">
        <f t="shared" si="85"/>
        <v>Error?</v>
      </c>
    </row>
    <row r="5553" spans="1:4" x14ac:dyDescent="0.2">
      <c r="A5553" s="5">
        <v>5492</v>
      </c>
      <c r="B5553" s="138">
        <f>'Revenues 9-14'!F5</f>
        <v>21160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21160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1055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22215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33798</v>
      </c>
      <c r="D5617" s="2" t="str">
        <f t="shared" si="86"/>
        <v>Error?</v>
      </c>
    </row>
    <row r="5618" spans="1:4" x14ac:dyDescent="0.2">
      <c r="A5618" s="5">
        <v>5557</v>
      </c>
      <c r="B5618" s="138">
        <f>'Revenues 9-14'!F154</f>
        <v>33798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33798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33798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56013</v>
      </c>
      <c r="C5720" s="2" t="s">
        <v>594</v>
      </c>
      <c r="D5720" s="2" t="str">
        <f t="shared" si="88"/>
        <v>Error?</v>
      </c>
    </row>
    <row r="5721" spans="1:4" x14ac:dyDescent="0.2">
      <c r="A5721" s="5">
        <v>5660</v>
      </c>
      <c r="B5721" s="138">
        <f>'Revenues 9-14'!G5</f>
        <v>120673</v>
      </c>
      <c r="D5721" s="2" t="str">
        <f t="shared" si="88"/>
        <v>Error?</v>
      </c>
    </row>
    <row r="5722" spans="1:4" x14ac:dyDescent="0.2">
      <c r="A5722" s="5">
        <v>5661</v>
      </c>
      <c r="B5722" s="138">
        <f>'Revenues 9-14'!G7</f>
        <v>0</v>
      </c>
      <c r="D5722" s="2" t="str">
        <f t="shared" si="88"/>
        <v>Error?</v>
      </c>
    </row>
    <row r="5723" spans="1:4" x14ac:dyDescent="0.2">
      <c r="A5723" s="5">
        <v>5662</v>
      </c>
      <c r="B5723" s="138">
        <f>'Revenues 9-14'!G8</f>
        <v>76085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196758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31091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31091</v>
      </c>
      <c r="C5730" s="2" t="s">
        <v>594</v>
      </c>
      <c r="D5730" s="2" t="str">
        <f t="shared" si="88"/>
        <v>Error?</v>
      </c>
    </row>
    <row r="5731" spans="1:4" x14ac:dyDescent="0.2">
      <c r="A5731" s="5">
        <v>5670</v>
      </c>
      <c r="B5731" s="138">
        <f>'Revenues 9-14'!G65</f>
        <v>3619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3619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231468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5717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5717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5717</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7236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7236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7236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231468</v>
      </c>
      <c r="C6024" s="2" t="s">
        <v>594</v>
      </c>
      <c r="D6024" s="2" t="str">
        <f t="shared" si="93"/>
        <v>Error?</v>
      </c>
    </row>
    <row r="6025" spans="1:5" x14ac:dyDescent="0.2">
      <c r="A6025" s="5">
        <v>5964</v>
      </c>
      <c r="B6025" s="138">
        <f>'Revenues 9-14'!H109</f>
        <v>5717</v>
      </c>
      <c r="C6025" s="2" t="s">
        <v>594</v>
      </c>
      <c r="D6025" s="2" t="str">
        <f t="shared" si="93"/>
        <v>Error?</v>
      </c>
    </row>
    <row r="6026" spans="1:5" x14ac:dyDescent="0.2">
      <c r="A6026" s="5">
        <v>5965</v>
      </c>
      <c r="B6026" s="138">
        <f>'Revenues 9-14'!I109</f>
        <v>7236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265.88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502452</v>
      </c>
      <c r="D6267" s="2" t="str">
        <f t="shared" si="96"/>
        <v>Error?</v>
      </c>
      <c r="E6267" s="2" t="s">
        <v>199</v>
      </c>
    </row>
    <row r="6268" spans="1:5" x14ac:dyDescent="0.2">
      <c r="A6268">
        <v>6207</v>
      </c>
      <c r="B6268" s="138">
        <f>'Acct Summary 7-8'!D82</f>
        <v>85846</v>
      </c>
      <c r="D6268" s="2" t="str">
        <f t="shared" si="96"/>
        <v>Error?</v>
      </c>
      <c r="E6268" s="2" t="s">
        <v>199</v>
      </c>
    </row>
    <row r="6269" spans="1:5" x14ac:dyDescent="0.2">
      <c r="A6269">
        <v>6208</v>
      </c>
      <c r="B6269" s="138">
        <f>'Acct Summary 7-8'!E82</f>
        <v>50361</v>
      </c>
      <c r="D6269" s="2" t="str">
        <f t="shared" si="96"/>
        <v>Error?</v>
      </c>
      <c r="E6269" s="2" t="s">
        <v>199</v>
      </c>
    </row>
    <row r="6270" spans="1:5" x14ac:dyDescent="0.2">
      <c r="A6270">
        <v>6209</v>
      </c>
      <c r="B6270" s="138">
        <f>'Acct Summary 7-8'!F82</f>
        <v>1804</v>
      </c>
      <c r="D6270" s="2" t="str">
        <f t="shared" si="96"/>
        <v>Error?</v>
      </c>
      <c r="E6270" s="2" t="s">
        <v>199</v>
      </c>
    </row>
    <row r="6271" spans="1:5" x14ac:dyDescent="0.2">
      <c r="A6271">
        <v>6210</v>
      </c>
      <c r="B6271" s="138">
        <f>'Acct Summary 7-8'!G82</f>
        <v>65260</v>
      </c>
      <c r="D6271" s="2" t="str">
        <f t="shared" ref="D6271:D6334" si="97">IF(ISBLANK(B6271),"OK",IF(A6271-B6271=0,"OK","Error?"))</f>
        <v>Error?</v>
      </c>
      <c r="E6271" s="2" t="s">
        <v>199</v>
      </c>
    </row>
    <row r="6272" spans="1:5" x14ac:dyDescent="0.2">
      <c r="A6272">
        <v>6211</v>
      </c>
      <c r="B6272" s="138">
        <f>'Acct Summary 7-8'!H82</f>
        <v>-59031</v>
      </c>
      <c r="D6272" s="2" t="str">
        <f t="shared" si="97"/>
        <v>Error?</v>
      </c>
      <c r="E6272" s="2" t="s">
        <v>199</v>
      </c>
    </row>
    <row r="6273" spans="1:5" x14ac:dyDescent="0.2">
      <c r="A6273">
        <v>6212</v>
      </c>
      <c r="B6273" s="138">
        <f>'Acct Summary 7-8'!I82</f>
        <v>7236</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0.16790398383155733</v>
      </c>
      <c r="D6276" s="2" t="str">
        <f t="shared" si="97"/>
        <v>Error?</v>
      </c>
      <c r="E6276" s="2" t="s">
        <v>199</v>
      </c>
    </row>
    <row r="6277" spans="1:5" x14ac:dyDescent="0.2">
      <c r="A6277">
        <v>6216</v>
      </c>
      <c r="B6277" s="138">
        <f>'Acct Summary 7-8'!D83</f>
        <v>0.18517296197791627</v>
      </c>
      <c r="D6277" s="2" t="str">
        <f t="shared" si="97"/>
        <v>Error?</v>
      </c>
      <c r="E6277" s="2" t="s">
        <v>199</v>
      </c>
    </row>
    <row r="6278" spans="1:5" x14ac:dyDescent="0.2">
      <c r="A6278">
        <v>6217</v>
      </c>
      <c r="B6278" s="138">
        <f>'Acct Summary 7-8'!E83</f>
        <v>7.5680866315319659E-2</v>
      </c>
      <c r="D6278" s="2" t="str">
        <f t="shared" si="97"/>
        <v>Error?</v>
      </c>
      <c r="E6278" s="2" t="s">
        <v>199</v>
      </c>
    </row>
    <row r="6279" spans="1:5" x14ac:dyDescent="0.2">
      <c r="A6279">
        <v>6218</v>
      </c>
      <c r="B6279" s="138">
        <f>'Acct Summary 7-8'!F83</f>
        <v>2.7465249760211925E-2</v>
      </c>
      <c r="D6279" s="2" t="str">
        <f t="shared" si="97"/>
        <v>Error?</v>
      </c>
      <c r="E6279" s="2" t="s">
        <v>199</v>
      </c>
    </row>
    <row r="6280" spans="1:5" x14ac:dyDescent="0.2">
      <c r="A6280">
        <v>6219</v>
      </c>
      <c r="B6280" s="138">
        <f>'Acct Summary 7-8'!G83</f>
        <v>0.25145552134828864</v>
      </c>
      <c r="D6280" s="2" t="str">
        <f t="shared" si="97"/>
        <v>Error?</v>
      </c>
      <c r="E6280" s="2" t="s">
        <v>199</v>
      </c>
    </row>
    <row r="6281" spans="1:5" x14ac:dyDescent="0.2">
      <c r="A6281">
        <v>6220</v>
      </c>
      <c r="B6281" s="138">
        <f>'Acct Summary 7-8'!H83</f>
        <v>-0.15602013981578147</v>
      </c>
      <c r="D6281" s="2" t="str">
        <f t="shared" si="97"/>
        <v>Error?</v>
      </c>
      <c r="E6281" s="2" t="s">
        <v>199</v>
      </c>
    </row>
    <row r="6282" spans="1:5" x14ac:dyDescent="0.2">
      <c r="A6282">
        <v>6221</v>
      </c>
      <c r="B6282" s="138">
        <f>'Acct Summary 7-8'!I83</f>
        <v>1.6181584390898417E-2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6765</v>
      </c>
      <c r="D6285" s="2" t="str">
        <f t="shared" si="97"/>
        <v>Error?</v>
      </c>
      <c r="E6285" s="2" t="s">
        <v>199</v>
      </c>
    </row>
    <row r="6286" spans="1:5" x14ac:dyDescent="0.2">
      <c r="A6286">
        <v>6225</v>
      </c>
      <c r="B6286" s="138">
        <f>'Acct Summary 7-8'!E38</f>
        <v>1110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148086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148086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157523</v>
      </c>
      <c r="D6983" s="2" t="str">
        <f t="shared" si="108"/>
        <v>Error?</v>
      </c>
    </row>
    <row r="6984" spans="1:4" x14ac:dyDescent="0.2">
      <c r="A6984">
        <v>6923</v>
      </c>
      <c r="B6984" s="138">
        <f>'Expenditures 15-22'!K86</f>
        <v>157523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157523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148086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2207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2207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2207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2207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150293</v>
      </c>
      <c r="D7624" s="2" t="str">
        <f t="shared" si="124"/>
        <v>Error?</v>
      </c>
      <c r="E7624" s="2" t="s">
        <v>19</v>
      </c>
    </row>
    <row r="7625" spans="1:5" x14ac:dyDescent="0.2">
      <c r="A7625">
        <f t="shared" si="123"/>
        <v>7564</v>
      </c>
      <c r="B7625" s="138">
        <f>'Cap Outlay Deprec 26'!I17</f>
        <v>15029.3</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449488.3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6765</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1110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314418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152333</v>
      </c>
      <c r="D7797" s="2" t="str">
        <f t="shared" si="127"/>
        <v>Error?</v>
      </c>
      <c r="E7797" s="4" t="s">
        <v>2019</v>
      </c>
    </row>
    <row r="7798" spans="1:5" x14ac:dyDescent="0.2">
      <c r="A7798">
        <v>7737</v>
      </c>
      <c r="B7798" s="138">
        <f>'Contracts Paid in CY 29'!F141</f>
        <v>108312</v>
      </c>
      <c r="D7798" s="2" t="str">
        <f t="shared" si="127"/>
        <v>Error?</v>
      </c>
      <c r="E7798" s="4" t="s">
        <v>2019</v>
      </c>
    </row>
    <row r="7799" spans="1:5" x14ac:dyDescent="0.2">
      <c r="A7799">
        <v>7738</v>
      </c>
      <c r="B7799" s="138">
        <f>'Contracts Paid in CY 29'!G141</f>
        <v>25842</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2" t="s">
        <v>1253</v>
      </c>
      <c r="B2" s="2402"/>
      <c r="C2" s="2402"/>
      <c r="D2" s="2402"/>
      <c r="E2" s="2402"/>
      <c r="F2" s="2402"/>
      <c r="G2" s="2402"/>
      <c r="H2" s="2402"/>
      <c r="I2" s="2402"/>
      <c r="J2" s="2402"/>
      <c r="K2" s="2402"/>
      <c r="L2" s="2402"/>
    </row>
    <row r="3" spans="1:29" ht="13.5" customHeight="1" x14ac:dyDescent="0.2">
      <c r="A3" s="2433" t="s">
        <v>1252</v>
      </c>
      <c r="B3" s="2433"/>
      <c r="C3" s="2433"/>
      <c r="D3" s="2433"/>
      <c r="E3" s="2433"/>
      <c r="F3" s="2433"/>
      <c r="G3" s="2433"/>
      <c r="H3" s="2433"/>
      <c r="I3" s="2433"/>
      <c r="J3" s="2433"/>
      <c r="K3" s="2433"/>
      <c r="L3" s="2433"/>
    </row>
    <row r="4" spans="1:29" ht="13.5" customHeight="1" x14ac:dyDescent="0.2">
      <c r="A4" s="2402" t="s">
        <v>1799</v>
      </c>
      <c r="B4" s="2423"/>
      <c r="C4" s="2423"/>
      <c r="D4" s="2423"/>
      <c r="E4" s="2423"/>
      <c r="F4" s="2423"/>
      <c r="G4" s="2423"/>
      <c r="H4" s="2423"/>
      <c r="I4" s="2423"/>
      <c r="J4" s="2423"/>
      <c r="K4" s="2423"/>
      <c r="L4" s="242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4" t="str">
        <f>COVER!A17</f>
        <v>Winfield SD 34</v>
      </c>
      <c r="B7" s="2425"/>
      <c r="C7" s="2425"/>
      <c r="D7" s="2426"/>
      <c r="E7" s="2427">
        <f>COVER!A13</f>
        <v>19022034002</v>
      </c>
      <c r="F7" s="2428"/>
      <c r="G7" s="2434" t="str">
        <f>COVER!T23</f>
        <v>060-003973</v>
      </c>
      <c r="H7" s="2435"/>
      <c r="I7" s="2435"/>
      <c r="J7" s="2435"/>
      <c r="K7" s="2435"/>
      <c r="L7" s="243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7"/>
      <c r="B9" s="2438"/>
      <c r="C9" s="2438"/>
      <c r="D9" s="2438"/>
      <c r="E9" s="2438"/>
      <c r="F9" s="2439"/>
      <c r="G9" s="2408" t="str">
        <f>COVER!T13</f>
        <v>EVANS, MARSHALL &amp; PEASE, P.C.</v>
      </c>
      <c r="H9" s="2440"/>
      <c r="I9" s="2440"/>
      <c r="J9" s="2440"/>
      <c r="K9" s="2440"/>
      <c r="L9" s="2441"/>
    </row>
    <row r="10" spans="1:29" ht="13.5" customHeight="1" x14ac:dyDescent="0.2">
      <c r="A10" s="2414" t="str">
        <f>COVER!A38</f>
        <v>DR. MATT RICH</v>
      </c>
      <c r="B10" s="2415"/>
      <c r="C10" s="2415"/>
      <c r="D10" s="2415"/>
      <c r="E10" s="2415"/>
      <c r="F10" s="2416"/>
      <c r="G10" s="2408" t="str">
        <f>COVER!T17</f>
        <v>1875 HICKS ROAD</v>
      </c>
      <c r="H10" s="2409"/>
      <c r="I10" s="2409"/>
      <c r="J10" s="2409"/>
      <c r="K10" s="2409"/>
      <c r="L10" s="2410"/>
    </row>
    <row r="11" spans="1:29" ht="13.5" customHeight="1" x14ac:dyDescent="0.2">
      <c r="A11" s="1185" t="s">
        <v>1599</v>
      </c>
      <c r="B11" s="1186"/>
      <c r="C11" s="1187"/>
      <c r="D11" s="1192"/>
      <c r="E11" s="1187"/>
      <c r="F11" s="1191"/>
      <c r="G11" s="2408" t="str">
        <f>COVER!T19</f>
        <v>ROLLING MEADOWS</v>
      </c>
      <c r="H11" s="2409"/>
      <c r="I11" s="2409"/>
      <c r="J11" s="2409"/>
      <c r="K11" s="2409"/>
      <c r="L11" s="2410"/>
    </row>
    <row r="12" spans="1:29" ht="13.5" customHeight="1" x14ac:dyDescent="0.2">
      <c r="A12" s="2417" t="s">
        <v>1598</v>
      </c>
      <c r="B12" s="2418"/>
      <c r="C12" s="2418"/>
      <c r="D12" s="2418"/>
      <c r="E12" s="2418"/>
      <c r="F12" s="2419"/>
      <c r="G12" s="2411"/>
      <c r="H12" s="2412"/>
      <c r="I12" s="2412"/>
      <c r="J12" s="2412"/>
      <c r="K12" s="2412"/>
      <c r="L12" s="2413"/>
    </row>
    <row r="13" spans="1:29" ht="13.5" customHeight="1" x14ac:dyDescent="0.2">
      <c r="A13" s="2408"/>
      <c r="B13" s="2409"/>
      <c r="C13" s="2409"/>
      <c r="D13" s="2409"/>
      <c r="E13" s="2409"/>
      <c r="F13" s="2410"/>
      <c r="G13" s="2403" t="s">
        <v>1600</v>
      </c>
      <c r="H13" s="2404"/>
      <c r="I13" s="2420" t="str">
        <f>COVER!T25</f>
        <v>JEFF@EMPCPA.COM</v>
      </c>
      <c r="J13" s="2421"/>
      <c r="K13" s="2421"/>
      <c r="L13" s="2422"/>
    </row>
    <row r="14" spans="1:29" ht="13.5" customHeight="1" x14ac:dyDescent="0.2">
      <c r="A14" s="2408" t="str">
        <f>COVER!A19</f>
        <v>0 S. 150 WINFIELD ROAD</v>
      </c>
      <c r="B14" s="2409"/>
      <c r="C14" s="2409"/>
      <c r="D14" s="2409"/>
      <c r="E14" s="2409"/>
      <c r="F14" s="2410"/>
      <c r="G14" s="1196" t="s">
        <v>1247</v>
      </c>
      <c r="H14" s="1194"/>
      <c r="I14" s="1194"/>
      <c r="J14" s="1194"/>
      <c r="K14" s="1194"/>
      <c r="L14" s="1195"/>
    </row>
    <row r="15" spans="1:29" ht="13.5" customHeight="1" x14ac:dyDescent="0.2">
      <c r="A15" s="2408" t="str">
        <f>COVER!A21</f>
        <v>WINFIELD</v>
      </c>
      <c r="B15" s="2409"/>
      <c r="C15" s="2409"/>
      <c r="D15" s="2409"/>
      <c r="E15" s="2409"/>
      <c r="F15" s="2410"/>
      <c r="G15" s="2405" t="str">
        <f>COVER!T15</f>
        <v>JEFFERY M. ROLLEFSON, CPA</v>
      </c>
      <c r="H15" s="2406"/>
      <c r="I15" s="2406"/>
      <c r="J15" s="2406"/>
      <c r="K15" s="2406"/>
      <c r="L15" s="2407"/>
    </row>
    <row r="16" spans="1:29" ht="12.2" customHeight="1" x14ac:dyDescent="0.2">
      <c r="A16" s="2430">
        <f>COVER!A25</f>
        <v>60190</v>
      </c>
      <c r="B16" s="2431"/>
      <c r="C16" s="2431"/>
      <c r="D16" s="2431"/>
      <c r="E16" s="2431"/>
      <c r="F16" s="2432"/>
      <c r="G16" s="2442"/>
      <c r="H16" s="2443"/>
      <c r="I16" s="2443"/>
      <c r="J16" s="2443"/>
      <c r="K16" s="2443"/>
      <c r="L16" s="2444"/>
    </row>
    <row r="17" spans="1:13" ht="12.2" customHeight="1" x14ac:dyDescent="0.2">
      <c r="A17" s="2445"/>
      <c r="B17" s="2431"/>
      <c r="C17" s="2431"/>
      <c r="D17" s="2431"/>
      <c r="E17" s="2431"/>
      <c r="F17" s="2432"/>
      <c r="G17" s="1196" t="s">
        <v>1246</v>
      </c>
      <c r="H17" s="1194"/>
      <c r="I17" s="1194"/>
      <c r="J17" s="1194"/>
      <c r="K17" s="1198" t="s">
        <v>1245</v>
      </c>
      <c r="L17" s="1191"/>
      <c r="M17" s="1184"/>
    </row>
    <row r="18" spans="1:13" ht="12.2" customHeight="1" x14ac:dyDescent="0.2">
      <c r="A18" s="2414"/>
      <c r="B18" s="2415"/>
      <c r="C18" s="2415"/>
      <c r="D18" s="2415"/>
      <c r="E18" s="2415"/>
      <c r="F18" s="2416"/>
      <c r="G18" s="2424" t="str">
        <f>COVER!T21</f>
        <v>847-221-5700</v>
      </c>
      <c r="H18" s="2425"/>
      <c r="I18" s="2425"/>
      <c r="J18" s="2425"/>
      <c r="K18" s="2424" t="str">
        <f>COVER!X21</f>
        <v>847-221-5701</v>
      </c>
      <c r="L18" s="242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Winfield SD 34</v>
      </c>
      <c r="B1" s="2423"/>
      <c r="C1" s="2423"/>
      <c r="D1" s="2423"/>
    </row>
    <row r="2" spans="1:11" s="1215" customFormat="1" ht="12.75" x14ac:dyDescent="0.2">
      <c r="A2" s="2447">
        <f>'Single Audit Cover'!E7</f>
        <v>19022034002</v>
      </c>
      <c r="B2" s="2448"/>
      <c r="C2" s="2448"/>
      <c r="D2" s="2448"/>
    </row>
    <row r="3" spans="1:11" s="1215" customFormat="1" ht="12.75" x14ac:dyDescent="0.2">
      <c r="A3" s="2446" t="s">
        <v>1593</v>
      </c>
      <c r="B3" s="2423"/>
      <c r="C3" s="2423"/>
      <c r="D3" s="242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Winfield SD 34</v>
      </c>
      <c r="B1" s="2450"/>
      <c r="C1" s="2450"/>
      <c r="D1" s="2450"/>
      <c r="E1" s="2450"/>
    </row>
    <row r="2" spans="1:5" x14ac:dyDescent="0.2">
      <c r="A2" s="2451">
        <f>'Single Audit Cover'!E7</f>
        <v>19022034002</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60" t="s">
        <v>1305</v>
      </c>
    </row>
    <row r="10" spans="1:5" x14ac:dyDescent="0.2">
      <c r="A10" s="1261" t="s">
        <v>1304</v>
      </c>
      <c r="B10" s="1262" t="s">
        <v>1303</v>
      </c>
      <c r="C10" s="1262"/>
      <c r="D10" s="1263">
        <f>SUM('Acct Summary 7-8'!C7:K7)</f>
        <v>198778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-35123</v>
      </c>
    </row>
    <row r="19" spans="1:4" ht="13.5" thickBot="1" x14ac:dyDescent="0.25">
      <c r="A19" s="1265" t="s">
        <v>1297</v>
      </c>
      <c r="D19" s="1266">
        <f>SUM(D10:D17)</f>
        <v>163655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2"/>
      <c r="B24" s="2452"/>
      <c r="D24" s="1268"/>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1295</v>
      </c>
      <c r="D32" s="1263">
        <f>SUM(D19:D30)</f>
        <v>163655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9"/>
      <c r="B40" s="2449"/>
      <c r="D40" s="1268"/>
    </row>
    <row r="41" spans="1:4" x14ac:dyDescent="0.2">
      <c r="A41" s="2449"/>
      <c r="B41" s="2449"/>
      <c r="D41" s="1271"/>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1289</v>
      </c>
      <c r="C47" s="1272"/>
      <c r="D47" s="1273">
        <f>SUM(D35:D45)</f>
        <v>0</v>
      </c>
    </row>
    <row r="49" spans="2:4" x14ac:dyDescent="0.2">
      <c r="B49" s="1272" t="s">
        <v>1288</v>
      </c>
      <c r="C49" s="1272"/>
      <c r="D49" s="1273">
        <f>D32-D47</f>
        <v>163655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Winfield SD 34</v>
      </c>
      <c r="B1" s="2463"/>
      <c r="C1" s="2463"/>
      <c r="D1" s="2463"/>
      <c r="E1" s="2463"/>
      <c r="F1" s="2463"/>
    </row>
    <row r="2" spans="1:7" ht="13.5" customHeight="1" x14ac:dyDescent="0.2">
      <c r="A2" s="2464">
        <f>'Single Audit Cover'!E7</f>
        <v>19022034002</v>
      </c>
      <c r="B2" s="2464"/>
      <c r="C2" s="2464"/>
      <c r="D2" s="2464"/>
      <c r="E2" s="2464"/>
      <c r="F2" s="2464"/>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2" t="s">
        <v>1832</v>
      </c>
      <c r="B7" s="2462"/>
      <c r="C7" s="2462"/>
      <c r="D7" s="2462"/>
      <c r="E7" s="2462"/>
      <c r="F7" s="246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2" t="s">
        <v>1834</v>
      </c>
      <c r="B13" s="2462"/>
      <c r="C13" s="2462"/>
      <c r="D13" s="2462"/>
      <c r="E13" s="2462"/>
      <c r="F13" s="2462"/>
    </row>
    <row r="14" spans="1:7" ht="9.75" customHeight="1" x14ac:dyDescent="0.2">
      <c r="C14" s="1260"/>
      <c r="D14" s="1260"/>
    </row>
    <row r="15" spans="1:7" ht="13.5" customHeight="1" x14ac:dyDescent="0.2">
      <c r="C15" s="1871" t="s">
        <v>1332</v>
      </c>
      <c r="D15" s="2460" t="s">
        <v>1331</v>
      </c>
      <c r="E15" s="2460"/>
      <c r="F15" s="2460"/>
    </row>
    <row r="16" spans="1:7" ht="13.5" customHeight="1" x14ac:dyDescent="0.2">
      <c r="A16" s="1282"/>
      <c r="B16" s="1276" t="s">
        <v>1330</v>
      </c>
      <c r="C16" s="1871" t="s">
        <v>1329</v>
      </c>
      <c r="D16" s="2461" t="s">
        <v>1670</v>
      </c>
      <c r="E16" s="2461"/>
      <c r="F16" s="2461"/>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6" t="s">
        <v>1835</v>
      </c>
      <c r="B32" s="2456"/>
      <c r="C32" s="2456"/>
      <c r="D32" s="2456"/>
      <c r="E32" s="2456"/>
      <c r="F32" s="2456"/>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7">
        <f>+C33+C34</f>
        <v>0</v>
      </c>
      <c r="F34" s="2458"/>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9" t="s">
        <v>1672</v>
      </c>
      <c r="C49" s="2459"/>
      <c r="D49" s="2459"/>
      <c r="E49" s="1399"/>
    </row>
    <row r="50" spans="1:5" s="1300" customFormat="1" ht="3.75" customHeight="1" x14ac:dyDescent="0.2">
      <c r="A50" s="1299"/>
      <c r="B50" s="1870"/>
      <c r="C50" s="1870"/>
      <c r="D50" s="1870"/>
      <c r="E50" s="1399"/>
    </row>
    <row r="51" spans="1:5" s="1300" customFormat="1" ht="20.25" customHeight="1" x14ac:dyDescent="0.2">
      <c r="A51" s="1301">
        <v>6</v>
      </c>
      <c r="B51" s="2454" t="s">
        <v>1632</v>
      </c>
      <c r="C51" s="2454"/>
      <c r="D51" s="2454"/>
    </row>
    <row r="52" spans="1:5" ht="14.25" customHeight="1" x14ac:dyDescent="0.2">
      <c r="A52" s="1301"/>
      <c r="B52" s="2454"/>
      <c r="C52" s="2454"/>
      <c r="D52" s="245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Winfield SD 34</v>
      </c>
      <c r="C1" s="2467"/>
      <c r="D1" s="2467"/>
      <c r="E1" s="2467"/>
      <c r="F1" s="2467"/>
      <c r="G1" s="2467"/>
      <c r="H1" s="2467"/>
      <c r="I1" s="2467"/>
      <c r="J1" s="2467"/>
      <c r="K1" s="2467"/>
      <c r="L1" s="2467"/>
      <c r="M1" s="2467"/>
    </row>
    <row r="2" spans="2:14" ht="15" x14ac:dyDescent="0.2">
      <c r="B2" s="2464">
        <f>'Single Audit Cover'!E7</f>
        <v>19022034002</v>
      </c>
      <c r="C2" s="2464"/>
      <c r="D2" s="2464"/>
      <c r="E2" s="2464"/>
      <c r="F2" s="2464"/>
      <c r="G2" s="2464"/>
      <c r="H2" s="2464"/>
      <c r="I2" s="2464"/>
      <c r="J2" s="2464"/>
      <c r="K2" s="2464"/>
      <c r="L2" s="2464"/>
      <c r="M2" s="2464"/>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1731</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2082</v>
      </c>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Winfield SD 34</v>
      </c>
      <c r="C1" s="2482"/>
      <c r="D1" s="2482"/>
      <c r="E1" s="2482"/>
      <c r="F1" s="2482"/>
      <c r="G1" s="2482"/>
      <c r="H1" s="2482"/>
      <c r="I1" s="2482"/>
      <c r="J1" s="1422"/>
    </row>
    <row r="2" spans="2:10" s="317" customFormat="1" ht="12.75" customHeight="1" x14ac:dyDescent="0.2">
      <c r="B2" s="2483">
        <f>'Single Audit Cover'!E7</f>
        <v>19022034002</v>
      </c>
      <c r="C2" s="2484"/>
      <c r="D2" s="2484"/>
      <c r="E2" s="2484"/>
      <c r="F2" s="2484"/>
      <c r="G2" s="2484"/>
      <c r="H2" s="2484"/>
      <c r="I2" s="2484"/>
      <c r="J2" s="1422"/>
    </row>
    <row r="3" spans="2:10" s="317" customFormat="1" ht="12.75" customHeight="1" x14ac:dyDescent="0.2">
      <c r="B3" s="2485" t="s">
        <v>1347</v>
      </c>
      <c r="C3" s="2486"/>
      <c r="D3" s="2486"/>
      <c r="E3" s="2486"/>
      <c r="F3" s="2486"/>
      <c r="G3" s="2486"/>
      <c r="H3" s="2486"/>
      <c r="I3" s="2486"/>
      <c r="J3" s="1423"/>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5" t="s">
        <v>1346</v>
      </c>
      <c r="C7" s="2486"/>
      <c r="D7" s="2486"/>
      <c r="E7" s="2486"/>
      <c r="F7" s="2486"/>
      <c r="G7" s="2486"/>
      <c r="H7" s="2486"/>
      <c r="I7" s="248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7"/>
      <c r="D11" s="248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8"/>
      <c r="E29" s="2488"/>
      <c r="F29" s="2488"/>
      <c r="G29" s="2488"/>
      <c r="H29" s="2488"/>
      <c r="I29" s="248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9" t="s">
        <v>1854</v>
      </c>
      <c r="D37" s="2490"/>
      <c r="E37" s="2490"/>
      <c r="F37" s="2491"/>
      <c r="G37" s="2489" t="s">
        <v>1674</v>
      </c>
      <c r="H37" s="2490"/>
      <c r="I37" s="2491"/>
    </row>
    <row r="38" spans="2:9" ht="16.5" customHeight="1" x14ac:dyDescent="0.2">
      <c r="B38" s="1444"/>
      <c r="C38" s="2477"/>
      <c r="D38" s="2478"/>
      <c r="E38" s="2478"/>
      <c r="F38" s="2479"/>
      <c r="G38" s="2492"/>
      <c r="H38" s="2493"/>
      <c r="I38" s="2494"/>
    </row>
    <row r="39" spans="2:9" ht="16.5" customHeight="1" x14ac:dyDescent="0.2">
      <c r="B39" s="1444"/>
      <c r="C39" s="2477"/>
      <c r="D39" s="2478"/>
      <c r="E39" s="2478"/>
      <c r="F39" s="2479"/>
      <c r="G39" s="2480"/>
      <c r="H39" s="2480"/>
      <c r="I39" s="2480"/>
    </row>
    <row r="40" spans="2:9" ht="16.5" customHeight="1" x14ac:dyDescent="0.2">
      <c r="B40" s="1444"/>
      <c r="C40" s="2477"/>
      <c r="D40" s="2478"/>
      <c r="E40" s="2478"/>
      <c r="F40" s="2479"/>
      <c r="G40" s="2480"/>
      <c r="H40" s="2480"/>
      <c r="I40" s="2480"/>
    </row>
    <row r="41" spans="2:9" ht="16.5" customHeight="1" x14ac:dyDescent="0.2">
      <c r="B41" s="1444"/>
      <c r="C41" s="2477"/>
      <c r="D41" s="2478"/>
      <c r="E41" s="2478"/>
      <c r="F41" s="2479"/>
      <c r="G41" s="2480"/>
      <c r="H41" s="2480"/>
      <c r="I41" s="2480"/>
    </row>
    <row r="42" spans="2:9" ht="16.5" customHeight="1" x14ac:dyDescent="0.2">
      <c r="B42" s="1444"/>
      <c r="C42" s="2477"/>
      <c r="D42" s="2478"/>
      <c r="E42" s="2478"/>
      <c r="F42" s="2479"/>
      <c r="G42" s="2480"/>
      <c r="H42" s="2480"/>
      <c r="I42" s="2480"/>
    </row>
    <row r="43" spans="2:9" ht="16.5" customHeight="1" x14ac:dyDescent="0.2">
      <c r="B43" s="1444"/>
      <c r="C43" s="2470" t="s">
        <v>1675</v>
      </c>
      <c r="D43" s="2471"/>
      <c r="E43" s="2471"/>
      <c r="F43" s="2472"/>
      <c r="G43" s="2473">
        <f>SUM(G38:I42)</f>
        <v>0</v>
      </c>
      <c r="H43" s="2473"/>
      <c r="I43" s="2473"/>
    </row>
    <row r="44" spans="2:9" ht="12.75" customHeight="1" x14ac:dyDescent="0.2"/>
    <row r="45" spans="2:9" ht="12.75" customHeight="1" x14ac:dyDescent="0.2">
      <c r="B45" s="1435" t="s">
        <v>1951</v>
      </c>
      <c r="D45" s="2474">
        <v>0</v>
      </c>
      <c r="E45" s="2475"/>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6"/>
      <c r="F49" s="2476"/>
      <c r="G49" s="2476"/>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Winfield SD 34</v>
      </c>
      <c r="C1" s="2481"/>
      <c r="D1" s="2481"/>
      <c r="E1" s="2481"/>
      <c r="F1" s="2481"/>
      <c r="G1" s="2481"/>
      <c r="H1" s="2481"/>
      <c r="I1" s="2481"/>
      <c r="J1" s="2481"/>
      <c r="K1" s="2481"/>
      <c r="L1" s="1374"/>
      <c r="M1" s="1374"/>
    </row>
    <row r="2" spans="1:13" ht="12" customHeight="1" x14ac:dyDescent="0.2">
      <c r="B2" s="2483">
        <f>'Single Audit Cover'!E7</f>
        <v>19022034002</v>
      </c>
      <c r="C2" s="2483"/>
      <c r="D2" s="2483"/>
      <c r="E2" s="2483"/>
      <c r="F2" s="2483"/>
      <c r="G2" s="2483"/>
      <c r="H2" s="2483"/>
      <c r="I2" s="2483"/>
      <c r="J2" s="2483"/>
      <c r="K2" s="2483"/>
      <c r="L2" s="1375"/>
      <c r="M2" s="1376"/>
    </row>
    <row r="3" spans="1:13" ht="10.35" customHeight="1" x14ac:dyDescent="0.2">
      <c r="B3" s="2497" t="s">
        <v>1347</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0"/>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6"/>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5"/>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5"/>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Winfield SD 34</v>
      </c>
      <c r="C1" s="2504"/>
      <c r="D1" s="2504"/>
      <c r="E1" s="2504"/>
      <c r="F1" s="2504"/>
      <c r="G1" s="2504"/>
      <c r="H1" s="2504"/>
      <c r="I1" s="2504"/>
      <c r="J1" s="2504"/>
      <c r="K1" s="2504"/>
      <c r="L1" s="1465"/>
    </row>
    <row r="2" spans="1:12" ht="12.75" customHeight="1" x14ac:dyDescent="0.2">
      <c r="B2" s="2505">
        <f>'Single Audit Cover'!E7</f>
        <v>19022034002</v>
      </c>
      <c r="C2" s="2505"/>
      <c r="D2" s="2505"/>
      <c r="E2" s="2505"/>
      <c r="F2" s="2505"/>
      <c r="G2" s="2505"/>
      <c r="H2" s="2505"/>
      <c r="I2" s="2505"/>
      <c r="J2" s="2505"/>
      <c r="K2" s="2505"/>
      <c r="L2" s="1466"/>
    </row>
    <row r="3" spans="1:12" ht="12.75" customHeight="1" x14ac:dyDescent="0.2">
      <c r="B3" s="2497" t="s">
        <v>1347</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8"/>
      <c r="G12" s="2488"/>
      <c r="H12" s="2488"/>
      <c r="I12" s="2488"/>
      <c r="J12" s="2488"/>
      <c r="K12" s="248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6"/>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1" t="str">
        <f>'Single Audit Cover'!A7</f>
        <v>Winfield SD 34</v>
      </c>
      <c r="C1" s="2481"/>
      <c r="D1" s="2481"/>
      <c r="E1" s="1491"/>
    </row>
    <row r="2" spans="2:5" s="1282" customFormat="1" ht="12.75" customHeight="1" x14ac:dyDescent="0.2">
      <c r="B2" s="2483">
        <f>'Single Audit Cover'!E7</f>
        <v>19022034002</v>
      </c>
      <c r="C2" s="2483"/>
      <c r="D2" s="2483"/>
      <c r="E2" s="1492"/>
    </row>
    <row r="3" spans="2:5" ht="12.75" customHeight="1" x14ac:dyDescent="0.2">
      <c r="B3" s="2497" t="s">
        <v>1869</v>
      </c>
      <c r="C3" s="2497"/>
      <c r="D3" s="2497"/>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1"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144309744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2.1676999999999998E-2</v>
      </c>
      <c r="E10" s="356" t="s">
        <v>1062</v>
      </c>
      <c r="F10" s="355">
        <v>4.2960000000000003E-3</v>
      </c>
      <c r="G10" s="356" t="s">
        <v>1062</v>
      </c>
      <c r="H10" s="355">
        <v>1.46E-4</v>
      </c>
      <c r="I10" s="356" t="s">
        <v>1063</v>
      </c>
      <c r="J10" s="1754">
        <f>ROUND(D10+F10+H10,5)</f>
        <v>2.6120000000000001E-2</v>
      </c>
      <c r="K10" s="222"/>
      <c r="L10" s="355">
        <v>0</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5384046</v>
      </c>
      <c r="E16" s="356"/>
      <c r="F16" s="1755">
        <f>SUM('Acct Summary 7-8'!C17,'Acct Summary 7-8'!D17,'Acct Summary 7-8'!F17)</f>
        <v>4778833</v>
      </c>
      <c r="G16" s="356"/>
      <c r="H16" s="1755">
        <f>SUM(D16-F16)</f>
        <v>605213</v>
      </c>
      <c r="I16" s="222"/>
      <c r="J16" s="1755">
        <f>SUM('Acct Summary 7-8'!C81,'Acct Summary 7-8'!D81,'Acct Summary 7-8'!F81,'Acct Summary 7-8'!I81)</f>
        <v>3968953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9957372.3360000011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2687181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6" sqref="H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Winfield SD 34</v>
      </c>
      <c r="E7" s="391"/>
      <c r="G7" s="252"/>
      <c r="H7" s="387"/>
      <c r="I7" s="387"/>
      <c r="J7" s="387"/>
      <c r="K7" s="387"/>
      <c r="L7" s="329"/>
      <c r="M7" s="329"/>
      <c r="N7" s="329"/>
      <c r="O7" s="329"/>
      <c r="P7" s="329"/>
    </row>
    <row r="8" spans="1:18" ht="12.75" x14ac:dyDescent="0.2">
      <c r="A8" s="329"/>
      <c r="B8" s="329"/>
      <c r="C8" s="389" t="s">
        <v>1187</v>
      </c>
      <c r="D8" s="392">
        <f>COVER!A13</f>
        <v>19022034002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3968953</v>
      </c>
      <c r="I12" s="404"/>
      <c r="J12" s="404"/>
      <c r="K12" s="405">
        <f>TRUNC((H12/H13*100000),5)/100000</f>
        <v>0.73824902510000001</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5376171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-7875</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4778833</v>
      </c>
      <c r="I17" s="404"/>
      <c r="J17" s="416"/>
      <c r="K17" s="405">
        <f>TRUNC((H17/H18*100000),5)/100000</f>
        <v>0.88889155490000005</v>
      </c>
      <c r="L17" s="406"/>
      <c r="M17" s="417" t="s">
        <v>1233</v>
      </c>
      <c r="O17" s="418" t="str">
        <f>IF(AND(O16="2", J20 &gt; 2),"1",IF(AND(O16 = "1", J20 &gt; 2),"2",IF(AND(O16="1", J20 &gt;1),"1","0")))</f>
        <v>0</v>
      </c>
      <c r="P17" s="218"/>
    </row>
    <row r="18" spans="1:18" s="408" customFormat="1" ht="11.25" x14ac:dyDescent="0.2">
      <c r="A18" s="218"/>
      <c r="B18" s="401"/>
      <c r="C18" s="2122" t="s">
        <v>1384</v>
      </c>
      <c r="D18" s="2123"/>
      <c r="E18" s="218"/>
      <c r="F18" s="419" t="s">
        <v>827</v>
      </c>
      <c r="G18" s="402"/>
      <c r="H18" s="403">
        <f>SUM('Acct Summary 7-8'!C8+'Acct Summary 7-8'!D8+'Acct Summary 7-8'!F8+'Acct Summary 7-8'!I8)+H19</f>
        <v>5376171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-7875</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3968953</v>
      </c>
      <c r="I24" s="422"/>
      <c r="J24" s="422"/>
      <c r="K24" s="423">
        <f>TRUNC(((H24/H25*100000)/100000),2)</f>
        <v>298.98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13274.536109999999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3203964.9362900001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2687181</v>
      </c>
      <c r="I32" s="420"/>
      <c r="J32" s="420"/>
      <c r="K32" s="423">
        <f>TRUNC(100-((((H32/H33*100))*100)/100),2)</f>
        <v>73.010000000000005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9957372.3360000011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H16" sqref="H16"/>
      <selection pane="bottomLeft" activeCell="H16" sqref="H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81"/>
      <c r="D3" s="1582"/>
      <c r="E3" s="1582"/>
      <c r="F3" s="1582"/>
      <c r="G3" s="1582"/>
      <c r="H3" s="1582"/>
      <c r="I3" s="1582"/>
      <c r="J3" s="1582"/>
      <c r="K3" s="1582"/>
      <c r="L3" s="1582"/>
      <c r="M3" s="1583"/>
      <c r="N3" s="1584"/>
    </row>
    <row r="4" spans="1:14" ht="13.5" customHeight="1" x14ac:dyDescent="0.2">
      <c r="A4" s="463" t="s">
        <v>1750</v>
      </c>
      <c r="B4" s="464"/>
      <c r="C4" s="465">
        <v>2992496</v>
      </c>
      <c r="D4" s="466">
        <v>463599</v>
      </c>
      <c r="E4" s="466">
        <v>665439</v>
      </c>
      <c r="F4" s="466">
        <v>65683</v>
      </c>
      <c r="G4" s="466">
        <v>259529</v>
      </c>
      <c r="H4" s="466">
        <v>378355</v>
      </c>
      <c r="I4" s="466">
        <v>447175</v>
      </c>
      <c r="J4" s="467"/>
      <c r="K4" s="466"/>
      <c r="L4" s="466">
        <v>17412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2992496</v>
      </c>
      <c r="D13" s="1759">
        <f t="shared" ref="D13:L13" si="0">SUM(D4:D12)</f>
        <v>463599</v>
      </c>
      <c r="E13" s="1759">
        <f t="shared" si="0"/>
        <v>665439</v>
      </c>
      <c r="F13" s="1759">
        <f t="shared" si="0"/>
        <v>65683</v>
      </c>
      <c r="G13" s="1759">
        <f t="shared" si="0"/>
        <v>259529</v>
      </c>
      <c r="H13" s="1759">
        <f t="shared" si="0"/>
        <v>378355</v>
      </c>
      <c r="I13" s="1759">
        <f t="shared" si="0"/>
        <v>447175</v>
      </c>
      <c r="J13" s="1759">
        <f t="shared" si="0"/>
        <v>0</v>
      </c>
      <c r="K13" s="1759">
        <f t="shared" si="0"/>
        <v>0</v>
      </c>
      <c r="L13" s="1759">
        <f t="shared" si="0"/>
        <v>17412</v>
      </c>
      <c r="M13" s="468"/>
      <c r="N13" s="469"/>
    </row>
    <row r="14" spans="1:14" ht="18" customHeight="1" thickTop="1" x14ac:dyDescent="0.2">
      <c r="A14" s="2131" t="s">
        <v>149</v>
      </c>
      <c r="B14" s="2132"/>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591553</v>
      </c>
      <c r="N16" s="484"/>
    </row>
    <row r="17" spans="1:14" s="485" customFormat="1" ht="12.75" customHeight="1" x14ac:dyDescent="0.2">
      <c r="A17" s="482" t="s">
        <v>1470</v>
      </c>
      <c r="B17" s="483">
        <v>230</v>
      </c>
      <c r="C17" s="477"/>
      <c r="D17" s="477"/>
      <c r="E17" s="477"/>
      <c r="F17" s="477"/>
      <c r="G17" s="477"/>
      <c r="H17" s="477"/>
      <c r="I17" s="477"/>
      <c r="J17" s="477"/>
      <c r="K17" s="477"/>
      <c r="L17" s="477"/>
      <c r="M17" s="467">
        <v>16096184</v>
      </c>
      <c r="N17" s="484"/>
    </row>
    <row r="18" spans="1:14" s="485" customFormat="1" ht="12.75" customHeight="1" x14ac:dyDescent="0.2">
      <c r="A18" s="482" t="s">
        <v>1471</v>
      </c>
      <c r="B18" s="483">
        <v>240</v>
      </c>
      <c r="C18" s="477"/>
      <c r="D18" s="477"/>
      <c r="E18" s="477"/>
      <c r="F18" s="477"/>
      <c r="G18" s="477"/>
      <c r="H18" s="477"/>
      <c r="I18" s="477"/>
      <c r="J18" s="477"/>
      <c r="K18" s="477"/>
      <c r="L18" s="477"/>
      <c r="M18" s="467">
        <v>653918</v>
      </c>
      <c r="N18" s="484"/>
    </row>
    <row r="19" spans="1:14" s="485" customFormat="1" ht="12.75" customHeight="1" x14ac:dyDescent="0.2">
      <c r="A19" s="482" t="s">
        <v>1472</v>
      </c>
      <c r="B19" s="483">
        <v>250</v>
      </c>
      <c r="C19" s="477"/>
      <c r="D19" s="477"/>
      <c r="E19" s="477"/>
      <c r="F19" s="477"/>
      <c r="G19" s="477"/>
      <c r="H19" s="477"/>
      <c r="I19" s="477"/>
      <c r="J19" s="477"/>
      <c r="K19" s="477"/>
      <c r="L19" s="477"/>
      <c r="M19" s="467">
        <v>702501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665439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2021742</v>
      </c>
    </row>
    <row r="23" spans="1:14" ht="13.5" customHeight="1" thickBot="1" x14ac:dyDescent="0.25">
      <c r="A23" s="1758" t="s">
        <v>664</v>
      </c>
      <c r="B23" s="1763"/>
      <c r="C23" s="468"/>
      <c r="D23" s="468"/>
      <c r="E23" s="468"/>
      <c r="F23" s="468"/>
      <c r="G23" s="468"/>
      <c r="H23" s="468"/>
      <c r="I23" s="468"/>
      <c r="J23" s="468"/>
      <c r="K23" s="468"/>
      <c r="L23" s="468"/>
      <c r="M23" s="1710">
        <f>SUM(M15:M22)</f>
        <v>18044156</v>
      </c>
      <c r="N23" s="1710">
        <f>SUM(N21:N22)</f>
        <v>2687181</v>
      </c>
    </row>
    <row r="24" spans="1:14" ht="18" customHeight="1" thickTop="1" x14ac:dyDescent="0.2">
      <c r="A24" s="2133" t="s">
        <v>619</v>
      </c>
      <c r="B24" s="2134"/>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17412</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17412</v>
      </c>
      <c r="M34" s="468"/>
      <c r="N34" s="480"/>
    </row>
    <row r="35" spans="1:14" ht="18" customHeight="1" thickTop="1" x14ac:dyDescent="0.2">
      <c r="A35" s="2135" t="s">
        <v>550</v>
      </c>
      <c r="B35" s="213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2687181</v>
      </c>
    </row>
    <row r="37" spans="1:14" ht="13.5" thickBot="1" x14ac:dyDescent="0.25">
      <c r="A37" s="1758" t="s">
        <v>674</v>
      </c>
      <c r="B37" s="1763"/>
      <c r="C37" s="477"/>
      <c r="D37" s="477"/>
      <c r="E37" s="477"/>
      <c r="F37" s="477"/>
      <c r="G37" s="477"/>
      <c r="H37" s="477"/>
      <c r="I37" s="477"/>
      <c r="J37" s="477"/>
      <c r="K37" s="477"/>
      <c r="L37" s="480"/>
      <c r="M37" s="468"/>
      <c r="N37" s="1710">
        <f>SUM(N36:N36)</f>
        <v>2687181</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2992496</v>
      </c>
      <c r="D39" s="466">
        <v>463599</v>
      </c>
      <c r="E39" s="466">
        <v>665439</v>
      </c>
      <c r="F39" s="466">
        <v>65683</v>
      </c>
      <c r="G39" s="466">
        <v>259529</v>
      </c>
      <c r="H39" s="466">
        <v>378355</v>
      </c>
      <c r="I39" s="466">
        <v>447175</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18044156</v>
      </c>
      <c r="N40" s="497"/>
    </row>
    <row r="41" spans="1:14" ht="13.5" customHeight="1" thickBot="1" x14ac:dyDescent="0.25">
      <c r="A41" s="1758" t="s">
        <v>676</v>
      </c>
      <c r="B41" s="1728"/>
      <c r="C41" s="1710">
        <f>(SUM(C34,C37,C38,C39))</f>
        <v>2992496</v>
      </c>
      <c r="D41" s="1710">
        <f t="shared" ref="D41:L41" si="2">SUM(D34,D37,D38:D39)</f>
        <v>463599</v>
      </c>
      <c r="E41" s="1710">
        <f t="shared" si="2"/>
        <v>665439</v>
      </c>
      <c r="F41" s="1710">
        <f t="shared" si="2"/>
        <v>65683</v>
      </c>
      <c r="G41" s="1710">
        <f t="shared" si="2"/>
        <v>259529</v>
      </c>
      <c r="H41" s="1710">
        <f t="shared" si="2"/>
        <v>378355</v>
      </c>
      <c r="I41" s="1710">
        <f t="shared" si="2"/>
        <v>447175</v>
      </c>
      <c r="J41" s="1710">
        <f t="shared" si="2"/>
        <v>0</v>
      </c>
      <c r="K41" s="1710">
        <f t="shared" si="2"/>
        <v>0</v>
      </c>
      <c r="L41" s="1710">
        <f t="shared" si="2"/>
        <v>17412</v>
      </c>
      <c r="M41" s="1710">
        <f>SUM(M40)</f>
        <v>18044156</v>
      </c>
      <c r="N41" s="1710">
        <f>SUM(N37)</f>
        <v>2687181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H16" sqref="H16"/>
      <selection pane="bottomLeft" activeCell="H16" sqref="H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5"/>
      <c r="D3" s="1596"/>
      <c r="E3" s="1596"/>
      <c r="F3" s="1596"/>
      <c r="G3" s="1596"/>
      <c r="H3" s="1596"/>
      <c r="I3" s="1596"/>
      <c r="J3" s="1596"/>
      <c r="K3" s="1597"/>
      <c r="L3" s="506"/>
    </row>
    <row r="4" spans="1:13" ht="15.75" customHeight="1" x14ac:dyDescent="0.2">
      <c r="A4" s="1954" t="s">
        <v>1579</v>
      </c>
      <c r="B4" s="1955">
        <v>1000</v>
      </c>
      <c r="C4" s="1764">
        <f>'Revenues 9-14'!C109</f>
        <v>4170964</v>
      </c>
      <c r="D4" s="1764">
        <f>'Revenues 9-14'!D109</f>
        <v>569484</v>
      </c>
      <c r="E4" s="1764">
        <f>'Revenues 9-14'!E109</f>
        <v>1010321</v>
      </c>
      <c r="F4" s="1764">
        <f>'Revenues 9-14'!F109</f>
        <v>22215</v>
      </c>
      <c r="G4" s="1764">
        <f>'Revenues 9-14'!G109</f>
        <v>231468</v>
      </c>
      <c r="H4" s="1764">
        <f>'Revenues 9-14'!H109</f>
        <v>5717</v>
      </c>
      <c r="I4" s="1764">
        <f>'Revenues 9-14'!I109</f>
        <v>7236</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381571</v>
      </c>
      <c r="D6" s="1765">
        <f>'Revenues 9-14'!D173</f>
        <v>0</v>
      </c>
      <c r="E6" s="1765">
        <f>'Revenues 9-14'!E173</f>
        <v>0</v>
      </c>
      <c r="F6" s="1765">
        <f>'Revenues 9-14'!F173</f>
        <v>33798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198778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4751313</v>
      </c>
      <c r="D8" s="1710">
        <f t="shared" ref="D8:K8" si="0">SUM(D4:D7)</f>
        <v>569484</v>
      </c>
      <c r="E8" s="1710">
        <f t="shared" si="0"/>
        <v>1010321</v>
      </c>
      <c r="F8" s="1710">
        <f t="shared" si="0"/>
        <v>56013</v>
      </c>
      <c r="G8" s="1710">
        <f t="shared" si="0"/>
        <v>231468</v>
      </c>
      <c r="H8" s="1710">
        <f t="shared" si="0"/>
        <v>5717</v>
      </c>
      <c r="I8" s="1710">
        <f t="shared" si="0"/>
        <v>7236</v>
      </c>
      <c r="J8" s="1710">
        <f t="shared" si="0"/>
        <v>0</v>
      </c>
      <c r="K8" s="1710">
        <f t="shared" si="0"/>
        <v>0</v>
      </c>
      <c r="L8" s="347"/>
    </row>
    <row r="9" spans="1:13" ht="15.75" thickTop="1" x14ac:dyDescent="0.2">
      <c r="A9" s="514" t="s">
        <v>1752</v>
      </c>
      <c r="B9" s="515">
        <v>3998</v>
      </c>
      <c r="C9" s="481">
        <v>1829746</v>
      </c>
      <c r="D9" s="516"/>
      <c r="E9" s="481"/>
      <c r="F9" s="481"/>
      <c r="G9" s="517"/>
      <c r="H9" s="481"/>
      <c r="I9" s="509" t="s">
        <v>1231</v>
      </c>
      <c r="J9" s="478"/>
      <c r="K9" s="481"/>
      <c r="L9" s="347"/>
    </row>
    <row r="10" spans="1:13" s="519" customFormat="1" ht="13.5" thickBot="1" x14ac:dyDescent="0.25">
      <c r="A10" s="1758" t="s">
        <v>1235</v>
      </c>
      <c r="B10" s="1731"/>
      <c r="C10" s="1710">
        <f>SUM(C8:C9)</f>
        <v>6581059</v>
      </c>
      <c r="D10" s="1710">
        <f t="shared" ref="D10:K10" si="1">SUM(D8:D9)</f>
        <v>569484</v>
      </c>
      <c r="E10" s="1710">
        <f t="shared" si="1"/>
        <v>1010321</v>
      </c>
      <c r="F10" s="1710">
        <f t="shared" si="1"/>
        <v>56013</v>
      </c>
      <c r="G10" s="1710">
        <f t="shared" si="1"/>
        <v>231468</v>
      </c>
      <c r="H10" s="1710">
        <f t="shared" si="1"/>
        <v>5717</v>
      </c>
      <c r="I10" s="1710">
        <f t="shared" si="1"/>
        <v>7236</v>
      </c>
      <c r="J10" s="1710">
        <f t="shared" si="1"/>
        <v>0</v>
      </c>
      <c r="K10" s="1710">
        <f t="shared" si="1"/>
        <v>0</v>
      </c>
      <c r="L10" s="518"/>
    </row>
    <row r="11" spans="1:13" s="519" customFormat="1" ht="16.7" customHeight="1" thickTop="1" x14ac:dyDescent="0.2">
      <c r="A11" s="2131" t="s">
        <v>1238</v>
      </c>
      <c r="B11" s="2132"/>
      <c r="C11" s="1592"/>
      <c r="D11" s="1593"/>
      <c r="E11" s="1593"/>
      <c r="F11" s="1593"/>
      <c r="G11" s="1593"/>
      <c r="H11" s="1593"/>
      <c r="I11" s="1593"/>
      <c r="J11" s="1593"/>
      <c r="K11" s="1594"/>
      <c r="L11" s="518"/>
    </row>
    <row r="12" spans="1:13" ht="15.75" customHeight="1" x14ac:dyDescent="0.2">
      <c r="A12" s="1598" t="s">
        <v>476</v>
      </c>
      <c r="B12" s="1600">
        <v>1000</v>
      </c>
      <c r="C12" s="1764">
        <f>'Expenditures 15-22'!K33</f>
        <v>2526843</v>
      </c>
      <c r="D12" s="520" t="s">
        <v>1231</v>
      </c>
      <c r="E12" s="468" t="s">
        <v>1231</v>
      </c>
      <c r="F12" s="468" t="s">
        <v>1231</v>
      </c>
      <c r="G12" s="1764">
        <f>'Expenditures 15-22'!K229</f>
        <v>63577</v>
      </c>
      <c r="H12" s="521"/>
      <c r="I12" s="468" t="s">
        <v>1231</v>
      </c>
      <c r="J12" s="468" t="s">
        <v>1231</v>
      </c>
      <c r="K12" s="521" t="s">
        <v>1231</v>
      </c>
      <c r="L12" s="347"/>
    </row>
    <row r="13" spans="1:13" ht="15.75" customHeight="1" x14ac:dyDescent="0.2">
      <c r="A13" s="1598" t="s">
        <v>477</v>
      </c>
      <c r="B13" s="1600">
        <v>2000</v>
      </c>
      <c r="C13" s="1765">
        <f>'Expenditures 15-22'!K74</f>
        <v>1542949</v>
      </c>
      <c r="D13" s="1765">
        <f>'Expenditures 15-22'!K129</f>
        <v>483638</v>
      </c>
      <c r="E13" s="469" t="s">
        <v>1231</v>
      </c>
      <c r="F13" s="1765">
        <f>'Expenditures 15-22'!K184</f>
        <v>54209</v>
      </c>
      <c r="G13" s="1765">
        <f>'Expenditures 15-22'!K279</f>
        <v>102631</v>
      </c>
      <c r="H13" s="1765">
        <f>'Expenditures 15-22'!K303</f>
        <v>64748</v>
      </c>
      <c r="I13" s="468" t="s">
        <v>1231</v>
      </c>
      <c r="J13" s="1765">
        <f>'Expenditures 15-22'!K330</f>
        <v>0</v>
      </c>
      <c r="K13" s="1769">
        <f>'Expenditures 15-22'!K352</f>
        <v>0</v>
      </c>
      <c r="L13" s="347"/>
    </row>
    <row r="14" spans="1:13" ht="15.75" customHeight="1" x14ac:dyDescent="0.2">
      <c r="A14" s="1598" t="s">
        <v>469</v>
      </c>
      <c r="B14" s="1600">
        <v>3000</v>
      </c>
      <c r="C14" s="1765">
        <f>'Expenditures 15-22'!K75</f>
        <v>13671</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157523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967835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4240986</v>
      </c>
      <c r="D17" s="1710">
        <f t="shared" si="2"/>
        <v>483638</v>
      </c>
      <c r="E17" s="1710">
        <f t="shared" si="2"/>
        <v>967835</v>
      </c>
      <c r="F17" s="1710">
        <f t="shared" si="2"/>
        <v>54209</v>
      </c>
      <c r="G17" s="1710">
        <f t="shared" si="2"/>
        <v>166208</v>
      </c>
      <c r="H17" s="1710">
        <f t="shared" si="2"/>
        <v>64748</v>
      </c>
      <c r="I17" s="468"/>
      <c r="J17" s="1710">
        <f>SUM(J12:J16)</f>
        <v>0</v>
      </c>
      <c r="K17" s="1710">
        <f>SUM(K12:K16)</f>
        <v>0</v>
      </c>
      <c r="L17" s="347"/>
    </row>
    <row r="18" spans="1:12" ht="15" customHeight="1" thickTop="1" x14ac:dyDescent="0.2">
      <c r="A18" s="1766" t="s">
        <v>1753</v>
      </c>
      <c r="B18" s="1767">
        <v>4180</v>
      </c>
      <c r="C18" s="1764">
        <f t="shared" ref="C18:H18" si="3">C9</f>
        <v>1829746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6070732</v>
      </c>
      <c r="D19" s="1710">
        <f t="shared" si="4"/>
        <v>483638</v>
      </c>
      <c r="E19" s="1710">
        <f t="shared" si="4"/>
        <v>967835</v>
      </c>
      <c r="F19" s="1710">
        <f t="shared" si="4"/>
        <v>54209</v>
      </c>
      <c r="G19" s="1710">
        <f t="shared" si="4"/>
        <v>166208</v>
      </c>
      <c r="H19" s="1710">
        <f t="shared" si="4"/>
        <v>64748</v>
      </c>
      <c r="I19" s="468"/>
      <c r="J19" s="1710">
        <f>SUM(J17:J18)</f>
        <v>0</v>
      </c>
      <c r="K19" s="1710">
        <f>SUM(K17:K18)</f>
        <v>0</v>
      </c>
      <c r="L19" s="347"/>
    </row>
    <row r="20" spans="1:12" ht="16.5" thickTop="1" thickBot="1" x14ac:dyDescent="0.25">
      <c r="A20" s="2147" t="s">
        <v>1754</v>
      </c>
      <c r="B20" s="2148"/>
      <c r="C20" s="1768">
        <f>C8-C17</f>
        <v>510327</v>
      </c>
      <c r="D20" s="1768">
        <f t="shared" ref="D20:K20" si="5">D8-D17</f>
        <v>85846</v>
      </c>
      <c r="E20" s="1768">
        <f t="shared" si="5"/>
        <v>42486</v>
      </c>
      <c r="F20" s="1768">
        <f t="shared" si="5"/>
        <v>1804</v>
      </c>
      <c r="G20" s="1768">
        <f t="shared" si="5"/>
        <v>65260</v>
      </c>
      <c r="H20" s="1768">
        <f t="shared" si="5"/>
        <v>-59031</v>
      </c>
      <c r="I20" s="1768">
        <f t="shared" si="5"/>
        <v>7236</v>
      </c>
      <c r="J20" s="1768">
        <f t="shared" si="5"/>
        <v>0</v>
      </c>
      <c r="K20" s="1768">
        <f t="shared" si="5"/>
        <v>0</v>
      </c>
      <c r="L20" s="347"/>
    </row>
    <row r="21" spans="1:12" ht="16.7" customHeight="1" thickTop="1" x14ac:dyDescent="0.2">
      <c r="A21" s="2159" t="s">
        <v>616</v>
      </c>
      <c r="B21" s="2160"/>
      <c r="C21" s="1592"/>
      <c r="D21" s="1593"/>
      <c r="E21" s="1593"/>
      <c r="F21" s="1593"/>
      <c r="G21" s="1593"/>
      <c r="H21" s="1593"/>
      <c r="I21" s="1593"/>
      <c r="J21" s="1593"/>
      <c r="K21" s="1594"/>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6765</v>
      </c>
      <c r="F37" s="475"/>
      <c r="G37" s="475"/>
      <c r="H37" s="475"/>
      <c r="I37" s="477"/>
      <c r="J37" s="475"/>
      <c r="K37" s="475"/>
      <c r="L37" s="524"/>
    </row>
    <row r="38" spans="1:12" s="485" customFormat="1" x14ac:dyDescent="0.2">
      <c r="A38" s="1511" t="s">
        <v>462</v>
      </c>
      <c r="B38" s="525">
        <v>7500</v>
      </c>
      <c r="C38" s="477"/>
      <c r="D38" s="477"/>
      <c r="E38" s="1765">
        <f>SUM(C58:D61,H58:H61)</f>
        <v>1110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1" t="s">
        <v>392</v>
      </c>
      <c r="B44" s="2162"/>
      <c r="C44" s="1725">
        <f>SUM(C24:C43)</f>
        <v>0</v>
      </c>
      <c r="D44" s="1725">
        <f t="shared" ref="D44:K44" si="6">SUM(D24:D43)</f>
        <v>0</v>
      </c>
      <c r="E44" s="1725">
        <f t="shared" si="6"/>
        <v>7875</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6765</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1110</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7" t="s">
        <v>460</v>
      </c>
      <c r="B76" s="2138"/>
      <c r="C76" s="1725">
        <f t="shared" ref="C76:K76" si="7">SUM(C47:C75)</f>
        <v>7875</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9" t="s">
        <v>1239</v>
      </c>
      <c r="B77" s="2140"/>
      <c r="C77" s="1725">
        <f t="shared" ref="C77:K77" si="8">C44-C76</f>
        <v>-7875</v>
      </c>
      <c r="D77" s="1725">
        <f t="shared" si="8"/>
        <v>0</v>
      </c>
      <c r="E77" s="1725">
        <f t="shared" si="8"/>
        <v>7875</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3" t="s">
        <v>618</v>
      </c>
      <c r="B78" s="2144"/>
      <c r="C78" s="1724">
        <f t="shared" ref="C78:K78" si="9">C20+C77</f>
        <v>502452</v>
      </c>
      <c r="D78" s="1724">
        <f t="shared" si="9"/>
        <v>85846</v>
      </c>
      <c r="E78" s="1724">
        <f t="shared" si="9"/>
        <v>50361</v>
      </c>
      <c r="F78" s="1724">
        <f t="shared" si="9"/>
        <v>1804</v>
      </c>
      <c r="G78" s="1724">
        <f t="shared" si="9"/>
        <v>65260</v>
      </c>
      <c r="H78" s="1724">
        <f t="shared" si="9"/>
        <v>-59031</v>
      </c>
      <c r="I78" s="1724">
        <f t="shared" si="9"/>
        <v>7236</v>
      </c>
      <c r="J78" s="1724">
        <f t="shared" si="9"/>
        <v>0</v>
      </c>
      <c r="K78" s="1724">
        <f t="shared" si="9"/>
        <v>0</v>
      </c>
      <c r="L78" s="533"/>
    </row>
    <row r="79" spans="1:12" ht="13.5" thickTop="1" x14ac:dyDescent="0.2">
      <c r="A79" s="1516" t="s">
        <v>2071</v>
      </c>
      <c r="B79" s="534"/>
      <c r="C79" s="478">
        <v>2490044</v>
      </c>
      <c r="D79" s="535">
        <v>377753</v>
      </c>
      <c r="E79" s="535">
        <v>615078</v>
      </c>
      <c r="F79" s="535">
        <v>63879</v>
      </c>
      <c r="G79" s="535">
        <v>194269</v>
      </c>
      <c r="H79" s="535">
        <v>437386</v>
      </c>
      <c r="I79" s="535">
        <v>439939</v>
      </c>
      <c r="J79" s="535"/>
      <c r="K79" s="535"/>
      <c r="L79" s="347"/>
    </row>
    <row r="80" spans="1:12" x14ac:dyDescent="0.2">
      <c r="A80" s="2149" t="s">
        <v>1898</v>
      </c>
      <c r="B80" s="2150"/>
      <c r="C80" s="467"/>
      <c r="D80" s="467"/>
      <c r="E80" s="467"/>
      <c r="F80" s="467"/>
      <c r="G80" s="467"/>
      <c r="H80" s="467"/>
      <c r="I80" s="467"/>
      <c r="J80" s="467"/>
      <c r="K80" s="467"/>
      <c r="L80" s="347"/>
    </row>
    <row r="81" spans="1:12" ht="13.5" thickBot="1" x14ac:dyDescent="0.25">
      <c r="A81" s="2141" t="s">
        <v>2072</v>
      </c>
      <c r="B81" s="2142"/>
      <c r="C81" s="1710">
        <f>(SUM(C78:C80))</f>
        <v>2992496</v>
      </c>
      <c r="D81" s="1710">
        <f>SUM(D78:D80)</f>
        <v>463599</v>
      </c>
      <c r="E81" s="1710">
        <f t="shared" ref="E81:K81" si="10">SUM(E78:E80)</f>
        <v>665439</v>
      </c>
      <c r="F81" s="1710">
        <f t="shared" si="10"/>
        <v>65683</v>
      </c>
      <c r="G81" s="1710">
        <f t="shared" si="10"/>
        <v>259529</v>
      </c>
      <c r="H81" s="1710">
        <f t="shared" si="10"/>
        <v>378355</v>
      </c>
      <c r="I81" s="1710">
        <f t="shared" si="10"/>
        <v>447175</v>
      </c>
      <c r="J81" s="1710">
        <f t="shared" si="10"/>
        <v>0</v>
      </c>
      <c r="K81" s="1710">
        <f t="shared" si="10"/>
        <v>0</v>
      </c>
      <c r="L81" s="347"/>
    </row>
    <row r="82" spans="1:12" ht="0.75" customHeight="1" thickTop="1" thickBot="1" x14ac:dyDescent="0.25">
      <c r="A82" s="536" t="s">
        <v>361</v>
      </c>
      <c r="B82" s="537"/>
      <c r="C82" s="538">
        <f>(C81-C79)</f>
        <v>502452</v>
      </c>
      <c r="D82" s="538">
        <f t="shared" ref="D82:K82" si="11">(D81-D79)</f>
        <v>85846</v>
      </c>
      <c r="E82" s="538">
        <f t="shared" si="11"/>
        <v>50361</v>
      </c>
      <c r="F82" s="538">
        <f t="shared" si="11"/>
        <v>1804</v>
      </c>
      <c r="G82" s="538">
        <f t="shared" si="11"/>
        <v>65260</v>
      </c>
      <c r="H82" s="538">
        <f t="shared" si="11"/>
        <v>-59031</v>
      </c>
      <c r="I82" s="538">
        <f t="shared" si="11"/>
        <v>7236</v>
      </c>
      <c r="J82" s="538">
        <f t="shared" si="11"/>
        <v>0</v>
      </c>
      <c r="K82" s="538">
        <f t="shared" si="11"/>
        <v>0</v>
      </c>
    </row>
    <row r="83" spans="1:12" ht="14.25" hidden="1" thickTop="1" thickBot="1" x14ac:dyDescent="0.25">
      <c r="A83" s="539" t="s">
        <v>362</v>
      </c>
      <c r="B83" s="464"/>
      <c r="C83" s="540">
        <f>C82/C81</f>
        <v>0.16790398383155733</v>
      </c>
      <c r="D83" s="540">
        <f t="shared" ref="D83:K83" si="12">D82/D81</f>
        <v>0.18517296197791627</v>
      </c>
      <c r="E83" s="540">
        <f t="shared" si="12"/>
        <v>7.5680866315319659E-2</v>
      </c>
      <c r="F83" s="540">
        <f t="shared" si="12"/>
        <v>2.7465249760211925E-2</v>
      </c>
      <c r="G83" s="540">
        <f t="shared" si="12"/>
        <v>0.25145552134828864</v>
      </c>
      <c r="H83" s="540">
        <f t="shared" si="12"/>
        <v>-0.15602013981578147</v>
      </c>
      <c r="I83" s="540">
        <f t="shared" si="12"/>
        <v>1.6181584390898417E-2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75" activePane="bottomLeft" state="frozen"/>
      <selection activeCell="H16" sqref="H16"/>
      <selection pane="bottomLeft" activeCell="H16" sqref="H1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1905</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3429986</v>
      </c>
      <c r="D5" s="481">
        <v>552676</v>
      </c>
      <c r="E5" s="466">
        <v>1001806</v>
      </c>
      <c r="F5" s="548">
        <v>21160</v>
      </c>
      <c r="G5" s="466">
        <f>58245+62428</f>
        <v>120673</v>
      </c>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314418</v>
      </c>
      <c r="D7" s="466"/>
      <c r="E7" s="468"/>
      <c r="F7" s="467"/>
      <c r="G7" s="467"/>
      <c r="H7" s="467"/>
      <c r="I7" s="468"/>
      <c r="J7" s="468"/>
      <c r="K7" s="468"/>
    </row>
    <row r="8" spans="1:12" x14ac:dyDescent="0.2">
      <c r="A8" s="463" t="s">
        <v>433</v>
      </c>
      <c r="B8" s="470">
        <v>1150</v>
      </c>
      <c r="C8" s="475"/>
      <c r="D8" s="475"/>
      <c r="E8" s="477"/>
      <c r="F8" s="477"/>
      <c r="G8" s="481">
        <f>36712+39373</f>
        <v>76085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3744404</v>
      </c>
      <c r="D12" s="1729">
        <f t="shared" si="0"/>
        <v>552676</v>
      </c>
      <c r="E12" s="1729">
        <f t="shared" si="0"/>
        <v>1001806</v>
      </c>
      <c r="F12" s="1729">
        <f t="shared" si="0"/>
        <v>21160</v>
      </c>
      <c r="G12" s="1729">
        <f t="shared" si="0"/>
        <v>196758</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1000</v>
      </c>
      <c r="D16" s="466"/>
      <c r="E16" s="466"/>
      <c r="F16" s="466"/>
      <c r="G16" s="466">
        <v>31091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1000</v>
      </c>
      <c r="D18" s="1732">
        <f t="shared" ref="D18:K18" si="1">SUM(D14:D17)</f>
        <v>0</v>
      </c>
      <c r="E18" s="1732">
        <f t="shared" si="1"/>
        <v>0</v>
      </c>
      <c r="F18" s="1732">
        <f t="shared" si="1"/>
        <v>0</v>
      </c>
      <c r="G18" s="1732">
        <f t="shared" si="1"/>
        <v>31091</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v>50663</v>
      </c>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50663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43965</v>
      </c>
      <c r="D65" s="466">
        <v>6894</v>
      </c>
      <c r="E65" s="466">
        <v>8515</v>
      </c>
      <c r="F65" s="467">
        <v>1055</v>
      </c>
      <c r="G65" s="466">
        <v>3619</v>
      </c>
      <c r="H65" s="466">
        <v>5717</v>
      </c>
      <c r="I65" s="466">
        <v>7236</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43965</v>
      </c>
      <c r="D67" s="1710">
        <f t="shared" ref="D67:K67" si="2">SUM(D65:D66)</f>
        <v>6894</v>
      </c>
      <c r="E67" s="1710">
        <f t="shared" si="2"/>
        <v>8515</v>
      </c>
      <c r="F67" s="1710">
        <f t="shared" si="2"/>
        <v>1055</v>
      </c>
      <c r="G67" s="1710">
        <f t="shared" si="2"/>
        <v>3619</v>
      </c>
      <c r="H67" s="1710">
        <f t="shared" si="2"/>
        <v>5717</v>
      </c>
      <c r="I67" s="1710">
        <f t="shared" si="2"/>
        <v>7236</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59837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59837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148086</v>
      </c>
      <c r="D95" s="551">
        <v>9914</v>
      </c>
      <c r="E95" s="521"/>
      <c r="F95" s="521"/>
      <c r="G95" s="521"/>
      <c r="H95" s="521"/>
      <c r="I95" s="521"/>
      <c r="J95" s="521"/>
      <c r="K95" s="521"/>
    </row>
    <row r="96" spans="1:11" ht="12.75" customHeight="1" x14ac:dyDescent="0.2">
      <c r="A96" s="463" t="s">
        <v>409</v>
      </c>
      <c r="B96" s="470">
        <v>1920</v>
      </c>
      <c r="C96" s="551">
        <v>57738</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12686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52585</v>
      </c>
      <c r="D107" s="466"/>
      <c r="E107" s="466"/>
      <c r="F107" s="466"/>
      <c r="G107" s="466"/>
      <c r="H107" s="466"/>
      <c r="I107" s="466"/>
      <c r="J107" s="467"/>
      <c r="K107" s="466"/>
    </row>
    <row r="108" spans="1:12" ht="12.75" customHeight="1" thickBot="1" x14ac:dyDescent="0.25">
      <c r="A108" s="1730" t="s">
        <v>508</v>
      </c>
      <c r="B108" s="1734"/>
      <c r="C108" s="1729">
        <f>SUM(C95:C107)</f>
        <v>271095</v>
      </c>
      <c r="D108" s="1729">
        <f t="shared" ref="D108:K108" si="3">SUM(D95:D107)</f>
        <v>9914</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4170964</v>
      </c>
      <c r="D109" s="1737">
        <f t="shared" si="4"/>
        <v>569484</v>
      </c>
      <c r="E109" s="1737">
        <f t="shared" si="4"/>
        <v>1010321</v>
      </c>
      <c r="F109" s="1737">
        <f t="shared" si="4"/>
        <v>22215</v>
      </c>
      <c r="G109" s="1737">
        <f t="shared" si="4"/>
        <v>231468</v>
      </c>
      <c r="H109" s="1737">
        <f t="shared" si="4"/>
        <v>5717</v>
      </c>
      <c r="I109" s="1737">
        <f t="shared" si="4"/>
        <v>7236</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278143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278143</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27149</v>
      </c>
      <c r="D124" s="561"/>
      <c r="E124" s="468"/>
      <c r="F124" s="548"/>
      <c r="G124" s="468"/>
      <c r="H124" s="468"/>
      <c r="I124" s="468"/>
      <c r="J124" s="468"/>
      <c r="K124" s="468"/>
    </row>
    <row r="125" spans="1:11" ht="12.75" customHeight="1" x14ac:dyDescent="0.2">
      <c r="A125" s="463" t="s">
        <v>1521</v>
      </c>
      <c r="B125" s="562">
        <v>3105</v>
      </c>
      <c r="C125" s="466">
        <v>19207</v>
      </c>
      <c r="D125" s="561"/>
      <c r="E125" s="468"/>
      <c r="F125" s="466"/>
      <c r="G125" s="468"/>
      <c r="H125" s="468"/>
      <c r="I125" s="468"/>
      <c r="J125" s="468"/>
      <c r="K125" s="468"/>
    </row>
    <row r="126" spans="1:11" ht="12.75" customHeight="1" x14ac:dyDescent="0.2">
      <c r="A126" s="463" t="s">
        <v>922</v>
      </c>
      <c r="B126" s="562">
        <v>3110</v>
      </c>
      <c r="C126" s="551">
        <v>49580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426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96362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5319</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5319</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247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v>33798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33798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5" t="s">
        <v>418</v>
      </c>
      <c r="B172" s="2166"/>
      <c r="C172" s="1744">
        <f t="shared" ref="C172:K172" si="6">SUM(C131,C140,C144,C145:C149,C154,C155:C170,C171)</f>
        <v>103428</v>
      </c>
      <c r="D172" s="1744">
        <f t="shared" si="6"/>
        <v>0</v>
      </c>
      <c r="E172" s="1744">
        <f t="shared" si="6"/>
        <v>0</v>
      </c>
      <c r="F172" s="1744">
        <f t="shared" si="6"/>
        <v>33798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381571</v>
      </c>
      <c r="D173" s="1737">
        <f>SUM(D121,D172)</f>
        <v>0</v>
      </c>
      <c r="E173" s="1737">
        <f>SUM(E121,E172)</f>
        <v>0</v>
      </c>
      <c r="F173" s="1737">
        <f t="shared" ref="F173:K173" si="7">SUM(F121,F172)</f>
        <v>33798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7" t="s">
        <v>1572</v>
      </c>
      <c r="B175" s="216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1" t="s">
        <v>1764</v>
      </c>
      <c r="B178" s="217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5" t="s">
        <v>1763</v>
      </c>
      <c r="B179" s="217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3" t="s">
        <v>818</v>
      </c>
      <c r="B184" s="217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9" t="s">
        <v>1906</v>
      </c>
      <c r="B185" s="217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v>3361</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3361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53742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53742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4404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4404</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1939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76746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78685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11834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11629</v>
      </c>
      <c r="D270" s="576"/>
      <c r="E270" s="468"/>
      <c r="F270" s="576"/>
      <c r="G270" s="576"/>
      <c r="H270" s="468"/>
      <c r="I270" s="468"/>
      <c r="J270" s="468"/>
      <c r="K270" s="468"/>
    </row>
    <row r="271" spans="1:11" ht="12.75" customHeight="1" thickTop="1" thickBot="1" x14ac:dyDescent="0.25">
      <c r="A271" s="463" t="s">
        <v>395</v>
      </c>
      <c r="B271" s="470">
        <v>4992</v>
      </c>
      <c r="C271" s="575">
        <v>35123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198778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198778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4751313</v>
      </c>
      <c r="D275" s="1737">
        <f t="shared" si="12"/>
        <v>569484</v>
      </c>
      <c r="E275" s="1737">
        <f t="shared" si="12"/>
        <v>1010321</v>
      </c>
      <c r="F275" s="1737">
        <f t="shared" si="12"/>
        <v>56013</v>
      </c>
      <c r="G275" s="1737">
        <f t="shared" si="12"/>
        <v>231468</v>
      </c>
      <c r="H275" s="1737">
        <f t="shared" si="12"/>
        <v>5717</v>
      </c>
      <c r="I275" s="1737">
        <f t="shared" si="12"/>
        <v>7236</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1" activePane="bottomLeft" state="frozen"/>
      <selection activeCell="H16" sqref="H16"/>
      <selection pane="bottomLeft" activeCell="H16" sqref="H1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1620713</v>
      </c>
      <c r="D5" s="466">
        <v>183186</v>
      </c>
      <c r="E5" s="466">
        <v>3425</v>
      </c>
      <c r="F5" s="466">
        <v>40071</v>
      </c>
      <c r="G5" s="466"/>
      <c r="H5" s="466"/>
      <c r="I5" s="467">
        <v>148086</v>
      </c>
      <c r="J5" s="467"/>
      <c r="K5" s="1693">
        <f>SUM(C5:J5)</f>
        <v>1995481</v>
      </c>
      <c r="L5" s="466">
        <v>1819590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323257</v>
      </c>
      <c r="D8" s="466">
        <v>61497</v>
      </c>
      <c r="E8" s="466">
        <v>842</v>
      </c>
      <c r="F8" s="466">
        <v>5494</v>
      </c>
      <c r="G8" s="466"/>
      <c r="H8" s="466"/>
      <c r="I8" s="467"/>
      <c r="J8" s="467"/>
      <c r="K8" s="1693">
        <f t="shared" si="0"/>
        <v>391090</v>
      </c>
      <c r="L8" s="466">
        <v>501978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44149</v>
      </c>
      <c r="D10" s="466">
        <v>15444</v>
      </c>
      <c r="E10" s="466"/>
      <c r="F10" s="466">
        <v>1000</v>
      </c>
      <c r="G10" s="466"/>
      <c r="H10" s="466"/>
      <c r="I10" s="467"/>
      <c r="J10" s="467"/>
      <c r="K10" s="1693">
        <f t="shared" si="0"/>
        <v>60593</v>
      </c>
      <c r="L10" s="466">
        <v>53065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26550</v>
      </c>
      <c r="D14" s="466">
        <v>1584</v>
      </c>
      <c r="E14" s="466">
        <v>4203</v>
      </c>
      <c r="F14" s="466"/>
      <c r="G14" s="466"/>
      <c r="H14" s="466"/>
      <c r="I14" s="467"/>
      <c r="J14" s="467"/>
      <c r="K14" s="1693">
        <f t="shared" si="0"/>
        <v>32337</v>
      </c>
      <c r="L14" s="466">
        <v>35200</v>
      </c>
    </row>
    <row r="15" spans="1:14" x14ac:dyDescent="0.2">
      <c r="A15" s="1526" t="s">
        <v>1021</v>
      </c>
      <c r="B15" s="615">
        <v>1600</v>
      </c>
      <c r="C15" s="466">
        <v>6457</v>
      </c>
      <c r="D15" s="466">
        <v>51</v>
      </c>
      <c r="E15" s="466"/>
      <c r="F15" s="466"/>
      <c r="G15" s="466"/>
      <c r="H15" s="466"/>
      <c r="I15" s="467"/>
      <c r="J15" s="467"/>
      <c r="K15" s="1693">
        <f t="shared" si="0"/>
        <v>6508</v>
      </c>
      <c r="L15" s="466">
        <v>11120</v>
      </c>
    </row>
    <row r="16" spans="1:14" x14ac:dyDescent="0.2">
      <c r="A16" s="1526" t="s">
        <v>1044</v>
      </c>
      <c r="B16" s="615" t="s">
        <v>444</v>
      </c>
      <c r="C16" s="466">
        <v>33195</v>
      </c>
      <c r="D16" s="466">
        <v>505</v>
      </c>
      <c r="E16" s="466"/>
      <c r="F16" s="466"/>
      <c r="G16" s="466"/>
      <c r="H16" s="466"/>
      <c r="I16" s="467"/>
      <c r="J16" s="467"/>
      <c r="K16" s="1693">
        <f t="shared" si="0"/>
        <v>33700</v>
      </c>
      <c r="L16" s="466">
        <v>33100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6074</v>
      </c>
      <c r="D18" s="466">
        <v>1060</v>
      </c>
      <c r="E18" s="466"/>
      <c r="F18" s="466"/>
      <c r="G18" s="466"/>
      <c r="H18" s="466"/>
      <c r="I18" s="467"/>
      <c r="J18" s="467"/>
      <c r="K18" s="1693">
        <f t="shared" si="0"/>
        <v>7134</v>
      </c>
      <c r="L18" s="466">
        <v>9388</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2060395</v>
      </c>
      <c r="D33" s="1692">
        <f t="shared" ref="D33:L33" si="1">SUM(D5:D32)</f>
        <v>263327</v>
      </c>
      <c r="E33" s="1692">
        <f t="shared" si="1"/>
        <v>8470</v>
      </c>
      <c r="F33" s="1692">
        <f t="shared" si="1"/>
        <v>46565</v>
      </c>
      <c r="G33" s="1692">
        <f t="shared" si="1"/>
        <v>0</v>
      </c>
      <c r="H33" s="1692">
        <f t="shared" si="1"/>
        <v>0</v>
      </c>
      <c r="I33" s="1692">
        <f t="shared" si="1"/>
        <v>148086</v>
      </c>
      <c r="J33" s="1692">
        <f t="shared" si="1"/>
        <v>0</v>
      </c>
      <c r="K33" s="1692">
        <f t="shared" si="1"/>
        <v>2526843</v>
      </c>
      <c r="L33" s="1692">
        <f t="shared" si="1"/>
        <v>2463441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83882</v>
      </c>
      <c r="D36" s="481">
        <v>1391</v>
      </c>
      <c r="E36" s="481">
        <v>2513</v>
      </c>
      <c r="F36" s="481">
        <v>105</v>
      </c>
      <c r="G36" s="481"/>
      <c r="H36" s="481"/>
      <c r="I36" s="467"/>
      <c r="J36" s="467"/>
      <c r="K36" s="1693">
        <f t="shared" ref="K36:K41" si="2">SUM(C36:J36)</f>
        <v>87891</v>
      </c>
      <c r="L36" s="466">
        <v>85375</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52891</v>
      </c>
      <c r="D38" s="466">
        <v>7628</v>
      </c>
      <c r="E38" s="466"/>
      <c r="F38" s="466">
        <v>1900</v>
      </c>
      <c r="G38" s="466"/>
      <c r="H38" s="466"/>
      <c r="I38" s="467"/>
      <c r="J38" s="467"/>
      <c r="K38" s="1693">
        <f t="shared" si="2"/>
        <v>62419</v>
      </c>
      <c r="L38" s="466">
        <v>31960</v>
      </c>
    </row>
    <row r="39" spans="1:14" x14ac:dyDescent="0.2">
      <c r="A39" s="1526" t="s">
        <v>208</v>
      </c>
      <c r="B39" s="615">
        <v>2140</v>
      </c>
      <c r="C39" s="466">
        <v>78911</v>
      </c>
      <c r="D39" s="466">
        <v>17671</v>
      </c>
      <c r="E39" s="466">
        <v>6360</v>
      </c>
      <c r="F39" s="466">
        <v>103</v>
      </c>
      <c r="G39" s="466"/>
      <c r="H39" s="466"/>
      <c r="I39" s="467"/>
      <c r="J39" s="467"/>
      <c r="K39" s="1693">
        <f t="shared" si="2"/>
        <v>103045</v>
      </c>
      <c r="L39" s="466">
        <v>101805</v>
      </c>
    </row>
    <row r="40" spans="1:14" x14ac:dyDescent="0.2">
      <c r="A40" s="1526" t="s">
        <v>209</v>
      </c>
      <c r="B40" s="615">
        <v>2150</v>
      </c>
      <c r="C40" s="466">
        <v>94628</v>
      </c>
      <c r="D40" s="466">
        <v>8554</v>
      </c>
      <c r="E40" s="466"/>
      <c r="F40" s="466">
        <v>310</v>
      </c>
      <c r="G40" s="466"/>
      <c r="H40" s="466"/>
      <c r="I40" s="467"/>
      <c r="J40" s="467"/>
      <c r="K40" s="1693">
        <f t="shared" si="2"/>
        <v>103492</v>
      </c>
      <c r="L40" s="466">
        <v>103630</v>
      </c>
    </row>
    <row r="41" spans="1:14" x14ac:dyDescent="0.2">
      <c r="A41" s="1526" t="s">
        <v>1768</v>
      </c>
      <c r="B41" s="615">
        <v>2190</v>
      </c>
      <c r="C41" s="466">
        <v>54351</v>
      </c>
      <c r="D41" s="466">
        <v>3634</v>
      </c>
      <c r="E41" s="466"/>
      <c r="F41" s="466"/>
      <c r="G41" s="466"/>
      <c r="H41" s="466"/>
      <c r="I41" s="467"/>
      <c r="J41" s="467"/>
      <c r="K41" s="1693">
        <f t="shared" si="2"/>
        <v>57985</v>
      </c>
      <c r="L41" s="466">
        <v>65100</v>
      </c>
    </row>
    <row r="42" spans="1:14" ht="12.75" customHeight="1" thickBot="1" x14ac:dyDescent="0.25">
      <c r="A42" s="1690" t="s">
        <v>581</v>
      </c>
      <c r="B42" s="1691" t="s">
        <v>740</v>
      </c>
      <c r="C42" s="1692">
        <f>SUM(C36:C41)</f>
        <v>364663</v>
      </c>
      <c r="D42" s="1692">
        <f t="shared" ref="D42:L42" si="3">SUM(D36:D41)</f>
        <v>38878</v>
      </c>
      <c r="E42" s="1692">
        <f t="shared" si="3"/>
        <v>8873</v>
      </c>
      <c r="F42" s="1692">
        <f t="shared" si="3"/>
        <v>2418</v>
      </c>
      <c r="G42" s="1692">
        <f t="shared" si="3"/>
        <v>0</v>
      </c>
      <c r="H42" s="1692">
        <f t="shared" si="3"/>
        <v>0</v>
      </c>
      <c r="I42" s="1692">
        <f t="shared" si="3"/>
        <v>0</v>
      </c>
      <c r="J42" s="1692">
        <f t="shared" si="3"/>
        <v>0</v>
      </c>
      <c r="K42" s="1692">
        <f t="shared" si="3"/>
        <v>414832</v>
      </c>
      <c r="L42" s="1692">
        <f t="shared" si="3"/>
        <v>387870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13556</v>
      </c>
      <c r="D44" s="481">
        <v>4437</v>
      </c>
      <c r="E44" s="481">
        <v>12326</v>
      </c>
      <c r="F44" s="481">
        <v>1939</v>
      </c>
      <c r="G44" s="481"/>
      <c r="H44" s="481"/>
      <c r="I44" s="467"/>
      <c r="J44" s="467"/>
      <c r="K44" s="1694">
        <f>SUM(C44:J44)</f>
        <v>32258</v>
      </c>
      <c r="L44" s="481">
        <v>33363</v>
      </c>
    </row>
    <row r="45" spans="1:14" x14ac:dyDescent="0.2">
      <c r="A45" s="1526" t="s">
        <v>869</v>
      </c>
      <c r="B45" s="615">
        <v>2220</v>
      </c>
      <c r="C45" s="466">
        <v>29375</v>
      </c>
      <c r="D45" s="466">
        <v>12917</v>
      </c>
      <c r="E45" s="466"/>
      <c r="F45" s="466">
        <v>8223</v>
      </c>
      <c r="G45" s="466"/>
      <c r="H45" s="466"/>
      <c r="I45" s="467"/>
      <c r="J45" s="467"/>
      <c r="K45" s="1694">
        <f>SUM(C45:J45)</f>
        <v>50515</v>
      </c>
      <c r="L45" s="466">
        <v>38370</v>
      </c>
    </row>
    <row r="46" spans="1:14" x14ac:dyDescent="0.2">
      <c r="A46" s="1526" t="s">
        <v>870</v>
      </c>
      <c r="B46" s="615">
        <v>2230</v>
      </c>
      <c r="C46" s="466"/>
      <c r="D46" s="466"/>
      <c r="E46" s="466">
        <v>2344</v>
      </c>
      <c r="F46" s="466"/>
      <c r="G46" s="466"/>
      <c r="H46" s="466"/>
      <c r="I46" s="467"/>
      <c r="J46" s="467"/>
      <c r="K46" s="1694">
        <f>SUM(C46:J46)</f>
        <v>2344</v>
      </c>
      <c r="L46" s="466">
        <v>5000</v>
      </c>
    </row>
    <row r="47" spans="1:14" ht="12.75" customHeight="1" thickBot="1" x14ac:dyDescent="0.25">
      <c r="A47" s="1690" t="s">
        <v>582</v>
      </c>
      <c r="B47" s="1691" t="s">
        <v>32</v>
      </c>
      <c r="C47" s="1692">
        <f>SUM(C44:C46)</f>
        <v>42931</v>
      </c>
      <c r="D47" s="1692">
        <f t="shared" ref="D47:K47" si="4">SUM(D44:D46)</f>
        <v>17354</v>
      </c>
      <c r="E47" s="1692">
        <f t="shared" si="4"/>
        <v>14670</v>
      </c>
      <c r="F47" s="1692">
        <f t="shared" si="4"/>
        <v>10162</v>
      </c>
      <c r="G47" s="1692">
        <f t="shared" si="4"/>
        <v>0</v>
      </c>
      <c r="H47" s="1692">
        <f t="shared" si="4"/>
        <v>0</v>
      </c>
      <c r="I47" s="1692">
        <f t="shared" si="4"/>
        <v>0</v>
      </c>
      <c r="J47" s="1692">
        <f t="shared" si="4"/>
        <v>0</v>
      </c>
      <c r="K47" s="1692">
        <f t="shared" si="4"/>
        <v>85117</v>
      </c>
      <c r="L47" s="1692">
        <f>SUM(L44:L46)</f>
        <v>76733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66353</v>
      </c>
      <c r="F49" s="481"/>
      <c r="G49" s="481"/>
      <c r="H49" s="481">
        <v>6455</v>
      </c>
      <c r="I49" s="467"/>
      <c r="J49" s="467"/>
      <c r="K49" s="1694">
        <f>SUM(C49:J49)</f>
        <v>72808</v>
      </c>
      <c r="L49" s="481">
        <v>70800</v>
      </c>
    </row>
    <row r="50" spans="1:14" x14ac:dyDescent="0.2">
      <c r="A50" s="1526" t="s">
        <v>872</v>
      </c>
      <c r="B50" s="615">
        <v>2320</v>
      </c>
      <c r="C50" s="466">
        <v>215818</v>
      </c>
      <c r="D50" s="466">
        <v>45902</v>
      </c>
      <c r="E50" s="466">
        <v>1785</v>
      </c>
      <c r="F50" s="466"/>
      <c r="G50" s="466"/>
      <c r="H50" s="466">
        <v>1875</v>
      </c>
      <c r="I50" s="467"/>
      <c r="J50" s="467"/>
      <c r="K50" s="1694">
        <f>SUM(C50:J50)</f>
        <v>265380</v>
      </c>
      <c r="L50" s="466">
        <v>293950</v>
      </c>
    </row>
    <row r="51" spans="1:14" x14ac:dyDescent="0.2">
      <c r="A51" s="1526" t="s">
        <v>44</v>
      </c>
      <c r="B51" s="615">
        <v>2330</v>
      </c>
      <c r="C51" s="466">
        <v>63029</v>
      </c>
      <c r="D51" s="466"/>
      <c r="E51" s="466">
        <v>177</v>
      </c>
      <c r="F51" s="466"/>
      <c r="G51" s="466"/>
      <c r="H51" s="466"/>
      <c r="I51" s="467"/>
      <c r="J51" s="467"/>
      <c r="K51" s="1694">
        <f>SUM(C51:J51)</f>
        <v>63206</v>
      </c>
      <c r="L51" s="466">
        <v>63550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278847</v>
      </c>
      <c r="D53" s="1692">
        <f t="shared" ref="D53:L53" si="5">SUM(D49:D52)</f>
        <v>45902</v>
      </c>
      <c r="E53" s="1692">
        <f t="shared" si="5"/>
        <v>68315</v>
      </c>
      <c r="F53" s="1692">
        <f t="shared" si="5"/>
        <v>0</v>
      </c>
      <c r="G53" s="1692">
        <f t="shared" si="5"/>
        <v>0</v>
      </c>
      <c r="H53" s="1692">
        <f t="shared" si="5"/>
        <v>8330</v>
      </c>
      <c r="I53" s="1692">
        <f t="shared" si="5"/>
        <v>0</v>
      </c>
      <c r="J53" s="1692">
        <f t="shared" si="5"/>
        <v>0</v>
      </c>
      <c r="K53" s="1692">
        <f t="shared" si="5"/>
        <v>401394</v>
      </c>
      <c r="L53" s="1692">
        <f t="shared" si="5"/>
        <v>428300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198712</v>
      </c>
      <c r="D55" s="481">
        <v>33944</v>
      </c>
      <c r="E55" s="481">
        <v>290</v>
      </c>
      <c r="F55" s="481"/>
      <c r="G55" s="481"/>
      <c r="H55" s="481">
        <v>385</v>
      </c>
      <c r="I55" s="467"/>
      <c r="J55" s="467"/>
      <c r="K55" s="1694">
        <f>SUM(C55:J55)</f>
        <v>233331</v>
      </c>
      <c r="L55" s="481">
        <v>234650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198712</v>
      </c>
      <c r="D57" s="1696">
        <f t="shared" ref="D57:K57" si="6">SUM(D55:D56)</f>
        <v>33944</v>
      </c>
      <c r="E57" s="1696">
        <f t="shared" si="6"/>
        <v>290</v>
      </c>
      <c r="F57" s="1696">
        <f t="shared" si="6"/>
        <v>0</v>
      </c>
      <c r="G57" s="1696">
        <f t="shared" si="6"/>
        <v>0</v>
      </c>
      <c r="H57" s="1696">
        <f t="shared" si="6"/>
        <v>385</v>
      </c>
      <c r="I57" s="1696">
        <f t="shared" si="6"/>
        <v>0</v>
      </c>
      <c r="J57" s="1696">
        <f t="shared" si="6"/>
        <v>0</v>
      </c>
      <c r="K57" s="1696">
        <f t="shared" si="6"/>
        <v>233331</v>
      </c>
      <c r="L57" s="1692">
        <f>SUM(L55:L56)</f>
        <v>234650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38832</v>
      </c>
      <c r="D59" s="481"/>
      <c r="E59" s="481">
        <v>5560</v>
      </c>
      <c r="F59" s="481"/>
      <c r="G59" s="481"/>
      <c r="H59" s="481"/>
      <c r="I59" s="467"/>
      <c r="J59" s="467"/>
      <c r="K59" s="1694">
        <f t="shared" ref="K59:K64" si="7">SUM(C59:J59)</f>
        <v>44392</v>
      </c>
      <c r="L59" s="481">
        <v>42600</v>
      </c>
      <c r="M59" s="610"/>
      <c r="N59" s="610"/>
    </row>
    <row r="60" spans="1:14" s="343" customFormat="1" x14ac:dyDescent="0.2">
      <c r="A60" s="1526" t="s">
        <v>483</v>
      </c>
      <c r="B60" s="615">
        <v>2520</v>
      </c>
      <c r="C60" s="466">
        <v>107295</v>
      </c>
      <c r="D60" s="466">
        <v>19007</v>
      </c>
      <c r="E60" s="466">
        <v>6037</v>
      </c>
      <c r="F60" s="466"/>
      <c r="G60" s="466"/>
      <c r="H60" s="466"/>
      <c r="I60" s="467"/>
      <c r="J60" s="467"/>
      <c r="K60" s="1694">
        <f t="shared" si="7"/>
        <v>132339</v>
      </c>
      <c r="L60" s="466">
        <v>125950</v>
      </c>
      <c r="M60" s="610"/>
      <c r="N60" s="610"/>
    </row>
    <row r="61" spans="1:14" s="343" customFormat="1" x14ac:dyDescent="0.2">
      <c r="A61" s="1526" t="s">
        <v>206</v>
      </c>
      <c r="B61" s="615">
        <v>2540</v>
      </c>
      <c r="C61" s="466"/>
      <c r="D61" s="466"/>
      <c r="E61" s="466">
        <v>14054</v>
      </c>
      <c r="F61" s="466">
        <v>14348</v>
      </c>
      <c r="G61" s="466"/>
      <c r="H61" s="466"/>
      <c r="I61" s="467"/>
      <c r="J61" s="467"/>
      <c r="K61" s="1694">
        <f t="shared" si="7"/>
        <v>28402</v>
      </c>
      <c r="L61" s="466">
        <v>44000</v>
      </c>
      <c r="M61" s="610"/>
      <c r="N61" s="610"/>
    </row>
    <row r="62" spans="1:14" s="343" customFormat="1" x14ac:dyDescent="0.2">
      <c r="A62" s="1526" t="s">
        <v>1010</v>
      </c>
      <c r="B62" s="615">
        <v>2550</v>
      </c>
      <c r="C62" s="466"/>
      <c r="D62" s="466"/>
      <c r="E62" s="466">
        <v>403</v>
      </c>
      <c r="F62" s="466"/>
      <c r="G62" s="466"/>
      <c r="H62" s="466"/>
      <c r="I62" s="467"/>
      <c r="J62" s="467"/>
      <c r="K62" s="1694">
        <f t="shared" si="7"/>
        <v>403</v>
      </c>
      <c r="L62" s="466">
        <v>5000</v>
      </c>
      <c r="M62" s="610"/>
      <c r="N62" s="610"/>
    </row>
    <row r="63" spans="1:14" s="610" customFormat="1" x14ac:dyDescent="0.2">
      <c r="A63" s="1526" t="s">
        <v>102</v>
      </c>
      <c r="B63" s="615">
        <v>2560</v>
      </c>
      <c r="C63" s="466"/>
      <c r="D63" s="466"/>
      <c r="E63" s="466">
        <v>6297</v>
      </c>
      <c r="F63" s="466"/>
      <c r="G63" s="466"/>
      <c r="H63" s="466"/>
      <c r="I63" s="467"/>
      <c r="J63" s="467"/>
      <c r="K63" s="1694">
        <f t="shared" si="7"/>
        <v>6297</v>
      </c>
      <c r="L63" s="466">
        <v>16000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146127</v>
      </c>
      <c r="D65" s="1692">
        <f t="shared" ref="D65:L65" si="8">SUM(D59:D64)</f>
        <v>19007</v>
      </c>
      <c r="E65" s="1692">
        <f t="shared" si="8"/>
        <v>32351</v>
      </c>
      <c r="F65" s="1692">
        <f t="shared" si="8"/>
        <v>14348</v>
      </c>
      <c r="G65" s="1692">
        <f t="shared" si="8"/>
        <v>0</v>
      </c>
      <c r="H65" s="1692">
        <f t="shared" si="8"/>
        <v>0</v>
      </c>
      <c r="I65" s="1692">
        <f t="shared" si="8"/>
        <v>0</v>
      </c>
      <c r="J65" s="1692">
        <f t="shared" si="8"/>
        <v>0</v>
      </c>
      <c r="K65" s="1692">
        <f t="shared" si="8"/>
        <v>211833</v>
      </c>
      <c r="L65" s="1692">
        <f t="shared" si="8"/>
        <v>233550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3321</v>
      </c>
      <c r="F69" s="466"/>
      <c r="G69" s="466"/>
      <c r="H69" s="466"/>
      <c r="I69" s="467"/>
      <c r="J69" s="467"/>
      <c r="K69" s="1694">
        <f>SUM(C69:J69)</f>
        <v>3321</v>
      </c>
      <c r="L69" s="466">
        <v>3600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164997</v>
      </c>
      <c r="F71" s="466">
        <v>28124</v>
      </c>
      <c r="G71" s="466"/>
      <c r="H71" s="466"/>
      <c r="I71" s="467"/>
      <c r="J71" s="467"/>
      <c r="K71" s="1694">
        <f>SUM(C71:J71)</f>
        <v>193121</v>
      </c>
      <c r="L71" s="466">
        <v>185000</v>
      </c>
      <c r="M71" s="610"/>
      <c r="N71" s="610"/>
    </row>
    <row r="72" spans="1:14" s="343" customFormat="1" ht="12.75" customHeight="1" thickBot="1" x14ac:dyDescent="0.25">
      <c r="A72" s="1690" t="s">
        <v>37</v>
      </c>
      <c r="B72" s="1697" t="s">
        <v>36</v>
      </c>
      <c r="C72" s="1692">
        <f>SUM(C67:C71)</f>
        <v>0</v>
      </c>
      <c r="D72" s="1692">
        <f t="shared" ref="D72:K72" si="9">SUM(D67:D71)</f>
        <v>0</v>
      </c>
      <c r="E72" s="1692">
        <f t="shared" si="9"/>
        <v>168318</v>
      </c>
      <c r="F72" s="1692">
        <f t="shared" si="9"/>
        <v>28124</v>
      </c>
      <c r="G72" s="1692">
        <f t="shared" si="9"/>
        <v>0</v>
      </c>
      <c r="H72" s="1692">
        <f t="shared" si="9"/>
        <v>0</v>
      </c>
      <c r="I72" s="1692">
        <f t="shared" si="9"/>
        <v>0</v>
      </c>
      <c r="J72" s="1692">
        <f t="shared" si="9"/>
        <v>0</v>
      </c>
      <c r="K72" s="1692">
        <f t="shared" si="9"/>
        <v>196442</v>
      </c>
      <c r="L72" s="1692">
        <f>SUM(L67:L71)</f>
        <v>188600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1031280</v>
      </c>
      <c r="D74" s="1699">
        <f t="shared" ref="D74:K74" si="10">SUM(D42,D47,D53,D57,D65,D72,D73)</f>
        <v>155085</v>
      </c>
      <c r="E74" s="1699">
        <f t="shared" si="10"/>
        <v>292817</v>
      </c>
      <c r="F74" s="1699">
        <f t="shared" si="10"/>
        <v>55052</v>
      </c>
      <c r="G74" s="1699">
        <f t="shared" si="10"/>
        <v>0</v>
      </c>
      <c r="H74" s="1699">
        <f t="shared" si="10"/>
        <v>8715</v>
      </c>
      <c r="I74" s="1699">
        <f t="shared" si="10"/>
        <v>0</v>
      </c>
      <c r="J74" s="1699">
        <f t="shared" si="10"/>
        <v>0</v>
      </c>
      <c r="K74" s="1699">
        <f t="shared" si="10"/>
        <v>1542949</v>
      </c>
      <c r="L74" s="1699">
        <f>SUM(L42,L47,L53,L57,L65,L72,L73)</f>
        <v>1549703</v>
      </c>
    </row>
    <row r="75" spans="1:14" s="259" customFormat="1" ht="15.75" customHeight="1" thickTop="1" thickBot="1" x14ac:dyDescent="0.25">
      <c r="A75" s="1632" t="s">
        <v>49</v>
      </c>
      <c r="B75" s="1633" t="s">
        <v>596</v>
      </c>
      <c r="C75" s="573"/>
      <c r="D75" s="573"/>
      <c r="E75" s="573">
        <v>13671</v>
      </c>
      <c r="F75" s="573"/>
      <c r="G75" s="573"/>
      <c r="H75" s="573"/>
      <c r="I75" s="531"/>
      <c r="J75" s="531"/>
      <c r="K75" s="1692">
        <f>SUM(C75:J75)</f>
        <v>13671</v>
      </c>
      <c r="L75" s="576">
        <v>13413</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157523</v>
      </c>
      <c r="I86" s="477"/>
      <c r="J86" s="477"/>
      <c r="K86" s="1699">
        <f t="shared" ref="K86:K98" si="12">H86</f>
        <v>157523</v>
      </c>
      <c r="L86" s="530">
        <v>216000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157523</v>
      </c>
      <c r="I92" s="477"/>
      <c r="J92" s="477"/>
      <c r="K92" s="1699">
        <f t="shared" si="12"/>
        <v>157523</v>
      </c>
      <c r="L92" s="1692">
        <f>SUM(L85:L91)</f>
        <v>216000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157523</v>
      </c>
      <c r="I102" s="477"/>
      <c r="J102" s="477"/>
      <c r="K102" s="1699">
        <f>SUM(K84,K92,K100,K101)</f>
        <v>157523</v>
      </c>
      <c r="L102" s="1699">
        <f>SUM(L84,L92,L100,L101)</f>
        <v>216000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3091675</v>
      </c>
      <c r="D114" s="1692">
        <f t="shared" ref="D114:K114" si="13">SUM(D33,D74,D75,D102,D112,D113)</f>
        <v>418412</v>
      </c>
      <c r="E114" s="1692">
        <f t="shared" si="13"/>
        <v>314958</v>
      </c>
      <c r="F114" s="1692">
        <f t="shared" si="13"/>
        <v>101617</v>
      </c>
      <c r="G114" s="1692">
        <f t="shared" si="13"/>
        <v>0</v>
      </c>
      <c r="H114" s="1692">
        <f>SUM(H33,H74,H75,H102,H112,H113)</f>
        <v>166238</v>
      </c>
      <c r="I114" s="1692">
        <f t="shared" si="13"/>
        <v>148086</v>
      </c>
      <c r="J114" s="1692">
        <f t="shared" si="13"/>
        <v>0</v>
      </c>
      <c r="K114" s="1692">
        <f t="shared" si="13"/>
        <v>4240986</v>
      </c>
      <c r="L114" s="1692">
        <f>SUM(L33,L74,L75,L102,L112,L113)</f>
        <v>4242557</v>
      </c>
    </row>
    <row r="115" spans="1:14" ht="13.5" thickTop="1" x14ac:dyDescent="0.2">
      <c r="A115" s="2202" t="s">
        <v>1053</v>
      </c>
      <c r="B115" s="2203"/>
      <c r="C115" s="619"/>
      <c r="D115" s="619"/>
      <c r="E115" s="619"/>
      <c r="F115" s="619"/>
      <c r="G115" s="619"/>
      <c r="H115" s="619"/>
      <c r="I115" s="619"/>
      <c r="J115" s="619"/>
      <c r="K115" s="1706">
        <f>'Revenues 9-14'!C275-'Expenditures 15-22'!K114</f>
        <v>510327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165935</v>
      </c>
      <c r="D124" s="466">
        <v>25813</v>
      </c>
      <c r="E124" s="466">
        <v>128003</v>
      </c>
      <c r="F124" s="466">
        <v>142317</v>
      </c>
      <c r="G124" s="466">
        <v>19363</v>
      </c>
      <c r="H124" s="466"/>
      <c r="I124" s="467">
        <v>2207</v>
      </c>
      <c r="J124" s="467"/>
      <c r="K124" s="1692">
        <f>SUM(C124:J124)</f>
        <v>483638</v>
      </c>
      <c r="L124" s="466">
        <v>493700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165935</v>
      </c>
      <c r="D127" s="1692">
        <f t="shared" ref="D127:L127" si="14">SUM(D122:D126)</f>
        <v>25813</v>
      </c>
      <c r="E127" s="1692">
        <f t="shared" si="14"/>
        <v>128003</v>
      </c>
      <c r="F127" s="1692">
        <f t="shared" si="14"/>
        <v>142317</v>
      </c>
      <c r="G127" s="1692">
        <f t="shared" si="14"/>
        <v>19363</v>
      </c>
      <c r="H127" s="1692">
        <f t="shared" si="14"/>
        <v>0</v>
      </c>
      <c r="I127" s="1692">
        <f t="shared" si="14"/>
        <v>2207</v>
      </c>
      <c r="J127" s="1692">
        <f t="shared" si="14"/>
        <v>0</v>
      </c>
      <c r="K127" s="1692">
        <f t="shared" si="14"/>
        <v>483638</v>
      </c>
      <c r="L127" s="1692">
        <f t="shared" si="14"/>
        <v>493700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165935</v>
      </c>
      <c r="D129" s="1699">
        <f t="shared" ref="D129:L129" si="15">SUM(D120,D127,D128)</f>
        <v>25813</v>
      </c>
      <c r="E129" s="1699">
        <f t="shared" si="15"/>
        <v>128003</v>
      </c>
      <c r="F129" s="1699">
        <f t="shared" si="15"/>
        <v>142317</v>
      </c>
      <c r="G129" s="1699">
        <f t="shared" si="15"/>
        <v>19363</v>
      </c>
      <c r="H129" s="1699">
        <f t="shared" si="15"/>
        <v>0</v>
      </c>
      <c r="I129" s="1699">
        <f t="shared" si="15"/>
        <v>2207</v>
      </c>
      <c r="J129" s="1699">
        <f t="shared" si="15"/>
        <v>0</v>
      </c>
      <c r="K129" s="1699">
        <f t="shared" si="15"/>
        <v>483638</v>
      </c>
      <c r="L129" s="1699">
        <f t="shared" si="15"/>
        <v>493700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4"/>
      <c r="C151" s="1692">
        <f>SUM(C129,C130,C139,C149,C150)</f>
        <v>165935</v>
      </c>
      <c r="D151" s="1692">
        <f t="shared" ref="D151:K151" si="16">SUM(D129,D130,D139,D149,D150)</f>
        <v>25813</v>
      </c>
      <c r="E151" s="1692">
        <f t="shared" si="16"/>
        <v>128003</v>
      </c>
      <c r="F151" s="1692">
        <f t="shared" si="16"/>
        <v>142317</v>
      </c>
      <c r="G151" s="1692">
        <f t="shared" si="16"/>
        <v>19363</v>
      </c>
      <c r="H151" s="1692">
        <f t="shared" si="16"/>
        <v>0</v>
      </c>
      <c r="I151" s="1692">
        <f t="shared" si="16"/>
        <v>2207</v>
      </c>
      <c r="J151" s="1692">
        <f t="shared" si="16"/>
        <v>0</v>
      </c>
      <c r="K151" s="1692">
        <f t="shared" si="16"/>
        <v>483638</v>
      </c>
      <c r="L151" s="1692">
        <f>SUM(L129,L130,L139,L149,L150)</f>
        <v>493700</v>
      </c>
    </row>
    <row r="152" spans="1:14" ht="12.75" customHeight="1" thickTop="1" x14ac:dyDescent="0.2">
      <c r="A152" s="2195" t="s">
        <v>1240</v>
      </c>
      <c r="B152" s="2196"/>
      <c r="C152" s="619"/>
      <c r="D152" s="619"/>
      <c r="E152" s="619"/>
      <c r="F152" s="619"/>
      <c r="G152" s="619"/>
      <c r="H152" s="619"/>
      <c r="I152" s="619"/>
      <c r="J152" s="617"/>
      <c r="K152" s="1706">
        <f>'Revenues 9-14'!D275-'Expenditures 15-22'!K151</f>
        <v>85846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705804</v>
      </c>
      <c r="I169" s="617"/>
      <c r="J169" s="617"/>
      <c r="K169" s="1693">
        <f>SUM(C169:H169)</f>
        <v>705804</v>
      </c>
      <c r="L169" s="657">
        <v>704863</v>
      </c>
    </row>
    <row r="170" spans="1:14" ht="33.75" customHeight="1" x14ac:dyDescent="0.2">
      <c r="A170" s="670" t="s">
        <v>1769</v>
      </c>
      <c r="B170" s="672" t="s">
        <v>31</v>
      </c>
      <c r="C170" s="617"/>
      <c r="D170" s="617"/>
      <c r="E170" s="617"/>
      <c r="F170" s="617"/>
      <c r="G170" s="617"/>
      <c r="H170" s="569">
        <v>262031</v>
      </c>
      <c r="I170" s="617"/>
      <c r="J170" s="617"/>
      <c r="K170" s="1693">
        <f>SUM(C170:J170)</f>
        <v>262031</v>
      </c>
      <c r="L170" s="569">
        <v>255266</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967835</v>
      </c>
      <c r="I172" s="639"/>
      <c r="J172" s="617"/>
      <c r="K172" s="1699">
        <f>SUM(K168,K169,K170,K171)</f>
        <v>967835</v>
      </c>
      <c r="L172" s="1699">
        <f>SUM(L168,L169,L170,L171)</f>
        <v>960129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967835</v>
      </c>
      <c r="I174" s="639"/>
      <c r="J174" s="617"/>
      <c r="K174" s="1699">
        <f>SUM(K160,K172,K173)</f>
        <v>967835</v>
      </c>
      <c r="L174" s="1699">
        <f>SUM(L160,L172,L173)</f>
        <v>960129</v>
      </c>
    </row>
    <row r="175" spans="1:14" ht="13.5" thickTop="1" x14ac:dyDescent="0.2">
      <c r="A175" s="2202" t="s">
        <v>1053</v>
      </c>
      <c r="B175" s="2203"/>
      <c r="C175" s="617"/>
      <c r="D175" s="617"/>
      <c r="E175" s="617"/>
      <c r="F175" s="617"/>
      <c r="G175" s="617"/>
      <c r="H175" s="619"/>
      <c r="I175" s="617"/>
      <c r="J175" s="617"/>
      <c r="K175" s="1706">
        <f>'Revenues 9-14'!E275-'Expenditures 15-22'!K174</f>
        <v>42486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54209</v>
      </c>
      <c r="F182" s="466"/>
      <c r="G182" s="466"/>
      <c r="H182" s="466"/>
      <c r="I182" s="467"/>
      <c r="J182" s="467"/>
      <c r="K182" s="1693">
        <f>SUM(C182:J182)</f>
        <v>54209</v>
      </c>
      <c r="L182" s="466">
        <v>52000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54209</v>
      </c>
      <c r="F184" s="1699">
        <f t="shared" si="17"/>
        <v>0</v>
      </c>
      <c r="G184" s="1699">
        <f t="shared" si="17"/>
        <v>0</v>
      </c>
      <c r="H184" s="1699">
        <f t="shared" si="17"/>
        <v>0</v>
      </c>
      <c r="I184" s="1699">
        <f t="shared" si="17"/>
        <v>0</v>
      </c>
      <c r="J184" s="1699">
        <f t="shared" si="17"/>
        <v>0</v>
      </c>
      <c r="K184" s="1699">
        <f>SUM(K180,K182,K183)</f>
        <v>54209</v>
      </c>
      <c r="L184" s="1699">
        <f>SUM(L180, L182:L183)</f>
        <v>52000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54209</v>
      </c>
      <c r="F210" s="1692">
        <f>SUM(F184,F185)</f>
        <v>0</v>
      </c>
      <c r="G210" s="1692">
        <f>SUM(G184,G185)</f>
        <v>0</v>
      </c>
      <c r="H210" s="1692">
        <f>SUM(H184,H185,H196,H208,H209)</f>
        <v>0</v>
      </c>
      <c r="I210" s="1692">
        <f>SUM(I184,I185)</f>
        <v>0</v>
      </c>
      <c r="J210" s="1692">
        <f>SUM(J184,J185)</f>
        <v>0</v>
      </c>
      <c r="K210" s="1693">
        <f>SUM(K184,K185,K196,K208,K209)</f>
        <v>54209</v>
      </c>
      <c r="L210" s="1692">
        <f>SUM(L184,L185,L196,L208,L209)</f>
        <v>52000</v>
      </c>
    </row>
    <row r="211" spans="1:14" ht="13.5" thickTop="1" x14ac:dyDescent="0.2">
      <c r="A211" s="2202" t="s">
        <v>1053</v>
      </c>
      <c r="B211" s="2203"/>
      <c r="C211" s="619"/>
      <c r="D211" s="619"/>
      <c r="E211" s="619"/>
      <c r="F211" s="619"/>
      <c r="G211" s="619"/>
      <c r="H211" s="619"/>
      <c r="I211" s="617"/>
      <c r="J211" s="617"/>
      <c r="K211" s="1706">
        <f>'Revenues 9-14'!F275-'Expenditures 15-22'!K210</f>
        <v>1804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23501</v>
      </c>
      <c r="E215" s="617"/>
      <c r="F215" s="617"/>
      <c r="G215" s="617"/>
      <c r="H215" s="617"/>
      <c r="I215" s="617"/>
      <c r="J215" s="617"/>
      <c r="K215" s="1693">
        <f>D215</f>
        <v>23501</v>
      </c>
      <c r="L215" s="466">
        <v>27010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35541</v>
      </c>
      <c r="E217" s="617"/>
      <c r="F217" s="617"/>
      <c r="G217" s="617"/>
      <c r="H217" s="617"/>
      <c r="I217" s="617"/>
      <c r="J217" s="617"/>
      <c r="K217" s="1693">
        <f t="shared" si="19"/>
        <v>35541</v>
      </c>
      <c r="L217" s="466">
        <v>51620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3588</v>
      </c>
      <c r="E219" s="617"/>
      <c r="F219" s="617"/>
      <c r="G219" s="617"/>
      <c r="H219" s="617"/>
      <c r="I219" s="617"/>
      <c r="J219" s="617"/>
      <c r="K219" s="1693">
        <f t="shared" si="19"/>
        <v>3588</v>
      </c>
      <c r="L219" s="466">
        <v>20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378</v>
      </c>
      <c r="E223" s="617"/>
      <c r="F223" s="617"/>
      <c r="G223" s="617"/>
      <c r="H223" s="617"/>
      <c r="I223" s="617"/>
      <c r="J223" s="617"/>
      <c r="K223" s="1693">
        <f t="shared" si="19"/>
        <v>378</v>
      </c>
      <c r="L223" s="466">
        <v>900</v>
      </c>
    </row>
    <row r="224" spans="1:14" x14ac:dyDescent="0.2">
      <c r="A224" s="1526" t="s">
        <v>1021</v>
      </c>
      <c r="B224" s="615">
        <v>1600</v>
      </c>
      <c r="C224" s="617"/>
      <c r="D224" s="466">
        <v>51</v>
      </c>
      <c r="E224" s="617"/>
      <c r="F224" s="617"/>
      <c r="G224" s="617"/>
      <c r="H224" s="617"/>
      <c r="I224" s="617"/>
      <c r="J224" s="617"/>
      <c r="K224" s="1693">
        <f t="shared" si="19"/>
        <v>51</v>
      </c>
      <c r="L224" s="466">
        <v>1000</v>
      </c>
    </row>
    <row r="225" spans="1:12" x14ac:dyDescent="0.2">
      <c r="A225" s="1526" t="s">
        <v>1044</v>
      </c>
      <c r="B225" s="615">
        <v>1650</v>
      </c>
      <c r="C225" s="617"/>
      <c r="D225" s="466">
        <v>443</v>
      </c>
      <c r="E225" s="617"/>
      <c r="F225" s="617"/>
      <c r="G225" s="617"/>
      <c r="H225" s="617"/>
      <c r="I225" s="617"/>
      <c r="J225" s="617"/>
      <c r="K225" s="1693">
        <f t="shared" si="19"/>
        <v>443</v>
      </c>
      <c r="L225" s="466">
        <v>500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75</v>
      </c>
      <c r="E227" s="617"/>
      <c r="F227" s="617"/>
      <c r="G227" s="617"/>
      <c r="H227" s="617"/>
      <c r="I227" s="617"/>
      <c r="J227" s="617"/>
      <c r="K227" s="1693">
        <f t="shared" si="19"/>
        <v>75</v>
      </c>
      <c r="L227" s="466">
        <v>450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63577</v>
      </c>
      <c r="E229" s="617"/>
      <c r="F229" s="617"/>
      <c r="G229" s="617"/>
      <c r="H229" s="617"/>
      <c r="I229" s="617"/>
      <c r="J229" s="617"/>
      <c r="K229" s="1692">
        <f>SUM(K215:K228)</f>
        <v>63577</v>
      </c>
      <c r="L229" s="1692">
        <f>SUM(L215:L228)</f>
        <v>81500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1218</v>
      </c>
      <c r="E232" s="617"/>
      <c r="F232" s="617"/>
      <c r="G232" s="617"/>
      <c r="H232" s="617"/>
      <c r="I232" s="617"/>
      <c r="J232" s="617"/>
      <c r="K232" s="1693">
        <f t="shared" ref="K232:K237" si="20">D232</f>
        <v>1218</v>
      </c>
      <c r="L232" s="466">
        <v>1300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4526</v>
      </c>
      <c r="E234" s="617"/>
      <c r="F234" s="617"/>
      <c r="G234" s="617"/>
      <c r="H234" s="617"/>
      <c r="I234" s="617"/>
      <c r="J234" s="617"/>
      <c r="K234" s="1693">
        <f t="shared" si="20"/>
        <v>4526</v>
      </c>
      <c r="L234" s="466">
        <v>5700</v>
      </c>
    </row>
    <row r="235" spans="1:12" x14ac:dyDescent="0.2">
      <c r="A235" s="1526" t="s">
        <v>208</v>
      </c>
      <c r="B235" s="615">
        <v>2140</v>
      </c>
      <c r="C235" s="617"/>
      <c r="D235" s="466">
        <v>1033</v>
      </c>
      <c r="E235" s="617"/>
      <c r="F235" s="617"/>
      <c r="G235" s="617"/>
      <c r="H235" s="617"/>
      <c r="I235" s="617"/>
      <c r="J235" s="617"/>
      <c r="K235" s="1693">
        <f t="shared" si="20"/>
        <v>1033</v>
      </c>
      <c r="L235" s="466">
        <v>1200</v>
      </c>
    </row>
    <row r="236" spans="1:12" x14ac:dyDescent="0.2">
      <c r="A236" s="1526" t="s">
        <v>209</v>
      </c>
      <c r="B236" s="615">
        <v>2150</v>
      </c>
      <c r="C236" s="617"/>
      <c r="D236" s="466">
        <v>1350</v>
      </c>
      <c r="E236" s="617"/>
      <c r="F236" s="617"/>
      <c r="G236" s="617"/>
      <c r="H236" s="617"/>
      <c r="I236" s="617"/>
      <c r="J236" s="617"/>
      <c r="K236" s="1693">
        <f t="shared" si="20"/>
        <v>1350</v>
      </c>
      <c r="L236" s="466">
        <v>1400</v>
      </c>
    </row>
    <row r="237" spans="1:12" x14ac:dyDescent="0.2">
      <c r="A237" s="1526" t="s">
        <v>167</v>
      </c>
      <c r="B237" s="615">
        <v>2190</v>
      </c>
      <c r="C237" s="617"/>
      <c r="D237" s="466">
        <v>2992</v>
      </c>
      <c r="E237" s="617"/>
      <c r="F237" s="617"/>
      <c r="G237" s="617"/>
      <c r="H237" s="617"/>
      <c r="I237" s="617"/>
      <c r="J237" s="617"/>
      <c r="K237" s="1693">
        <f t="shared" si="20"/>
        <v>2992</v>
      </c>
      <c r="L237" s="466">
        <v>5400</v>
      </c>
    </row>
    <row r="238" spans="1:12" ht="12.75" customHeight="1" thickBot="1" x14ac:dyDescent="0.25">
      <c r="A238" s="1690" t="s">
        <v>581</v>
      </c>
      <c r="B238" s="1697" t="s">
        <v>740</v>
      </c>
      <c r="C238" s="617"/>
      <c r="D238" s="1692">
        <f>SUM(D232:D237)</f>
        <v>11119</v>
      </c>
      <c r="E238" s="617"/>
      <c r="F238" s="617"/>
      <c r="G238" s="617"/>
      <c r="H238" s="617"/>
      <c r="I238" s="617"/>
      <c r="J238" s="617"/>
      <c r="K238" s="1692">
        <f>SUM(K232:K237)</f>
        <v>11119</v>
      </c>
      <c r="L238" s="1692">
        <f>SUM(L232:L237)</f>
        <v>15000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199</v>
      </c>
      <c r="E240" s="617"/>
      <c r="F240" s="617"/>
      <c r="G240" s="617"/>
      <c r="H240" s="617"/>
      <c r="I240" s="617"/>
      <c r="J240" s="617"/>
      <c r="K240" s="1694">
        <f>D240</f>
        <v>199</v>
      </c>
      <c r="L240" s="481">
        <v>330</v>
      </c>
    </row>
    <row r="241" spans="1:12" x14ac:dyDescent="0.2">
      <c r="A241" s="1526" t="s">
        <v>869</v>
      </c>
      <c r="B241" s="615">
        <v>2220</v>
      </c>
      <c r="C241" s="617"/>
      <c r="D241" s="466">
        <v>5530</v>
      </c>
      <c r="E241" s="617"/>
      <c r="F241" s="617"/>
      <c r="G241" s="617"/>
      <c r="H241" s="617"/>
      <c r="I241" s="617"/>
      <c r="J241" s="617"/>
      <c r="K241" s="1694">
        <f>D241</f>
        <v>5530</v>
      </c>
      <c r="L241" s="466">
        <v>5900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5729</v>
      </c>
      <c r="E243" s="617"/>
      <c r="F243" s="617"/>
      <c r="G243" s="617"/>
      <c r="H243" s="617"/>
      <c r="I243" s="617"/>
      <c r="J243" s="617"/>
      <c r="K243" s="1692">
        <f>SUM(K240:K242)</f>
        <v>5729</v>
      </c>
      <c r="L243" s="1692">
        <f>SUM(L240:L242)</f>
        <v>6230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13225</v>
      </c>
      <c r="E246" s="617"/>
      <c r="F246" s="617"/>
      <c r="G246" s="617"/>
      <c r="H246" s="617"/>
      <c r="I246" s="617"/>
      <c r="J246" s="617"/>
      <c r="K246" s="1694">
        <f t="shared" ref="K246:K256" si="21">D246</f>
        <v>13225</v>
      </c>
      <c r="L246" s="466">
        <v>14300</v>
      </c>
    </row>
    <row r="247" spans="1:12" x14ac:dyDescent="0.2">
      <c r="A247" s="1526" t="s">
        <v>873</v>
      </c>
      <c r="B247" s="615">
        <v>2330</v>
      </c>
      <c r="C247" s="617"/>
      <c r="D247" s="466">
        <v>914</v>
      </c>
      <c r="E247" s="617"/>
      <c r="F247" s="617"/>
      <c r="G247" s="617"/>
      <c r="H247" s="617"/>
      <c r="I247" s="617"/>
      <c r="J247" s="617"/>
      <c r="K247" s="1694">
        <f t="shared" si="21"/>
        <v>914</v>
      </c>
      <c r="L247" s="466">
        <v>1000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14139</v>
      </c>
      <c r="E257" s="617"/>
      <c r="F257" s="617"/>
      <c r="G257" s="617"/>
      <c r="H257" s="617"/>
      <c r="I257" s="617"/>
      <c r="J257" s="617"/>
      <c r="K257" s="1692">
        <f>SUM(K245:K256)</f>
        <v>14139</v>
      </c>
      <c r="L257" s="1692">
        <f>SUM(L245:L256)</f>
        <v>15300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15514</v>
      </c>
      <c r="E259" s="617"/>
      <c r="F259" s="617"/>
      <c r="G259" s="617"/>
      <c r="H259" s="617"/>
      <c r="I259" s="617"/>
      <c r="J259" s="617"/>
      <c r="K259" s="1694">
        <f>D259</f>
        <v>15514</v>
      </c>
      <c r="L259" s="481">
        <v>15500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15514</v>
      </c>
      <c r="E261" s="617"/>
      <c r="F261" s="617"/>
      <c r="G261" s="617"/>
      <c r="H261" s="617"/>
      <c r="I261" s="617"/>
      <c r="J261" s="617"/>
      <c r="K261" s="1692">
        <f>SUM(K259:K260)</f>
        <v>15514</v>
      </c>
      <c r="L261" s="1692">
        <f>SUM(L259:L260)</f>
        <v>15500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2971</v>
      </c>
      <c r="E263" s="617"/>
      <c r="F263" s="617"/>
      <c r="G263" s="617"/>
      <c r="H263" s="617"/>
      <c r="I263" s="617"/>
      <c r="J263" s="617"/>
      <c r="K263" s="1694">
        <f>D263</f>
        <v>2971</v>
      </c>
      <c r="L263" s="481">
        <v>3100</v>
      </c>
    </row>
    <row r="264" spans="1:14" x14ac:dyDescent="0.2">
      <c r="A264" s="1526" t="s">
        <v>483</v>
      </c>
      <c r="B264" s="686">
        <v>2520</v>
      </c>
      <c r="C264" s="617"/>
      <c r="D264" s="466">
        <v>20099</v>
      </c>
      <c r="E264" s="617"/>
      <c r="F264" s="617"/>
      <c r="G264" s="617"/>
      <c r="H264" s="617"/>
      <c r="I264" s="617"/>
      <c r="J264" s="617"/>
      <c r="K264" s="1694">
        <f t="shared" ref="K264:K269" si="22">D264</f>
        <v>20099</v>
      </c>
      <c r="L264" s="466">
        <v>20500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33060</v>
      </c>
      <c r="E266" s="617"/>
      <c r="F266" s="617"/>
      <c r="G266" s="617"/>
      <c r="H266" s="617"/>
      <c r="I266" s="617"/>
      <c r="J266" s="617"/>
      <c r="K266" s="1694">
        <f t="shared" si="22"/>
        <v>33060</v>
      </c>
      <c r="L266" s="466">
        <v>45000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56130</v>
      </c>
      <c r="E270" s="617"/>
      <c r="F270" s="617"/>
      <c r="G270" s="617"/>
      <c r="H270" s="617"/>
      <c r="I270" s="617"/>
      <c r="J270" s="617"/>
      <c r="K270" s="1692">
        <f>SUM(K263:K269)</f>
        <v>56130</v>
      </c>
      <c r="L270" s="1692">
        <f>SUM(L263:L269)</f>
        <v>68600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102631</v>
      </c>
      <c r="E279" s="617"/>
      <c r="F279" s="617"/>
      <c r="G279" s="617"/>
      <c r="H279" s="617"/>
      <c r="I279" s="617"/>
      <c r="J279" s="617"/>
      <c r="K279" s="1699">
        <f>SUM(K238,K243,K257,K261,K270,K277,K278)</f>
        <v>102631</v>
      </c>
      <c r="L279" s="1699">
        <f>SUM(L238,L243,L257,L261,L270,L277,L278)</f>
        <v>120630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166208</v>
      </c>
      <c r="E295" s="617"/>
      <c r="F295" s="617"/>
      <c r="G295" s="617"/>
      <c r="H295" s="1692">
        <f>H293</f>
        <v>0</v>
      </c>
      <c r="I295" s="617"/>
      <c r="J295" s="617"/>
      <c r="K295" s="1692">
        <f>SUM(K229,K279,K280,K285,K293,K294)</f>
        <v>166208</v>
      </c>
      <c r="L295" s="1692">
        <f>SUM(L229,L279,L280,L285,L293,L294)</f>
        <v>202130</v>
      </c>
    </row>
    <row r="296" spans="1:14" ht="13.5" thickTop="1" x14ac:dyDescent="0.2">
      <c r="A296" s="2202" t="s">
        <v>1053</v>
      </c>
      <c r="B296" s="2203"/>
      <c r="C296" s="617"/>
      <c r="D296" s="619"/>
      <c r="E296" s="617"/>
      <c r="F296" s="617"/>
      <c r="G296" s="617"/>
      <c r="H296" s="688"/>
      <c r="I296" s="617"/>
      <c r="J296" s="617"/>
      <c r="K296" s="1706">
        <f>'Revenues 9-14'!G275-'Expenditures 15-22'!K295</f>
        <v>65260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13924</v>
      </c>
      <c r="F301" s="466">
        <v>7840</v>
      </c>
      <c r="G301" s="466">
        <v>42984</v>
      </c>
      <c r="H301" s="466"/>
      <c r="I301" s="467"/>
      <c r="J301" s="467"/>
      <c r="K301" s="1693">
        <f>SUM(C301:J301)</f>
        <v>64748</v>
      </c>
      <c r="L301" s="467">
        <v>33500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13924</v>
      </c>
      <c r="F303" s="1699">
        <f t="shared" si="23"/>
        <v>7840</v>
      </c>
      <c r="G303" s="1699">
        <f t="shared" si="23"/>
        <v>42984</v>
      </c>
      <c r="H303" s="1699">
        <f t="shared" si="23"/>
        <v>0</v>
      </c>
      <c r="I303" s="1699">
        <f t="shared" si="23"/>
        <v>0</v>
      </c>
      <c r="J303" s="1699">
        <f t="shared" si="23"/>
        <v>0</v>
      </c>
      <c r="K303" s="1699">
        <f t="shared" si="23"/>
        <v>64748</v>
      </c>
      <c r="L303" s="1699">
        <f t="shared" si="23"/>
        <v>33500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13924</v>
      </c>
      <c r="F312" s="1692">
        <f>SUM(F303)</f>
        <v>7840</v>
      </c>
      <c r="G312" s="1692">
        <f>SUM(G303)</f>
        <v>42984</v>
      </c>
      <c r="H312" s="1692">
        <f>SUM(H303,H310)</f>
        <v>0</v>
      </c>
      <c r="I312" s="1692">
        <f>SUM(I303)</f>
        <v>0</v>
      </c>
      <c r="J312" s="1692">
        <f>SUM(J303)</f>
        <v>0</v>
      </c>
      <c r="K312" s="1692">
        <f>SUM(K303,K310,K311)</f>
        <v>64748</v>
      </c>
      <c r="L312" s="1692">
        <f>SUM(L303,L310,L311)</f>
        <v>33500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-59031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8" t="s">
        <v>1053</v>
      </c>
      <c r="B343" s="2189"/>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2" t="s">
        <v>1053</v>
      </c>
      <c r="B368" s="2203"/>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schemas.openxmlformats.org/package/2006/metadata/core-properties"/>
    <ds:schemaRef ds:uri="d21dc803-237d-4c68-8692-8d731fd29118"/>
    <ds:schemaRef ds:uri="http://schemas.microsoft.com/office/infopath/2007/PartnerControls"/>
    <ds:schemaRef ds:uri="http://schemas.microsoft.com/office/2006/documentManagement/types"/>
    <ds:schemaRef ds:uri="http://purl.org/dc/elements/1.1/"/>
    <ds:schemaRef ds:uri="http://schemas.microsoft.com/sharepoint/v3"/>
    <ds:schemaRef ds:uri="4d435f69-8686-490b-bd6d-b153bf22ab50"/>
    <ds:schemaRef ds:uri="6ce3111e-7420-4802-b50a-75d4e9a0b980"/>
    <ds:schemaRef ds:uri="http://purl.org/dc/dcmitype/"/>
    <ds:schemaRef ds:uri="http://purl.org/dc/te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2018-09-21T14:44:24Z</cp:lastPrinted>
  <dcterms:created xsi:type="dcterms:W3CDTF">2003-10-29T19:06:34Z</dcterms:created>
  <dcterms:modified xsi:type="dcterms:W3CDTF">2018-12-07T14:43:54Z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130</vt:lpwstr>
  </property>
  <property fmtid="{D5CDD505-2E9C-101B-9397-08002B2CF9AE}" pid="8" name="workpaperIndex">
    <vt:lpwstr>
    </vt:lpwstr>
  </property>
</Properties>
</file>