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1">TOC!$A$1:$G$80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6" i="181" l="1"/>
  <c r="D20" i="181"/>
  <c r="D18" i="181"/>
  <c r="D17" i="18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B7793" i="106"/>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E26" i="181"/>
  <c r="F26" i="181" s="1"/>
  <c r="G26" i="181" s="1"/>
  <c r="E25" i="181"/>
  <c r="F25" i="181" s="1"/>
  <c r="G25" i="181" s="1"/>
  <c r="E24" i="181"/>
  <c r="F24" i="181" s="1"/>
  <c r="G24" i="181" s="1"/>
  <c r="E23" i="181"/>
  <c r="F23" i="181" s="1"/>
  <c r="G23" i="181" s="1"/>
  <c r="E22" i="181"/>
  <c r="F22" i="181" s="1"/>
  <c r="G22" i="181" s="1"/>
  <c r="F21" i="181"/>
  <c r="G21" i="181" s="1"/>
  <c r="E21" i="181"/>
  <c r="E20" i="181"/>
  <c r="F20" i="181" s="1"/>
  <c r="G20" i="181" s="1"/>
  <c r="E19" i="181"/>
  <c r="F19" i="181" s="1"/>
  <c r="G19" i="181" s="1"/>
  <c r="E18" i="181"/>
  <c r="F18" i="181" s="1"/>
  <c r="G18" i="181" s="1"/>
  <c r="D141" i="181" l="1"/>
  <c r="L160" i="29" l="1"/>
  <c r="N21" i="3"/>
  <c r="D285" i="29"/>
  <c r="B7783" i="106"/>
  <c r="K282" i="29"/>
  <c r="B7784" i="106" s="1"/>
  <c r="K356" i="29"/>
  <c r="L285" i="29"/>
  <c r="L137" i="29"/>
  <c r="B7777" i="106"/>
  <c r="H160" i="29"/>
  <c r="K157" i="29"/>
  <c r="K354" i="29"/>
  <c r="B7792" i="106" s="1"/>
  <c r="H357" i="29"/>
  <c r="B7791" i="106"/>
  <c r="L334" i="29"/>
  <c r="L357" i="29"/>
  <c r="B7775" i="106"/>
  <c r="H137" i="29"/>
  <c r="B7795" i="106"/>
  <c r="B7781" i="106"/>
  <c r="K159" i="29"/>
  <c r="B7782" i="106" s="1"/>
  <c r="H334" i="29"/>
  <c r="B7789" i="106" s="1"/>
  <c r="B7785" i="106"/>
  <c r="K332" i="29"/>
  <c r="K133" i="29"/>
  <c r="B7776" i="106" s="1"/>
  <c r="E137" i="29"/>
  <c r="E139" i="29" s="1"/>
  <c r="B7774" i="106"/>
  <c r="K333" i="29"/>
  <c r="B7788" i="106" s="1"/>
  <c r="B7787" i="106"/>
  <c r="K158" i="29"/>
  <c r="B7780" i="106" s="1"/>
  <c r="B7779" i="106"/>
  <c r="B7778" i="106"/>
  <c r="D80" i="36"/>
  <c r="B7797" i="106"/>
  <c r="E141" i="181"/>
  <c r="E17" i="181"/>
  <c r="E16" i="181"/>
  <c r="F16" i="181" s="1"/>
  <c r="G16" i="181" s="1"/>
  <c r="K334" i="29" l="1"/>
  <c r="B7790" i="106" s="1"/>
  <c r="K160" i="29"/>
  <c r="E15" i="4" s="1"/>
  <c r="K357" i="29"/>
  <c r="K15" i="4" s="1"/>
  <c r="B7786" i="106"/>
  <c r="J15" i="4"/>
  <c r="B7796" i="106" s="1"/>
  <c r="F17" i="181"/>
  <c r="G17" i="181" s="1"/>
  <c r="G141" i="181" s="1"/>
  <c r="F60" i="34" l="1"/>
  <c r="F74" i="34"/>
  <c r="G40" i="108"/>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D7764" i="106" s="1"/>
  <c r="J85" i="28"/>
  <c r="B7758" i="106" s="1"/>
  <c r="D7758" i="106" s="1"/>
  <c r="J88" i="28"/>
  <c r="K6" i="29"/>
  <c r="B7763" i="106" s="1"/>
  <c r="B7762" i="106"/>
  <c r="D7762" i="106" s="1"/>
  <c r="K12" i="12"/>
  <c r="K23" i="12"/>
  <c r="K24" i="12" s="1"/>
  <c r="B7733" i="106" s="1"/>
  <c r="D7733" i="106" s="1"/>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C211" i="5"/>
  <c r="B5260" i="106" s="1"/>
  <c r="D5260" i="106" s="1"/>
  <c r="C216" i="5"/>
  <c r="C224" i="5"/>
  <c r="C228" i="5"/>
  <c r="B5304" i="106" s="1"/>
  <c r="D5304" i="106" s="1"/>
  <c r="C259" i="5"/>
  <c r="B6833" i="106" s="1"/>
  <c r="D6833" i="106" s="1"/>
  <c r="B7761" i="106"/>
  <c r="L127" i="29"/>
  <c r="L129" i="29" s="1"/>
  <c r="L139" i="29"/>
  <c r="L149" i="29"/>
  <c r="I7" i="145"/>
  <c r="I6" i="145"/>
  <c r="D78" i="36"/>
  <c r="K75" i="29"/>
  <c r="F52" i="34"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D27" i="108"/>
  <c r="E27" i="108"/>
  <c r="G27" i="108"/>
  <c r="F31" i="108"/>
  <c r="F36"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C14" i="4"/>
  <c r="B2558" i="106" s="1"/>
  <c r="D2558" i="106" s="1"/>
  <c r="B2633" i="106"/>
  <c r="D2633" i="106" s="1"/>
  <c r="D7" i="118"/>
  <c r="D8" i="118"/>
  <c r="D9" i="118"/>
  <c r="H14" i="118"/>
  <c r="H19" i="118"/>
  <c r="H24" i="118"/>
  <c r="D22" i="37"/>
  <c r="J22" i="37"/>
  <c r="L22" i="37"/>
  <c r="F71" i="34" l="1"/>
  <c r="F28" i="108"/>
  <c r="D37" i="108"/>
  <c r="D41" i="108" s="1"/>
  <c r="E43" i="108" s="1"/>
  <c r="F37" i="108"/>
  <c r="G14" i="4"/>
  <c r="B2609" i="106" s="1"/>
  <c r="D2609" i="106" s="1"/>
  <c r="F68" i="34"/>
  <c r="G34" i="108"/>
  <c r="F38" i="34"/>
  <c r="G33" i="108"/>
  <c r="F49" i="34"/>
  <c r="F72" i="34"/>
  <c r="N22" i="3"/>
  <c r="B283" i="106" s="1"/>
  <c r="D283" i="106" s="1"/>
  <c r="B5246" i="106"/>
  <c r="D5246" i="106" s="1"/>
  <c r="E10" i="108"/>
  <c r="B3730" i="106" s="1"/>
  <c r="D3730" i="106" s="1"/>
  <c r="D24" i="37"/>
  <c r="B4270" i="106" s="1"/>
  <c r="D4270" i="106" s="1"/>
  <c r="I210" i="29"/>
  <c r="E35" i="108"/>
  <c r="F36" i="34"/>
  <c r="G35" i="108"/>
  <c r="E28" i="108"/>
  <c r="F45" i="34"/>
  <c r="F41" i="34"/>
  <c r="F37" i="34"/>
  <c r="F44" i="34"/>
  <c r="B7078" i="106"/>
  <c r="D7078" i="106" s="1"/>
  <c r="F67" i="34"/>
  <c r="F64" i="34"/>
  <c r="F14" i="4"/>
  <c r="B2597" i="106" s="1"/>
  <c r="D2597" i="106" s="1"/>
  <c r="F62" i="34"/>
  <c r="G39" i="108"/>
  <c r="J210" i="29"/>
  <c r="B7072" i="106" s="1"/>
  <c r="D7072" i="106" s="1"/>
  <c r="G29" i="108"/>
  <c r="B7047" i="106"/>
  <c r="D7047" i="106" s="1"/>
  <c r="B2805" i="106"/>
  <c r="D2805" i="106" s="1"/>
  <c r="D14" i="4"/>
  <c r="B2570" i="106" s="1"/>
  <c r="D2570" i="106" s="1"/>
  <c r="F56" i="34"/>
  <c r="B3488" i="106"/>
  <c r="D3488" i="106" s="1"/>
  <c r="E26" i="108"/>
  <c r="G26" i="108"/>
  <c r="B1274" i="106"/>
  <c r="D1274" i="106" s="1"/>
  <c r="B1223" i="106"/>
  <c r="D1223" i="106" s="1"/>
  <c r="H112" i="29"/>
  <c r="B7018" i="106" s="1"/>
  <c r="D7018" i="106" s="1"/>
  <c r="B6995" i="106"/>
  <c r="D6995" i="106" s="1"/>
  <c r="E38" i="108"/>
  <c r="G38" i="108"/>
  <c r="G30" i="108"/>
  <c r="E29" i="108"/>
  <c r="B1124" i="106"/>
  <c r="D1124" i="106" s="1"/>
  <c r="B2724" i="106"/>
  <c r="D2724" i="106" s="1"/>
  <c r="F34" i="34"/>
  <c r="F35" i="34"/>
  <c r="F50" i="34"/>
  <c r="L367" i="29"/>
  <c r="F42" i="34"/>
  <c r="K285" i="29"/>
  <c r="B3724" i="106" s="1"/>
  <c r="D3724" i="106" s="1"/>
  <c r="D31" i="36"/>
  <c r="D11" i="37"/>
  <c r="H29" i="118"/>
  <c r="D9" i="7"/>
  <c r="B1767" i="106" s="1"/>
  <c r="D1767" i="106" s="1"/>
  <c r="B6289" i="106"/>
  <c r="D6289" i="106" s="1"/>
  <c r="F131" i="34"/>
  <c r="G15" i="145"/>
  <c r="L13" i="11"/>
  <c r="B2060" i="106" s="1"/>
  <c r="D2060" i="106" s="1"/>
  <c r="B7727" i="106"/>
  <c r="D7727" i="106" s="1"/>
  <c r="G352" i="29"/>
  <c r="B3649" i="106" s="1"/>
  <c r="D3649" i="106" s="1"/>
  <c r="K184" i="29"/>
  <c r="F13" i="4" s="1"/>
  <c r="B2596" i="106" s="1"/>
  <c r="D2596" i="106" s="1"/>
  <c r="H342" i="29"/>
  <c r="B7221" i="106" s="1"/>
  <c r="D7221" i="106" s="1"/>
  <c r="H33" i="118"/>
  <c r="G5" i="4"/>
  <c r="B3409" i="106" s="1"/>
  <c r="D3409" i="106" s="1"/>
  <c r="D5" i="7"/>
  <c r="B1761" i="106" s="1"/>
  <c r="D1761" i="106" s="1"/>
  <c r="D15" i="7"/>
  <c r="B1772" i="106" s="1"/>
  <c r="D1772" i="106" s="1"/>
  <c r="I274" i="5"/>
  <c r="B4435" i="106" s="1"/>
  <c r="D4435" i="106" s="1"/>
  <c r="F130" i="34"/>
  <c r="F128" i="34"/>
  <c r="F127" i="34"/>
  <c r="F111" i="34"/>
  <c r="F106" i="34"/>
  <c r="D5" i="4"/>
  <c r="B3406" i="106" s="1"/>
  <c r="D3406" i="106" s="1"/>
  <c r="D17" i="7"/>
  <c r="B4104" i="106" s="1"/>
  <c r="D4104"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68" i="36"/>
  <c r="D12" i="7"/>
  <c r="B1769" i="106" s="1"/>
  <c r="D1769" i="106" s="1"/>
  <c r="D4" i="7"/>
  <c r="B1760" i="106" s="1"/>
  <c r="D1760" i="106" s="1"/>
  <c r="L312" i="29"/>
  <c r="K274" i="5"/>
  <c r="B6022" i="106" s="1"/>
  <c r="D6022" i="106" s="1"/>
  <c r="D13" i="7"/>
  <c r="B3726" i="106" s="1"/>
  <c r="D3726" i="106" s="1"/>
  <c r="H28" i="118"/>
  <c r="D69" i="36"/>
  <c r="F19" i="7"/>
  <c r="B1807" i="106" s="1"/>
  <c r="D1807" i="106" s="1"/>
  <c r="D7" i="7"/>
  <c r="B1763" i="106" s="1"/>
  <c r="D1763" i="106" s="1"/>
  <c r="E174" i="29"/>
  <c r="B1309" i="106" s="1"/>
  <c r="D1309" i="106" s="1"/>
  <c r="H109" i="5"/>
  <c r="B6025" i="106" s="1"/>
  <c r="D6025" i="106" s="1"/>
  <c r="F172" i="5"/>
  <c r="B5644" i="106" s="1"/>
  <c r="D5644" i="106" s="1"/>
  <c r="K173" i="5"/>
  <c r="K6" i="4" s="1"/>
  <c r="B3570" i="106" s="1"/>
  <c r="D3570" i="106" s="1"/>
  <c r="C109" i="5"/>
  <c r="B5121" i="106" s="1"/>
  <c r="D5121" i="106" s="1"/>
  <c r="J77" i="4"/>
  <c r="B6262" i="106" s="1"/>
  <c r="D6262" i="106" s="1"/>
  <c r="H76" i="4"/>
  <c r="B3298" i="106" s="1"/>
  <c r="D3298" i="106" s="1"/>
  <c r="C172" i="5"/>
  <c r="B1746" i="106"/>
  <c r="D1746" i="106" s="1"/>
  <c r="D109" i="5"/>
  <c r="B4413" i="106"/>
  <c r="D4413" i="106" s="1"/>
  <c r="G172" i="5"/>
  <c r="G109" i="5"/>
  <c r="F94" i="34"/>
  <c r="B5096" i="106"/>
  <c r="D5096" i="106" s="1"/>
  <c r="B7205" i="106"/>
  <c r="D7205" i="106" s="1"/>
  <c r="I342" i="29"/>
  <c r="B7222" i="106" s="1"/>
  <c r="D7222" i="106" s="1"/>
  <c r="B7034" i="106"/>
  <c r="D7034" i="106" s="1"/>
  <c r="J129" i="29"/>
  <c r="B7038" i="106" s="1"/>
  <c r="D7038" i="106" s="1"/>
  <c r="H173" i="5"/>
  <c r="J274" i="5"/>
  <c r="B7054" i="106" s="1"/>
  <c r="D7054" i="106" s="1"/>
  <c r="B7041" i="106"/>
  <c r="D7041" i="106" s="1"/>
  <c r="D11" i="7"/>
  <c r="B1768" i="106" s="1"/>
  <c r="D1768" i="106" s="1"/>
  <c r="F136" i="34"/>
  <c r="I173" i="5"/>
  <c r="B4216" i="106" s="1"/>
  <c r="D4216" i="106" s="1"/>
  <c r="B5513" i="106"/>
  <c r="D5513" i="106" s="1"/>
  <c r="E109" i="5"/>
  <c r="E4" i="4" s="1"/>
  <c r="B2630" i="106" s="1"/>
  <c r="D2630" i="106" s="1"/>
  <c r="B7199" i="106"/>
  <c r="D7199" i="106" s="1"/>
  <c r="C342" i="29"/>
  <c r="B7216" i="106" s="1"/>
  <c r="D7216" i="106" s="1"/>
  <c r="B7231" i="106"/>
  <c r="D7231" i="106" s="1"/>
  <c r="J352" i="29"/>
  <c r="F46" i="34"/>
  <c r="J41" i="3"/>
  <c r="B6216" i="106" s="1"/>
  <c r="D6216" i="106" s="1"/>
  <c r="K350" i="29"/>
  <c r="F77" i="4"/>
  <c r="B3255" i="106" s="1"/>
  <c r="D3255" i="106" s="1"/>
  <c r="F21" i="8"/>
  <c r="C352" i="29"/>
  <c r="L15" i="11"/>
  <c r="B3459" i="106" s="1"/>
  <c r="D3459" i="106" s="1"/>
  <c r="D6103" i="106"/>
  <c r="H365" i="29"/>
  <c r="K76" i="4"/>
  <c r="B3586" i="106" s="1"/>
  <c r="D3586" i="106" s="1"/>
  <c r="I24" i="12"/>
  <c r="I129" i="29"/>
  <c r="B7037" i="106" s="1"/>
  <c r="D7037" i="106" s="1"/>
  <c r="B1329" i="106"/>
  <c r="D1329" i="106" s="1"/>
  <c r="F61" i="34"/>
  <c r="L342" i="29"/>
  <c r="K41" i="3"/>
  <c r="G210"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N23" i="3" l="1"/>
  <c r="B284" i="106" s="1"/>
  <c r="D284" i="106" s="1"/>
  <c r="E30" i="108"/>
  <c r="B7071" i="106"/>
  <c r="D7071" i="106" s="1"/>
  <c r="F66" i="34"/>
  <c r="B3628" i="106"/>
  <c r="D3628" i="106" s="1"/>
  <c r="G367" i="29"/>
  <c r="B3650" i="106" s="1"/>
  <c r="D3650" i="106" s="1"/>
  <c r="J16" i="4"/>
  <c r="B6226" i="106" s="1"/>
  <c r="D6226" i="106" s="1"/>
  <c r="B1381" i="106"/>
  <c r="D1381" i="106" s="1"/>
  <c r="B1328" i="106"/>
  <c r="D1328" i="106" s="1"/>
  <c r="B1317" i="106"/>
  <c r="D1317" i="106" s="1"/>
  <c r="J151" i="29"/>
  <c r="B7052" i="106" s="1"/>
  <c r="D7052" i="106" s="1"/>
  <c r="B1266" i="106"/>
  <c r="D1266" i="106" s="1"/>
  <c r="F73" i="34"/>
  <c r="G15" i="4"/>
  <c r="B6032" i="106" s="1"/>
  <c r="D6032" i="106" s="1"/>
  <c r="I151" i="29"/>
  <c r="F59" i="34" s="1"/>
  <c r="L16" i="11"/>
  <c r="B2061" i="106" s="1"/>
  <c r="D2061" i="106" s="1"/>
  <c r="K28" i="118"/>
  <c r="O27" i="118" s="1"/>
  <c r="O29" i="118" s="1"/>
  <c r="D7256" i="106"/>
  <c r="D7251" i="106"/>
  <c r="I7" i="4"/>
  <c r="B4444" i="106" s="1"/>
  <c r="D4444" i="106" s="1"/>
  <c r="B5914" i="106"/>
  <c r="D5914" i="106" s="1"/>
  <c r="K7" i="4"/>
  <c r="B3718" i="106" s="1"/>
  <c r="D3718" i="106" s="1"/>
  <c r="B6014" i="106"/>
  <c r="D6014" i="106" s="1"/>
  <c r="I6" i="4"/>
  <c r="B5011" i="106" s="1"/>
  <c r="D5011" i="106" s="1"/>
  <c r="F173" i="5"/>
  <c r="B5653" i="106" s="1"/>
  <c r="D5653" i="106" s="1"/>
  <c r="H4" i="4"/>
  <c r="B2655" i="106" s="1"/>
  <c r="D2655" i="106" s="1"/>
  <c r="H275" i="5"/>
  <c r="B5915" i="106" s="1"/>
  <c r="D5915" i="106" s="1"/>
  <c r="B5527" i="106"/>
  <c r="D5527" i="106" s="1"/>
  <c r="C4" i="4"/>
  <c r="B2551" i="106" s="1"/>
  <c r="D2551" i="106" s="1"/>
  <c r="H77" i="4"/>
  <c r="B3299" i="106" s="1"/>
  <c r="D3299" i="106" s="1"/>
  <c r="K77" i="4"/>
  <c r="B3587" i="106" s="1"/>
  <c r="D3587" i="106" s="1"/>
  <c r="D7255" i="106"/>
  <c r="M23" i="3"/>
  <c r="B6297" i="106"/>
  <c r="D6297" i="106" s="1"/>
  <c r="D51" i="36"/>
  <c r="D44" i="36"/>
  <c r="D7253" i="106"/>
  <c r="D7250" i="106"/>
  <c r="D7252" i="106"/>
  <c r="D7254" i="106"/>
  <c r="B2031" i="106"/>
  <c r="D2031" i="106" s="1"/>
  <c r="D19" i="7"/>
  <c r="B1775" i="106" s="1"/>
  <c r="D1775" i="106" s="1"/>
  <c r="K365" i="29"/>
  <c r="K16" i="4" s="1"/>
  <c r="C114" i="29"/>
  <c r="B757" i="106" s="1"/>
  <c r="D757" i="106" s="1"/>
  <c r="D274" i="5"/>
  <c r="B5507" i="106" s="1"/>
  <c r="D5507" i="106" s="1"/>
  <c r="J7" i="4"/>
  <c r="B6222" i="106" s="1"/>
  <c r="D6222" i="106" s="1"/>
  <c r="F274" i="5"/>
  <c r="B3621" i="106"/>
  <c r="D3621" i="106" s="1"/>
  <c r="C367" i="29"/>
  <c r="B3622" i="106" s="1"/>
  <c r="D3622" i="106" s="1"/>
  <c r="B1879" i="106"/>
  <c r="D1879" i="106" s="1"/>
  <c r="H22" i="37"/>
  <c r="B6024" i="106"/>
  <c r="D6024" i="106" s="1"/>
  <c r="G4" i="4"/>
  <c r="B2603" i="106" s="1"/>
  <c r="D2603" i="106" s="1"/>
  <c r="B5906" i="106"/>
  <c r="D5906" i="106" s="1"/>
  <c r="H6" i="4"/>
  <c r="G173" i="5"/>
  <c r="B5770" i="106"/>
  <c r="D5770" i="106" s="1"/>
  <c r="B1365" i="106"/>
  <c r="D1365" i="106" s="1"/>
  <c r="F65" i="34"/>
  <c r="B1996" i="106"/>
  <c r="D1996" i="106" s="1"/>
  <c r="I26" i="12"/>
  <c r="B7741" i="106" s="1"/>
  <c r="D7741" i="106" s="1"/>
  <c r="B3670" i="106"/>
  <c r="D3670" i="106" s="1"/>
  <c r="K352" i="29"/>
  <c r="K342" i="29"/>
  <c r="F13" i="34" s="1"/>
  <c r="B3568" i="106"/>
  <c r="D3568" i="106" s="1"/>
  <c r="D52" i="36"/>
  <c r="B5356" i="106"/>
  <c r="D5356" i="106" s="1"/>
  <c r="D4" i="4"/>
  <c r="B2564" i="106" s="1"/>
  <c r="D2564" i="106" s="1"/>
  <c r="L114" i="29"/>
  <c r="H367" i="29"/>
  <c r="B3660" i="106" s="1"/>
  <c r="D3660" i="106" s="1"/>
  <c r="B7242" i="106"/>
  <c r="D7242" i="106" s="1"/>
  <c r="J367" i="29"/>
  <c r="B7245" i="106" s="1"/>
  <c r="D7245" i="106" s="1"/>
  <c r="B7235" i="106"/>
  <c r="D723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43" i="106"/>
  <c r="D7243" i="106" s="1"/>
  <c r="B7224" i="106"/>
  <c r="D7224" i="106" s="1"/>
  <c r="B7051" i="106"/>
  <c r="D7051" i="106" s="1"/>
  <c r="J17" i="4"/>
  <c r="J19" i="4" s="1"/>
  <c r="B6229" i="106" s="1"/>
  <c r="D6229" i="106" s="1"/>
  <c r="K367" i="29"/>
  <c r="B3678" i="106" s="1"/>
  <c r="D3678" i="106" s="1"/>
  <c r="F24" i="37"/>
  <c r="D275" i="5"/>
  <c r="B5508" i="106" s="1"/>
  <c r="D5508" i="106" s="1"/>
  <c r="D7" i="4"/>
  <c r="B2567" i="106" s="1"/>
  <c r="D2567" i="106" s="1"/>
  <c r="F275" i="5"/>
  <c r="B5720" i="106" s="1"/>
  <c r="D5720" i="106" s="1"/>
  <c r="F6" i="4"/>
  <c r="B2593" i="106" s="1"/>
  <c r="D2593" i="106" s="1"/>
  <c r="B279" i="106"/>
  <c r="D279" i="106" s="1"/>
  <c r="M40" i="3"/>
  <c r="F7" i="4"/>
  <c r="B2594" i="106" s="1"/>
  <c r="D2594" i="106" s="1"/>
  <c r="B5719" i="106"/>
  <c r="D5719" i="106" s="1"/>
  <c r="B5223" i="106"/>
  <c r="D5223" i="106" s="1"/>
  <c r="C6" i="4"/>
  <c r="B2553" i="106" s="1"/>
  <c r="D2553" i="106" s="1"/>
  <c r="G41" i="108"/>
  <c r="G44" i="108" s="1"/>
  <c r="G45" i="108" s="1"/>
  <c r="B5778" i="106"/>
  <c r="D5778" i="106" s="1"/>
  <c r="G6" i="4"/>
  <c r="B2604" i="106" s="1"/>
  <c r="D2604" i="106" s="1"/>
  <c r="J8" i="4"/>
  <c r="E41" i="108"/>
  <c r="E44" i="108" s="1"/>
  <c r="E45" i="108" s="1"/>
  <c r="K13" i="4"/>
  <c r="B3572" i="106" s="1"/>
  <c r="D3572" i="106" s="1"/>
  <c r="B3672" i="106"/>
  <c r="D3672" i="106" s="1"/>
  <c r="B2656" i="106"/>
  <c r="D2656"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368" i="29" l="1"/>
  <c r="B3681" i="106" s="1"/>
  <c r="D3681" i="106" s="1"/>
  <c r="J20" i="4"/>
  <c r="B6230" i="106" s="1"/>
  <c r="D6230" i="106" s="1"/>
  <c r="B6227" i="106"/>
  <c r="D6227" i="106" s="1"/>
  <c r="F8" i="4"/>
  <c r="F10" i="4" s="1"/>
  <c r="B4125" i="106" s="1"/>
  <c r="D4125" i="106" s="1"/>
  <c r="D8" i="4"/>
  <c r="C8" i="146" s="1"/>
  <c r="B6223" i="106"/>
  <c r="D6223" i="106" s="1"/>
  <c r="B280" i="106"/>
  <c r="D280" i="106" s="1"/>
  <c r="M41" i="3"/>
  <c r="K17" i="4"/>
  <c r="K19" i="4" s="1"/>
  <c r="B4144" i="106" s="1"/>
  <c r="D4144" i="106" s="1"/>
  <c r="B2658" i="106"/>
  <c r="D2658" i="106" s="1"/>
  <c r="H10" i="4"/>
  <c r="B4127" i="106" s="1"/>
  <c r="D4127" i="106" s="1"/>
  <c r="J10" i="4"/>
  <c r="B6225" i="106" s="1"/>
  <c r="D6225"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l="1"/>
  <c r="B4123" i="106" s="1"/>
  <c r="D4123" i="106" s="1"/>
  <c r="J78" i="4"/>
  <c r="B6263" i="106" s="1"/>
  <c r="D6263" i="106" s="1"/>
  <c r="B3575" i="106"/>
  <c r="D3575" i="106" s="1"/>
  <c r="B2568" i="106"/>
  <c r="D2568" i="106" s="1"/>
  <c r="D20" i="4"/>
  <c r="B2574" i="106" s="1"/>
  <c r="D2574" i="106" s="1"/>
  <c r="K20" i="4"/>
  <c r="K78" i="4" s="1"/>
  <c r="H13" i="118"/>
  <c r="D8" i="146"/>
  <c r="B2595" i="106"/>
  <c r="D2595"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9" i="34" l="1"/>
  <c r="F79" i="34"/>
  <c r="B3576" i="106"/>
  <c r="D3576" i="106" s="1"/>
  <c r="J81" i="4"/>
  <c r="J82" i="4" s="1"/>
  <c r="D78" i="4"/>
  <c r="D81" i="4"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F181" i="34" l="1"/>
  <c r="F183" i="34" s="1"/>
  <c r="D64" i="36"/>
  <c r="B6266" i="106"/>
  <c r="D6266" i="106"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<sst xmlns="http://schemas.openxmlformats.org/spreadsheetml/2006/main" count="5067" uniqueCount="2122">
  <si>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</si>
  <si>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</si>
  <si>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</si>
  <si>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</si>
  <si>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</si>
  <si>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</si>
  <si>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</si>
  <si>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</si>
  <si>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</si>
  <si>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</si>
  <si>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</si>
  <si>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</si>
  <si>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</si>
  <si>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</si>
  <si>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</si>
  <si>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</si>
  <si>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</si>
  <si>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</si>
  <si>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</si>
  <si>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</si>
  <si>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</si>
  <si>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</si>
  <si>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</si>
  <si>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</si>
  <si>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</si>
  <si>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</si>
  <si>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</si>
  <si>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</si>
  <si>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</si>
  <si>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</si>
  <si>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</si>
  <si>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</si>
  <si>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</si>
  <si>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</si>
  <si>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</si>
  <si>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</si>
  <si>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</si>
  <si>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</si>
  <si>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</si>
  <si>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</si>
  <si>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</si>
  <si>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</si>
  <si>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</si>
  <si>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</si>
  <si>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</si>
  <si>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</si>
  <si>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</si>
  <si>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</si>
  <si>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</si>
  <si>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</si>
  <si>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</si>
  <si>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</si>
  <si>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</si>
  <si>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</si>
  <si>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</si>
  <si>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</si>
  <si>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</si>
  <si>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</si>
  <si>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</si>
  <si>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</si>
  <si>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</si>
  <si>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</si>
  <si>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</si>
  <si>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</si>
  <si>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</si>
  <si>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</si>
  <si>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</si>
  <si>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</si>
  <si>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</si>
  <si>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</si>
  <si>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</si>
  <si>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</si>
  <si>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</si>
  <si>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</si>
  <si>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</si>
  <si>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</si>
  <si>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</si>
  <si>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</si>
  <si>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</si>
  <si>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</si>
  <si>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</si>
  <si>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</si>
  <si>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</si>
  <si>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</si>
  <si>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</si>
  <si>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</si>
  <si>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</si>
  <si>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</si>
  <si>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</si>
  <si>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</si>
  <si>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</si>
  <si>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</si>
  <si>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</si>
  <si>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</si>
  <si>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</si>
  <si>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</si>
  <si>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</si>
  <si>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</si>
  <si>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</si>
  <si>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</si>
  <si>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</si>
  <si>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</si>
  <si>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</si>
  <si>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</si>
  <si>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</si>
  <si>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</si>
  <si>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</si>
  <si>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</si>
  <si>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</si>
  <si>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</si>
  <si>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</si>
  <si>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</si>
  <si>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</si>
  <si>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</si>
  <si>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</si>
  <si>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</si>
  <si>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</si>
  <si>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</si>
  <si>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</si>
  <si>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</si>
  <si>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</si>
  <si>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</si>
  <si>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</si>
  <si>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</si>
  <si>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</si>
  <si>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</si>
  <si>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</si>
  <si>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</si>
  <si>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</si>
  <si>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</si>
  <si>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</si>
  <si>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</si>
  <si>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</si>
  <si>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</si>
  <si>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</si>
  <si>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</si>
  <si>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</si>
  <si>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</si>
  <si>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</si>
  <si>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</si>
  <si>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</si>
  <si>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</si>
  <si>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</si>
  <si>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</si>
  <si>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</si>
  <si>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</si>
  <si>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</si>
  <si>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</si>
  <si>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</si>
  <si>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</si>
  <si>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</si>
  <si>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</si>
  <si>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</si>
  <si>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</si>
  <si>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</si>
  <si>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</si>
  <si>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</si>
  <si>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</si>
  <si>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</si>
  <si>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</si>
  <si>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</si>
  <si>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</si>
  <si>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</si>
  <si>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</si>
  <si>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</si>
  <si>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</si>
  <si>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</si>
  <si>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</si>
  <si>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</si>
  <si>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</si>
  <si>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</si>
  <si>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</si>
  <si>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</si>
  <si>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</si>
  <si>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</si>
  <si>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</si>
  <si>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</si>
  <si>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</si>
  <si>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</si>
  <si>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</si>
  <si>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</si>
  <si>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</si>
  <si>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</si>
  <si>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</si>
  <si>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</si>
  <si>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</si>
  <si>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</si>
  <si>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</si>
  <si>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</si>
  <si>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</si>
  <si>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</si>
  <si>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</si>
  <si>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</si>
  <si>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</si>
  <si>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</si>
  <si>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</si>
  <si>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</si>
  <si>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</si>
  <si>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</si>
  <si>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</si>
  <si>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</si>
  <si>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</si>
  <si>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</si>
  <si>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</si>
  <si>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</si>
  <si>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</si>
  <si>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</si>
  <si>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</si>
  <si>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</si>
  <si>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</si>
  <si>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</si>
  <si>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</si>
  <si>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</si>
  <si>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</si>
  <si>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</si>
  <si>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</si>
  <si>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</si>
  <si>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</si>
  <si>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</si>
  <si>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</si>
  <si>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</si>
  <si>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</si>
  <si>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</si>
  <si>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</si>
  <si>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</si>
  <si>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</si>
  <si>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</si>
  <si>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</si>
  <si>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</si>
  <si>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</si>
  <si>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</si>
  <si>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</si>
  <si>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</si>
  <si>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</si>
  <si>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</si>
  <si>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</si>
  <si>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</si>
  <si>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</si>
  <si>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</si>
  <si>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</si>
  <si>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</si>
  <si>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</si>
  <si>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</si>
  <si>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</si>
  <si>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</si>
  <si>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</si>
  <si>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</si>
  <si>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</si>
  <si>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</si>
  <si>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</si>
  <si>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</si>
  <si>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</si>
  <si>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</si>
  <si>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</si>
  <si>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</si>
  <si>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</si>
  <si>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</si>
  <si>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</si>
  <si>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</si>
  <si>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</si>
  <si>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</si>
  <si>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</si>
  <si>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</si>
  <si>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</si>
  <si>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</si>
  <si>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</si>
  <si>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</si>
  <si>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</si>
  <si>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</si>
  <si>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</si>
  <si>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</si>
  <si>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</si>
  <si>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</si>
  <si>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</si>
  <si>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</si>
  <si>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</si>
  <si>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</si>
  <si>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</si>
  <si>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</si>
  <si>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</si>
  <si>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</si>
  <si>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</si>
  <si>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</si>
  <si>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</si>
  <si>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</si>
  <si>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</si>
  <si>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</si>
  <si>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</si>
  <si>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</si>
  <si>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</si>
  <si>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</si>
  <si>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</si>
  <si>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</si>
  <si>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</si>
  <si>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</si>
  <si>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</si>
  <si>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</si>
  <si>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</si>
  <si>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</si>
  <si>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</si>
  <si>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</si>
  <si>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</si>
  <si>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</si>
  <si>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</si>
  <si>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</si>
  <si>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</si>
  <si>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</si>
  <si>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</si>
  <si>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</si>
  <si>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</si>
  <si>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</si>
  <si>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</si>
  <si>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</si>
  <si>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</si>
  <si>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</si>
  <si>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</si>
  <si>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</si>
  <si>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</si>
  <si>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</si>
  <si>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</si>
  <si>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</si>
  <si>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</si>
  <si>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</si>
  <si>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</si>
  <si>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</si>
  <si>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</si>
  <si>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</si>
  <si>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</si>
  <si>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</si>
  <si>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</si>
  <si>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</si>
  <si>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</si>
  <si>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</si>
  <si>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</si>
  <si>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</si>
  <si>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</si>
  <si>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</si>
  <si>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</si>
  <si>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</si>
  <si>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</si>
  <si>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</si>
  <si>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</si>
  <si>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</si>
  <si>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</si>
  <si>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</si>
  <si>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</si>
  <si>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</si>
  <si>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</si>
  <si>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</si>
  <si>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</si>
  <si>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</si>
  <si>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</si>
  <si>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</si>
  <si>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</si>
  <si>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</si>
  <si>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</si>
  <si>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</si>
  <si>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</si>
  <si>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</si>
  <si>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</si>
  <si>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</si>
  <si>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</si>
  <si>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</si>
  <si>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</si>
  <si>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</si>
  <si>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</si>
  <si>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</si>
  <si>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</si>
  <si>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</si>
  <si>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</si>
  <si>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</si>
  <si>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</si>
  <si>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</si>
  <si>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</si>
  <si>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</si>
  <si>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</si>
  <si>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</si>
  <si>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</si>
  <si>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</si>
  <si>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</si>
  <si>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</si>
  <si>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</si>
  <si>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</si>
  <si>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</si>
  <si>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</si>
  <si>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</si>
  <si>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</si>
  <si>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</si>
  <si>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</si>
  <si>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</si>
  <si>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</si>
  <si>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</si>
  <si>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</si>
  <si>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</si>
  <si>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</si>
  <si>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</si>
  <si>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</si>
  <si>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</si>
  <si>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</si>
  <si>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</si>
  <si>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</si>
  <si>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</si>
  <si>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</si>
  <si>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</si>
  <si>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</si>
  <si>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</si>
  <si>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</si>
  <si>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</si>
  <si>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</si>
  <si>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</si>
  <si>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</si>
  <si>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</si>
  <si>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</si>
  <si>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</si>
  <si>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</si>
  <si>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</si>
  <si>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</si>
  <si>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</si>
  <si>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</si>
  <si>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</si>
  <si>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</si>
  <si>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</si>
  <si>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</si>
  <si>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</si>
  <si>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</si>
  <si>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</si>
  <si>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</si>
  <si>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</si>
  <si>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</si>
  <si>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</si>
  <si>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</si>
  <si>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</si>
  <si>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</si>
  <si>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</si>
  <si>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</si>
  <si>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</si>
  <si>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</si>
  <si>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</si>
  <si>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</si>
  <si>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</si>
  <si>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</si>
  <si>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</si>
  <si>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</si>
  <si>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</si>
  <si>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</si>
  <si>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</si>
  <si>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</si>
  <si>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</si>
  <si>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</si>
  <si>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</si>
  <si>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</si>
  <si>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</si>
  <si>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</si>
  <si>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</si>
  <si>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</si>
  <si>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</si>
  <si>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</si>
  <si>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</si>
  <si>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</si>
  <si>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</si>
  <si>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</si>
  <si>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</si>
  <si>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</si>
  <si>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</si>
  <si>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</si>
  <si>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</si>
  <si>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</si>
  <si>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</si>
  <si>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</si>
  <si>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</si>
  <si>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</si>
  <si>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</si>
  <si>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</si>
  <si>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</si>
  <si>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</si>
  <si>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</si>
  <si>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</si>
  <si>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</si>
  <si>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</si>
  <si>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</si>
  <si>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</si>
  <si>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</si>
  <si>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</si>
  <si>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</si>
  <si>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</si>
  <si>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</si>
  <si>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</si>
  <si>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</si>
  <si>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</si>
  <si>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</si>
  <si>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</si>
  <si>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</si>
  <si>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</si>
  <si>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</si>
  <si>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</si>
  <si>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</si>
  <si>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</si>
  <si>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</si>
  <si>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</si>
  <si>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</si>
  <si>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</si>
  <si>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</si>
  <si>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</si>
  <si>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</si>
  <si>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</si>
  <si>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</si>
  <si>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</si>
  <si>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</si>
  <si>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</si>
  <si>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</si>
  <si>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</si>
  <si>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</si>
  <si>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</si>
  <si>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</si>
  <si>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</si>
  <si>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</si>
  <si>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</si>
  <si>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</si>
  <si>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</si>
  <si>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</si>
  <si>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</si>
  <si>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</si>
  <si>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</si>
  <si>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</si>
  <si>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</si>
  <si>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</si>
  <si>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</si>
  <si>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</si>
  <si>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</si>
  <si>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</si>
  <si>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</si>
  <si>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</si>
  <si>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</si>
  <si>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</si>
  <si>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</si>
  <si>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</si>
  <si>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</si>
  <si>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</si>
  <si>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</si>
  <si>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</si>
  <si>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</si>
  <si>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</si>
  <si>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</si>
  <si>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</si>
  <si>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</si>
  <si>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</si>
  <si>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</si>
  <si>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</si>
  <si>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</si>
  <si>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</si>
  <si>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</si>
  <si>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</si>
  <si>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</si>
  <si>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</si>
  <si>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</si>
  <si>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</si>
  <si>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</si>
  <si>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</si>
  <si>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</si>
  <si>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</si>
  <si>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</si>
  <si>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</si>
  <si>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</si>
  <si>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</si>
  <si>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</si>
  <si>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</si>
  <si>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</si>
  <si>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</si>
  <si>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</si>
  <si>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</si>
  <si>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</si>
  <si>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</si>
  <si>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</si>
  <si>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</si>
  <si>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</si>
  <si>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</si>
  <si>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</si>
  <si>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</si>
  <si>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</si>
  <si>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</si>
  <si>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</si>
  <si>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</si>
  <si>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</si>
  <si>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</si>
  <si>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</si>
  <si>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</si>
  <si>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</si>
  <si>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</si>
  <si>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</si>
  <si>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</si>
  <si>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</si>
  <si>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</si>
  <si>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</si>
  <si>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</si>
  <si>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</si>
  <si>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</si>
  <si>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</si>
  <si>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</si>
  <si>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</si>
  <si>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</si>
  <si>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</si>
  <si>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</si>
  <si>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</si>
  <si>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</si>
  <si>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</si>
  <si>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</si>
  <si>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</si>
  <si>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</si>
  <si>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</si>
  <si>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</si>
  <si>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</si>
  <si>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</si>
  <si>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</si>
  <si>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</si>
  <si>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</si>
  <si>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</si>
  <si>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</si>
  <si>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</si>
  <si>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</si>
  <si>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</si>
  <si>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</si>
  <si>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</si>
  <si>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</si>
  <si>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</si>
  <si>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</si>
  <si>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</si>
  <si>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</si>
  <si>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</si>
  <si>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</si>
  <si>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</si>
  <si>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</si>
  <si>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</si>
  <si>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</si>
  <si>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</si>
  <si>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</si>
  <si>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</si>
  <si>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</si>
  <si>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</si>
  <si>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</si>
  <si>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</si>
  <si>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</si>
  <si>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</si>
  <si>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</si>
  <si>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</si>
  <si>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</si>
  <si>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</si>
  <si>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</si>
  <si>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</si>
  <si>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</si>
  <si>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</si>
  <si>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</si>
  <si>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</si>
  <si>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</si>
  <si>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</si>
  <si>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</si>
  <si>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</si>
  <si>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</si>
  <si>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</si>
  <si>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</si>
  <si>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</si>
  <si>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</si>
  <si>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</si>
  <si>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</si>
  <si>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</si>
  <si>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</si>
  <si>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</si>
  <si>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</si>
  <si>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</si>
  <si>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</si>
  <si>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</si>
  <si>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</si>
  <si>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</si>
  <si>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</si>
  <si>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</si>
  <si>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</si>
  <si>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</si>
  <si>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</si>
  <si>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</si>
  <si>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</si>
  <si>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</si>
  <si>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</si>
  <si>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</si>
  <si>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</si>
  <si>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</si>
  <si>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</si>
  <si>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</si>
  <si>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</si>
  <si>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</si>
  <si>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</si>
  <si>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</si>
  <si>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</si>
  <si>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</si>
  <si>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</si>
  <si>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</si>
  <si>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</si>
  <si>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</si>
  <si>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</si>
  <si>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</si>
  <si>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</si>
  <si>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</si>
  <si>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</si>
  <si>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</si>
  <si>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</si>
  <si>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</si>
  <si>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</si>
  <si>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</si>
  <si>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</si>
  <si>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</si>
  <si>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</si>
  <si>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</si>
  <si>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</si>
  <si>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</si>
  <si>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</si>
  <si>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</si>
  <si>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</si>
  <si>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</si>
  <si>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</si>
  <si>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</si>
  <si>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</si>
  <si>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</si>
  <si>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</si>
  <si>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</si>
  <si>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</si>
  <si>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</si>
  <si>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</si>
  <si>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</si>
  <si>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</si>
  <si>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</si>
  <si>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</si>
  <si>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</si>
  <si>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</si>
  <si>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</si>
  <si>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</si>
  <si>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</si>
  <si>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</si>
  <si>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</si>
  <si>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</si>
  <si>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</si>
  <si>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</si>
  <si>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</si>
  <si>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</si>
  <si>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</si>
  <si>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</si>
  <si>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</si>
  <si>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</si>
  <si>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</si>
  <si>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</si>
  <si>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</si>
  <si>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</si>
  <si>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</si>
  <si>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</si>
  <si>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</si>
  <si>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</si>
  <si>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</si>
  <si>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</si>
  <si>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</si>
  <si>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</si>
  <si>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</si>
  <si>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</si>
  <si>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</si>
  <si>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</si>
  <si>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</si>
  <si>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</si>
  <si>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</si>
  <si>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</si>
  <si>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</si>
  <si>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</si>
  <si>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</si>
  <si>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</si>
  <si>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</si>
  <si>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</si>
  <si>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</si>
  <si>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</si>
  <si>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</si>
  <si>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</si>
  <si>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</si>
  <si>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</si>
  <si>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</si>
  <si>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</si>
  <si>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</si>
  <si>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</si>
  <si>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</si>
  <si>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</si>
  <si>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</si>
  <si>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</si>
  <si>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</si>
  <si>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</si>
  <si>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</si>
  <si>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</si>
  <si>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</si>
  <si>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</si>
  <si>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</si>
  <si>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</si>
  <si>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</si>
  <si>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</si>
  <si>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</si>
  <si>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</si>
  <si>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</si>
  <si>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</si>
  <si>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</si>
  <si>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</si>
  <si>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</si>
  <si>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</si>
  <si>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</si>
  <si>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</si>
  <si>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</si>
  <si>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</si>
  <si>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</si>
  <si>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</si>
  <si>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</si>
  <si>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</si>
  <si>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</si>
  <si>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</si>
  <si>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</si>
  <si>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</si>
  <si>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</si>
  <si>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</si>
  <si>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</si>
  <si>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</si>
  <si>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</si>
  <si>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</si>
  <si>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</si>
  <si>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</si>
  <si>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</si>
  <si>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</si>
  <si>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</si>
  <si>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</si>
  <si>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</si>
  <si>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</si>
  <si>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</si>
  <si>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</si>
  <si>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</si>
  <si>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</si>
  <si>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</si>
  <si>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</si>
  <si>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</si>
  <si>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</si>
  <si>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</si>
  <si>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</si>
  <si>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</si>
  <si>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</si>
  <si>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</si>
  <si>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</si>
  <si>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</si>
  <si>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</si>
  <si>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</si>
  <si>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</si>
  <si>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</si>
  <si>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</si>
  <si>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</si>
  <si>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</si>
  <si>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</si>
  <si>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</si>
  <si>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</si>
  <si>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</si>
  <si>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</si>
  <si>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</si>
  <si>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</si>
  <si>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</si>
  <si>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</si>
  <si>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</si>
  <si>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</si>
  <si>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</si>
  <si>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</si>
  <si>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</si>
  <si>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</si>
  <si>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</si>
  <si>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</si>
  <si>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</si>
  <si>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</si>
  <si>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</si>
  <si>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</si>
  <si>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</si>
  <si>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</si>
  <si>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</si>
  <si>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</si>
  <si>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</si>
  <si>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</si>
  <si>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</si>
  <si>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</si>
  <si>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</si>
  <si>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</si>
  <si>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</si>
  <si>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</si>
  <si>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</si>
  <si>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</si>
  <si>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</si>
  <si>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</si>
  <si>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</si>
  <si>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</si>
  <si>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</si>
  <si>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</si>
  <si>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</si>
  <si>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</si>
  <si>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</si>
  <si>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</si>
  <si>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</si>
  <si>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</si>
  <si>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</si>
  <si>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</si>
  <si>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</si>
  <si>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</si>
  <si>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</si>
  <si>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</si>
  <si>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</si>
  <si>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</si>
  <si>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</si>
  <si>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</si>
  <si>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</si>
  <si>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</si>
  <si>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</si>
  <si>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</si>
  <si>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</si>
  <si>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</si>
  <si>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</si>
  <si>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</si>
  <si>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</si>
  <si>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</si>
  <si>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</si>
  <si>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</si>
  <si>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</si>
  <si>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</si>
  <si>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</si>
  <si>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</si>
  <si>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</si>
  <si>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</si>
  <si>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</si>
  <si>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</si>
  <si>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</si>
  <si>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</si>
  <si>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</si>
  <si>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</si>
  <si>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</si>
  <si>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</si>
  <si>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</si>
  <si>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</si>
  <si>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</si>
  <si>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</si>
  <si>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</si>
  <si>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</si>
  <si>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</si>
  <si>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</si>
  <si>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</si>
  <si>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</si>
  <si>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</si>
  <si>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</si>
  <si>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</si>
  <si>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</si>
  <si>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</si>
  <si>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</si>
  <si>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</si>
  <si>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</si>
  <si>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</si>
  <si>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</si>
  <si>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</si>
  <si>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</si>
  <si>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</si>
  <si>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</si>
  <si>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</si>
  <si>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</si>
  <si>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</si>
  <si>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</si>
  <si>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</si>
  <si>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</si>
  <si>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</si>
  <si>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</si>
  <si>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</si>
  <si>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</si>
  <si>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</si>
  <si>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</si>
  <si>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</si>
  <si>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</si>
  <si>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</si>
  <si>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</si>
  <si>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</si>
  <si>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</si>
  <si>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</si>
  <si>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</si>
  <si>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</si>
  <si>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</si>
  <si>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</si>
  <si>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</si>
  <si>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</si>
  <si>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</si>
  <si>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</si>
  <si>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</si>
  <si>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</si>
  <si>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</si>
  <si>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</si>
  <si>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</si>
  <si>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</si>
  <si>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</si>
  <si>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</si>
  <si>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</si>
  <si>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</si>
  <si>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</si>
  <si>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</si>
  <si>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</si>
  <si>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</si>
  <si>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</si>
  <si>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</si>
  <si>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</si>
  <si>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</si>
  <si>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</si>
  <si>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</si>
  <si>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</si>
  <si>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</si>
  <si>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</si>
  <si>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</si>
  <si>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</si>
  <si>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</si>
  <si>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</si>
  <si>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</si>
  <si>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</si>
  <si>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</si>
  <si>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</si>
  <si>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</si>
  <si>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</si>
  <si>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</si>
  <si>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</si>
  <si>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</si>
  <si>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</si>
  <si>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</si>
  <si>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</si>
  <si>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</si>
  <si>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</si>
  <si>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</si>
  <si>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</si>
  <si>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</si>
  <si>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</si>
  <si>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</si>
  <si>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</si>
  <si>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</si>
  <si>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</si>
  <si>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</si>
  <si>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</si>
  <si>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</si>
  <si>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</si>
  <si>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</si>
  <si>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</si>
  <si>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</si>
  <si>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</si>
  <si>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</si>
  <si>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</si>
  <si>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</si>
  <si>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</si>
  <si>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</si>
  <si>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</si>
  <si>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</si>
  <si>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</si>
  <si>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</si>
  <si>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</si>
  <si>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</si>
  <si>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</si>
  <si>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</si>
  <si>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</si>
  <si>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</si>
  <si>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</si>
  <si>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</si>
  <si>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</si>
  <si>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</si>
  <si>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</si>
  <si>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</si>
  <si>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</si>
  <si>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</si>
  <si>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</si>
  <si>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</si>
  <si>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</si>
  <si>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</si>
  <si>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</si>
  <si>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</si>
  <si>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</si>
  <si>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</si>
  <si>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</si>
  <si>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</si>
  <si>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</si>
  <si>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</si>
  <si>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</si>
  <si>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</si>
  <si>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</si>
  <si>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</si>
  <si>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</si>
  <si>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</si>
  <si>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</si>
  <si>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</si>
  <si>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</si>
  <si>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</si>
  <si>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</si>
  <si>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</si>
  <si>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</si>
  <si>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</si>
  <si>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</si>
  <si>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</si>
  <si>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</si>
  <si>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</si>
  <si>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</si>
  <si>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</si>
  <si>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</si>
  <si>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</si>
  <si>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</si>
  <si>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</si>
  <si>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</si>
  <si>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</si>
  <si>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</si>
  <si>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</si>
  <si>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</si>
  <si>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</si>
  <si>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</si>
  <si>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</si>
  <si>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</si>
  <si>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</si>
  <si>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</si>
  <si>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</si>
  <si>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</si>
  <si>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</si>
  <si>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</si>
  <si>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</si>
  <si>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</si>
  <si>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</si>
  <si>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</si>
  <si>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</si>
  <si>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</si>
  <si>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</si>
  <si>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</si>
  <si>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</si>
  <si>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</si>
  <si>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</si>
  <si>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</si>
  <si>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</si>
  <si>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</si>
  <si>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</si>
  <si>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</si>
  <si>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</si>
  <si>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</si>
  <si>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</si>
  <si>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</si>
  <si>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</si>
  <si>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</si>
  <si>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</si>
  <si>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</si>
  <si>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</si>
  <si>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</si>
  <si>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</si>
  <si>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</si>
  <si>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</si>
  <si>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</si>
  <si>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</si>
  <si>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</si>
  <si>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</si>
  <si>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</si>
  <si>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</si>
  <si>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</si>
  <si>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</si>
  <si>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</si>
  <si>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</si>
  <si>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</si>
  <si>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</si>
  <si>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</si>
  <si>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</si>
  <si>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</si>
  <si>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</si>
  <si>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</si>
  <si>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</si>
  <si>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</si>
  <si>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</si>
  <si>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</si>
  <si>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</si>
  <si>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</si>
  <si>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</si>
  <si>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</si>
  <si>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</si>
  <si>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</si>
  <si>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</si>
  <si>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</si>
  <si>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</si>
  <si>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</si>
  <si>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</si>
  <si>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</si>
  <si>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</si>
  <si>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</si>
  <si>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</si>
  <si>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</si>
  <si>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</si>
  <si>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</si>
  <si>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</si>
  <si>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</si>
  <si>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</si>
  <si>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</si>
  <si>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</si>
  <si>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</si>
  <si>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</si>
  <si>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</si>
  <si>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</si>
  <si>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</si>
  <si>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</si>
  <si>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</si>
  <si>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</si>
  <si>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</si>
  <si>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</si>
  <si>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</si>
  <si>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</si>
  <si>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</si>
  <si>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</si>
  <si>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</si>
  <si>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</si>
  <si>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</si>
  <si>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</si>
  <si>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</si>
  <si>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</si>
  <si>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</si>
  <si>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</si>
  <si>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</si>
  <si>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</si>
  <si>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</si>
  <si>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</si>
  <si>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</si>
  <si>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</si>
  <si>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</si>
  <si>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</si>
  <si>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</si>
  <si>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</si>
  <si>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</si>
  <si>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</si>
  <si>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</si>
  <si>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</si>
  <si>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</si>
  <si>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</si>
  <si>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</si>
  <si>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</si>
  <si>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</si>
  <si>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</si>
  <si>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</si>
  <si>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</si>
  <si>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</si>
  <si>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</si>
  <si>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</si>
  <si>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</si>
  <si>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</si>
  <si>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</si>
  <si>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</si>
  <si>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</si>
  <si>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</si>
  <si>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</si>
  <si>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</si>
  <si>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</si>
  <si>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</si>
  <si>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</si>
  <si>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</si>
  <si>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</si>
  <si>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</si>
  <si>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</si>
  <si>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</si>
  <si>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</si>
  <si>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</si>
  <si>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</si>
  <si>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</si>
  <si>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</si>
  <si>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</si>
  <si>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</si>
  <si>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</si>
  <si>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</si>
  <si>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</si>
  <si>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</si>
  <si>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</si>
  <si>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</si>
  <si>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</si>
  <si>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</si>
  <si>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</si>
  <si>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</si>
  <si>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</si>
  <si>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</si>
  <si>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</si>
  <si>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</si>
  <si>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</si>
  <si>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</si>
  <si>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</si>
  <si>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</si>
  <si>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</si>
  <si>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</si>
  <si>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</si>
  <si>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</si>
  <si>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</si>
  <si>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</si>
  <si>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</si>
  <si>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</si>
  <si>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</si>
  <si>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</si>
  <si>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</si>
  <si>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</si>
  <si>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</si>
  <si>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</si>
  <si>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</si>
  <si>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</si>
  <si>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</si>
  <si>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</si>
  <si>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</si>
  <si>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</si>
  <si>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</si>
  <si>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</si>
  <si>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</si>
  <si>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</si>
  <si>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</si>
  <si>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</si>
  <si>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</si>
  <si>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</si>
  <si>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</si>
  <si>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</si>
  <si>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</si>
  <si>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</si>
  <si>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</si>
  <si>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</si>
  <si>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</si>
  <si>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</si>
  <si>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</si>
  <si>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</si>
  <si>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</si>
  <si>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</si>
  <si>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</si>
  <si>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</si>
  <si>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</si>
  <si>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</si>
  <si>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</si>
  <si>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</si>
  <si>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</si>
  <si>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</si>
  <si>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</si>
  <si>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</si>
  <si>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</si>
  <si>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</si>
  <si>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</si>
  <si>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</si>
  <si>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</si>
  <si>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</si>
  <si>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</si>
  <si>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</si>
  <si>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</si>
  <si>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</si>
  <si>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</si>
  <si>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</si>
  <si>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</si>
  <si>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</si>
  <si>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</si>
  <si>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</si>
  <si>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</si>
  <si>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</si>
  <si>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</si>
  <si>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</si>
  <si>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</si>
  <si>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</si>
  <si>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</si>
  <si>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</si>
  <si>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</si>
  <si>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</si>
  <si>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</si>
  <si>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</si>
  <si>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</si>
  <si>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</si>
  <si>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</si>
  <si>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</si>
  <si>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</si>
  <si>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</si>
  <si>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</si>
  <si>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</si>
  <si>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</si>
  <si>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</si>
  <si>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</si>
  <si>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</si>
  <si>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</si>
  <si>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</si>
  <si>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</si>
  <si>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</si>
  <si>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</si>
  <si>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</si>
  <si>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</si>
  <si>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</si>
  <si>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</si>
  <si>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</si>
  <si>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</si>
  <si>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</si>
  <si>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</si>
  <si>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</si>
  <si>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</si>
  <si>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</si>
  <si>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</si>
  <si>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</si>
  <si>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</si>
  <si>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</si>
  <si>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</si>
  <si>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</si>
  <si>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</si>
  <si>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</si>
  <si>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</si>
  <si>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</si>
  <si>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</si>
  <si>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</si>
  <si>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</si>
  <si>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</si>
  <si>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</si>
  <si>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</si>
  <si>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</si>
  <si>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</si>
  <si>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</si>
  <si>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</si>
  <si>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</si>
  <si>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</si>
  <si>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</si>
  <si>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</si>
  <si>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</si>
  <si>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</si>
  <si>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</si>
  <si>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</si>
  <si>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</si>
  <si>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</si>
  <si>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</si>
  <si>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</si>
  <si>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</si>
  <si>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</si>
  <si>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</si>
  <si>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</si>
  <si>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</si>
  <si>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</si>
  <si>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</si>
  <si>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</si>
  <si>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</si>
  <si>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</si>
  <si>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</si>
  <si>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</si>
  <si>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</si>
  <si>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</si>
  <si>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</si>
  <si>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</si>
  <si>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</si>
  <si>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</si>
  <si>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</si>
  <si>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</si>
  <si>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</si>
  <si>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</si>
  <si>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</si>
  <si>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</si>
  <si>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</si>
  <si>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</si>
  <si>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</si>
  <si>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</si>
  <si>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</si>
  <si>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</si>
  <si>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</si>
  <si>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</si>
  <si>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</si>
  <si>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</si>
  <si>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</si>
  <si>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</si>
  <si>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</si>
  <si>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</si>
  <si>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</si>
  <si>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</si>
  <si>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</si>
  <si>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</si>
  <si>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</si>
  <si>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</si>
  <si>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</si>
  <si>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</si>
  <si>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</si>
  <si>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</si>
  <si>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</si>
  <si>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</si>
  <si>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</si>
  <si>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</si>
  <si>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</si>
  <si>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</si>
  <si>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</si>
  <si>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</si>
  <si>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</si>
  <si>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</si>
  <si>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</si>
  <si>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</si>
  <si>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</si>
  <si>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</si>
  <si>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</si>
  <si>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</si>
  <si>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</si>
  <si>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</si>
  <si>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</si>
  <si>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</si>
  <si>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</si>
  <si>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</si>
  <si>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</si>
  <si>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</si>
  <si>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</si>
  <si>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</si>
  <si>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</si>
  <si>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</si>
  <si>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</si>
  <si>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</si>
  <si>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</si>
  <si>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</si>
  <si>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</si>
  <si>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</si>
  <si>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</si>
  <si>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</si>
  <si>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</si>
  <si>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</si>
  <si>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</si>
  <si>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</si>
  <si>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</si>
  <si>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</si>
  <si>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</si>
  <si>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</si>
  <si>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</si>
  <si>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</si>
  <si>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</si>
  <si>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</si>
  <si>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</si>
  <si>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</si>
  <si>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</si>
  <si>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</si>
  <si>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</si>
  <si>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</si>
  <si>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</si>
  <si>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</si>
  <si>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</si>
  <si>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</si>
  <si>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</si>
  <si>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</si>
  <si>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</si>
  <si>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</si>
  <si>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</si>
  <si>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</si>
  <si>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</si>
  <si>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</si>
  <si>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</si>
  <si>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</si>
  <si>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</si>
  <si>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</si>
  <si>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</si>
  <si>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</si>
  <si>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</si>
  <si>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</si>
  <si>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</si>
  <si>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</si>
  <si>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</si>
  <si>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</si>
  <si>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</si>
  <si>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</si>
  <si>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</si>
  <si>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</si>
  <si>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</si>
  <si>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</si>
  <si>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</si>
  <si>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</si>
  <si>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</si>
  <si>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</si>
  <si>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</si>
  <si>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</si>
  <si>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</si>
  <si>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</si>
  <si>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</si>
  <si>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</si>
  <si>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</si>
  <si>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</si>
  <si>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</si>
  <si>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</si>
  <si>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</si>
  <si>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</si>
  <si>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</si>
  <si>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</si>
  <si>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</si>
  <si>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</si>
  <si>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</si>
  <si>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</si>
  <si>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</si>
  <si>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</si>
  <si>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</si>
  <si>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</si>
  <si>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</si>
  <si>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</si>
  <si>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</si>
  <si>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</si>
  <si>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</si>
  <si>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</si>
  <si>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</si>
  <si>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</si>
  <si>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</si>
  <si>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</si>
  <si>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</si>
  <si>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</si>
  <si>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</si>
  <si>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</si>
  <si>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</si>
  <si>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</si>
  <si>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</si>
  <si>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</si>
  <si>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</si>
  <si>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</si>
  <si>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</si>
  <si>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</si>
  <si>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</si>
  <si>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</si>
  <si>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</si>
  <si>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</si>
  <si>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</si>
  <si>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</si>
  <si>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</si>
  <si>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</si>
  <si>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</si>
  <si>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</si>
  <si>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</si>
  <si>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</si>
  <si>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</si>
  <si>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</si>
  <si>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</si>
  <si>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</si>
  <si>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</si>
  <si>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</si>
  <si>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</si>
  <si>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</si>
  <si>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</si>
  <si>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</si>
  <si>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</si>
  <si>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</si>
  <si>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</si>
  <si>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</si>
  <si>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</si>
  <si>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</si>
  <si>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</si>
  <si>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</si>
  <si>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</si>
  <si>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</si>
  <si>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</si>
  <si>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</si>
  <si>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</si>
  <si>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</si>
  <si>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</si>
  <si>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</si>
  <si>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</si>
  <si>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</si>
  <si>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</si>
  <si>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</si>
  <si>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</si>
  <si>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</si>
  <si>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</si>
  <si>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</si>
  <si>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</si>
  <si>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</si>
  <si>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</si>
  <si>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</si>
  <si>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</si>
  <si>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</si>
  <si>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</si>
  <si>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</si>
  <si>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</si>
  <si>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</si>
  <si>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</si>
  <si>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</si>
  <si>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</si>
  <si>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</si>
  <si>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</si>
  <si>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</si>
  <si>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</si>
  <si>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</si>
  <si>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</si>
  <si>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</si>
  <si>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</si>
  <si>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</si>
  <si>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</si>
  <si>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</si>
  <si>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</si>
  <si>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</si>
  <si>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</si>
  <si>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</si>
  <si>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</si>
  <si>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</si>
  <si>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</si>
  <si>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</si>
  <si>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</si>
  <si>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</si>
  <si>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</si>
  <si>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</si>
  <si>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</si>
  <si>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</si>
  <si>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</si>
  <si>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</si>
  <si>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</si>
  <si>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</si>
  <si>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</si>
  <si>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</si>
  <si>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</si>
  <si>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</si>
  <si>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</si>
  <si>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</si>
  <si>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</si>
  <si>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</si>
  <si>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</si>
  <si>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</si>
  <si>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</si>
  <si>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</si>
  <si>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</si>
  <si>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</si>
  <si>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</si>
  <si>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</si>
  <si>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</si>
  <si>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</si>
  <si>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</si>
  <si>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</si>
  <si>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</si>
  <si>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</si>
  <si>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</si>
  <si>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</si>
  <si>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</si>
  <si>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</si>
  <si>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</si>
  <si>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</si>
  <si>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</si>
  <si>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</si>
  <si>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</si>
  <si>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</si>
  <si>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</si>
  <si>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</si>
  <si>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</si>
  <si>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</si>
  <si>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</si>
  <si>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</si>
  <si>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</si>
  <si>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</si>
  <si>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</si>
  <si>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</si>
  <si>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</si>
  <si>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</si>
  <si>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</si>
  <si>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</si>
  <si>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</si>
  <si>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</si>
  <si>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</si>
  <si>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</si>
  <si>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</si>
  <si>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</si>
  <si>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</si>
  <si>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</si>
  <si>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</si>
  <si>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</si>
  <si>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</si>
  <si>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</si>
  <si>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</si>
  <si>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</si>
  <si>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</si>
  <si>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</si>
  <si>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</si>
  <si>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</si>
  <si>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</si>
  <si>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</si>
  <si>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</si>
  <si>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</si>
  <si>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</si>
  <si>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</si>
  <si>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</si>
  <si>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</si>
  <si>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</si>
  <si>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</si>
  <si>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</si>
  <si>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</si>
  <si>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</si>
  <si>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</si>
  <si>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</si>
  <si>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</si>
  <si>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</si>
  <si>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</si>
  <si>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</si>
  <si>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</si>
  <si>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</si>
  <si>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</si>
  <si>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</si>
  <si>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</si>
  <si>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</si>
  <si>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</si>
  <si>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</si>
  <si>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</si>
  <si>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</si>
  <si>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</si>
  <si>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</si>
  <si>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</si>
  <si>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</si>
  <si>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</si>
  <si>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</si>
  <si>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</si>
  <si>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</si>
  <si>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</si>
  <si>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</si>
  <si>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</si>
  <si>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</si>
  <si>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</si>
  <si>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</si>
  <si>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</si>
  <si>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</si>
  <si>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</si>
  <si>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</si>
  <si>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</si>
  <si>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</si>
  <si>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</si>
  <si>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</si>
  <si>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</si>
  <si>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</si>
  <si>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</si>
  <si>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</si>
  <si>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</si>
  <si>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</si>
  <si>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</si>
  <si>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</si>
  <si>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</si>
  <si>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</si>
  <si>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</si>
  <si>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</si>
  <si>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</si>
  <si>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</si>
  <si>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</si>
  <si>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</si>
  <si>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</si>
  <si>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</si>
  <si>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</si>
  <si>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</si>
  <si>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</si>
  <si>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</si>
  <si>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</si>
  <si>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</si>
  <si>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</si>
  <si>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</si>
  <si>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</si>
  <si>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</si>
  <si>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</si>
  <si>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</si>
  <si>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</si>
  <si>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</si>
  <si>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</si>
  <si>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</si>
  <si>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</si>
  <si>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</si>
  <si>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</si>
  <si>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</si>
  <si>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</si>
  <si>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</si>
  <si>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</si>
  <si>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</si>
  <si>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</si>
  <si>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</si>
  <si>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</si>
  <si>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</si>
  <si>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</si>
  <si>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</si>
  <si>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</si>
  <si>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</si>
  <si>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</si>
  <si>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</si>
  <si>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</si>
  <si>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</si>
  <si>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</si>
  <si>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</si>
  <si>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</si>
  <si>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</si>
  <si>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</si>
  <si>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</si>
  <si>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</si>
  <si>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</si>
  <si>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</si>
  <si>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</si>
  <si>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</si>
  <si>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</si>
  <si>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</si>
  <si>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</si>
  <si>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</si>
  <si>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</si>
  <si>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</si>
  <si>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</si>
  <si>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</si>
  <si>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</si>
  <si>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</si>
  <si>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</si>
  <si>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</si>
  <si>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</si>
  <si>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</si>
  <si>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</si>
  <si>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</si>
  <si>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</si>
  <si>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</si>
  <si>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</si>
  <si>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</si>
  <si>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</si>
  <si>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</si>
  <si>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</si>
  <si>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</si>
  <si>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</si>
  <si>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</si>
  <si>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</si>
  <si>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</si>
  <si>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</si>
  <si>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</si>
  <si>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</si>
  <si>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</si>
  <si>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</si>
  <si>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</si>
  <si>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</si>
  <si>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</si>
  <si>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</si>
  <si>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</si>
  <si>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</si>
  <si>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</si>
  <si>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</si>
  <si>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</si>
  <si>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</si>
  <si>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</si>
  <si>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</si>
  <si>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</si>
  <si>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</si>
  <si>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</si>
  <si>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</si>
  <si>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</si>
  <si>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</si>
  <si>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</si>
  <si>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</si>
  <si>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</si>
  <si>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</si>
  <si>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</si>
  <si>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</si>
  <si>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</si>
  <si>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</si>
  <si>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</si>
  <si>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</si>
  <si>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</si>
  <si>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</si>
  <si>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</si>
  <si>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</si>
  <si>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</si>
  <si>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</si>
  <si>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</si>
  <si>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</si>
  <si>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</si>
  <si>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</si>
  <si>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</si>
  <si>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</si>
  <si>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</si>
  <si>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</si>
  <si>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</si>
  <si>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</si>
  <si>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</si>
  <si>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</si>
  <si>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</si>
  <si>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</si>
  <si>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</si>
  <si>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</si>
  <si>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</si>
  <si>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</si>
  <si>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</si>
  <si>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</si>
  <si>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</si>
  <si>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</si>
  <si>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</si>
  <si>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</si>
  <si>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</si>
  <si>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</si>
  <si>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</si>
  <si>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</si>
  <si>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</si>
  <si>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</si>
  <si>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</si>
  <si>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</si>
  <si>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</si>
  <si>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</si>
  <si>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</si>
  <si>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</si>
  <si>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</si>
  <si>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</si>
  <si>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</si>
  <si>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</si>
  <si>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</si>
  <si>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</si>
  <si>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</si>
  <si>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</si>
  <si>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</si>
  <si>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</si>
  <si>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</si>
  <si>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</si>
  <si>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</si>
  <si>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</si>
  <si>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</si>
  <si>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</si>
  <si>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</si>
  <si>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</si>
  <si>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</si>
  <si>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</si>
  <si>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</si>
  <si>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</si>
  <si>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</si>
  <si>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</si>
  <si>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</si>
  <si>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</si>
  <si>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</si>
  <si>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</si>
  <si>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</si>
  <si>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</si>
  <si>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</si>
  <si>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</si>
  <si>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</si>
  <si>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</si>
  <si>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</si>
  <si>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</si>
  <si>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</si>
  <si>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</si>
  <si>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</si>
  <si>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</si>
  <si>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</si>
  <si>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</si>
  <si>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</si>
  <si>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</si>
  <si>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</si>
  <si>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</si>
  <si>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</si>
  <si>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</si>
  <si>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</si>
  <si>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</si>
  <si>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</si>
  <si>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</si>
  <si>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</si>
  <si>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</si>
  <si>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</si>
  <si>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</si>
  <si>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</si>
  <si>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</si>
  <si>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</si>
  <si>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</si>
  <si>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</si>
  <si>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</si>
  <si>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</si>
  <si>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</si>
  <si>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</si>
  <si>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</si>
  <si>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</si>
  <si>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</si>
  <si>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</si>
  <si>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</si>
  <si>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</si>
  <si>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</si>
  <si>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</si>
  <si>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</si>
  <si>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</si>
  <si>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</si>
  <si>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</si>
  <si>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</si>
  <si>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</si>
  <si>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</si>
  <si>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</si>
  <si>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</si>
  <si>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</si>
  <si>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</si>
  <si>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</si>
  <si>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</si>
  <si>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</si>
  <si>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</si>
  <si>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</si>
  <si>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</si>
  <si>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</si>
  <si>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</si>
  <si>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</si>
  <si>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</si>
  <si>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</si>
  <si>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</si>
  <si>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</si>
  <si>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</si>
  <si>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</si>
  <si>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</si>
  <si>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</si>
  <si>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</si>
  <si>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</si>
  <si>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</si>
  <si>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</si>
  <si>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</si>
  <si>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</si>
  <si>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</si>
  <si>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</si>
  <si>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</si>
  <si>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</si>
  <si>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</si>
  <si>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</si>
  <si>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</si>
  <si>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</si>
  <si>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</si>
  <si>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</si>
  <si>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</si>
  <si>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</si>
  <si>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Dupage</t>
  </si>
  <si>
    <t>Benjamin SD 25</t>
  </si>
  <si>
    <t>28W250 St. Charles Road</t>
  </si>
  <si>
    <t>West Chicago</t>
  </si>
  <si>
    <t>sclark@bendist25.org</t>
  </si>
  <si>
    <t>Michael Moyski</t>
  </si>
  <si>
    <t>mmoyski@mmaadvisors.com</t>
  </si>
  <si>
    <t>Capital Lease</t>
  </si>
  <si>
    <t>Series 2012 A Limited School Bonds</t>
  </si>
  <si>
    <t>Series 2012 B Refunding Bonds</t>
  </si>
  <si>
    <t>Series 2017 Limited Bonds</t>
  </si>
  <si>
    <t>Series 2018 Limited Bonds</t>
  </si>
  <si>
    <t>Illinois Gas and Electric Cooperative</t>
  </si>
  <si>
    <t>Collective Liability Insurance Cooperative (CLIC)</t>
  </si>
  <si>
    <t>School Association Special Education District Dupage County</t>
  </si>
  <si>
    <t>Dupage County Regional Office of Education</t>
  </si>
  <si>
    <t>West Chicago Feeder Schools - Payroll/Custodial Supplies</t>
  </si>
  <si>
    <t>Ed- Regular Programs-Supplies &amp; Materials</t>
  </si>
  <si>
    <t>Pearson Education</t>
  </si>
  <si>
    <t>TCI</t>
  </si>
  <si>
    <t>Ed- Gifted Programs- Supplies &amp; Materials</t>
  </si>
  <si>
    <t>Ed- Office of the Principal Services- Supplies &amp; Materials</t>
  </si>
  <si>
    <t>Comcast</t>
  </si>
  <si>
    <t>Ed- Executive Administration Services- Supplies &amp; Materials</t>
  </si>
  <si>
    <t>Ed- Educational Media Services- Purchased Services</t>
  </si>
  <si>
    <t>Imagetec</t>
  </si>
  <si>
    <t>O&amp;M- Operation &amp; Maintenance of Plant Services- Purchased Services</t>
  </si>
  <si>
    <t>20-2540-300</t>
  </si>
  <si>
    <t>Harvard</t>
  </si>
  <si>
    <t>TR- Pupil Transportation Services- Purchased Services</t>
  </si>
  <si>
    <t>40-2550-300</t>
  </si>
  <si>
    <t>Septran</t>
  </si>
  <si>
    <t>Illinois Central</t>
  </si>
  <si>
    <t>10-1000-400</t>
  </si>
  <si>
    <t>10-2400-400</t>
  </si>
  <si>
    <t>10-2200-300</t>
  </si>
  <si>
    <t>10-2300-400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</si>
</sst>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49" fontId="4" fillId="0" borderId="157"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1DE76509-DD90-41E8-B46D-9F975139BE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0</xdr:row>
          <xdr:rowOff>0</xdr:rowOff>
        </xdr:from>
        <xdr:to>
          <xdr:col>1</xdr:col>
          <xdr:colOff>1714500</xdr:colOff>
          <xdr:row>4</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B2E7D458-41D9-4B3D-8051-F13201CC41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1704975</xdr:colOff>
          <xdr:row>0</xdr:row>
          <xdr:rowOff>0</xdr:rowOff>
        </xdr:from>
        <xdr:to>
          <xdr:col>1</xdr:col>
          <xdr:colOff>2619375</xdr:colOff>
          <xdr:row>4</xdr:row>
          <xdr:rowOff>38100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9F8DA6C5-536F-4066-B1A9-A27EEDA4F1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2619375</xdr:colOff>
          <xdr:row>0</xdr:row>
          <xdr:rowOff>0</xdr:rowOff>
        </xdr:from>
        <xdr:to>
          <xdr:col>1</xdr:col>
          <xdr:colOff>3533775</xdr:colOff>
          <xdr:row>4</xdr:row>
          <xdr:rowOff>38100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75D20F97-1757-41A3-BDAE-9DB9AFB4E6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zoomScaleSheetLayoutView="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0" t="s">
        <v>425</v>
      </c>
      <c r="J1" s="1991"/>
      <c r="K1" s="1991"/>
      <c r="L1" s="1991"/>
      <c r="M1" s="1991"/>
      <c r="N1" s="1991"/>
      <c r="O1" s="1991"/>
      <c r="P1" s="1991"/>
      <c r="Q1" s="1991"/>
      <c r="R1" s="1991"/>
      <c r="S1" s="1991"/>
    </row>
    <row r="2" spans="1:28" ht="12" customHeight="1" x14ac:dyDescent="0.2">
      <c r="A2" s="47" t="s">
        <v>1684</v>
      </c>
      <c r="D2" s="48"/>
      <c r="I2" s="1992" t="s">
        <v>1036</v>
      </c>
      <c r="J2" s="1991"/>
      <c r="K2" s="1991"/>
      <c r="L2" s="1991"/>
      <c r="M2" s="1991"/>
      <c r="N2" s="1991"/>
      <c r="O2" s="1991"/>
      <c r="P2" s="1991"/>
      <c r="Q2" s="1991"/>
      <c r="R2" s="1991"/>
      <c r="S2" s="1991"/>
    </row>
    <row r="3" spans="1:28" ht="12" customHeight="1" x14ac:dyDescent="0.2">
      <c r="A3" s="155" t="s">
        <v>1685</v>
      </c>
      <c r="B3" s="156"/>
      <c r="C3" s="156"/>
      <c r="D3" s="157"/>
      <c r="I3" s="1992" t="s">
        <v>54</v>
      </c>
      <c r="J3" s="1991"/>
      <c r="K3" s="1991"/>
      <c r="L3" s="1991"/>
      <c r="M3" s="1991"/>
      <c r="N3" s="1991"/>
      <c r="O3" s="1991"/>
      <c r="P3" s="1991"/>
      <c r="Q3" s="1991"/>
      <c r="R3" s="1991"/>
      <c r="S3" s="1991"/>
    </row>
    <row r="4" spans="1:28" ht="12" customHeight="1" x14ac:dyDescent="0.2">
      <c r="A4" s="37"/>
      <c r="I4" s="1992" t="s">
        <v>545</v>
      </c>
      <c r="J4" s="1991"/>
      <c r="K4" s="1991"/>
      <c r="L4" s="1991"/>
      <c r="M4" s="1991"/>
      <c r="N4" s="1991"/>
      <c r="O4" s="1991"/>
      <c r="P4" s="1991"/>
      <c r="Q4" s="1991"/>
      <c r="R4" s="1991"/>
      <c r="S4" s="1991"/>
    </row>
    <row r="5" spans="1:28" ht="14.1" customHeight="1" x14ac:dyDescent="0.2">
      <c r="B5" s="104" t="s">
        <v>2084</v>
      </c>
      <c r="C5" s="26" t="s">
        <v>966</v>
      </c>
      <c r="D5" s="84"/>
      <c r="E5" s="84"/>
      <c r="H5" s="38"/>
      <c r="I5" s="2000" t="s">
        <v>701</v>
      </c>
      <c r="J5" s="1999"/>
      <c r="K5" s="1999"/>
      <c r="L5" s="1999"/>
      <c r="M5" s="1999"/>
      <c r="N5" s="1999"/>
      <c r="O5" s="1999"/>
      <c r="P5" s="1999"/>
      <c r="Q5" s="1999"/>
      <c r="R5" s="1999"/>
      <c r="S5" s="1999"/>
    </row>
    <row r="6" spans="1:28" ht="14.1" customHeight="1" x14ac:dyDescent="0.2">
      <c r="B6" s="104"/>
      <c r="C6" s="26" t="s">
        <v>967</v>
      </c>
      <c r="D6" s="84"/>
      <c r="E6" s="84"/>
      <c r="I6" s="1998" t="s">
        <v>938</v>
      </c>
      <c r="J6" s="1999"/>
      <c r="K6" s="1999"/>
      <c r="L6" s="1999"/>
      <c r="M6" s="1999"/>
      <c r="N6" s="1999"/>
      <c r="O6" s="1999"/>
      <c r="P6" s="1999"/>
      <c r="Q6" s="1999"/>
      <c r="R6" s="1999"/>
      <c r="S6" s="1999"/>
    </row>
    <row r="7" spans="1:28" ht="12.2" customHeight="1" x14ac:dyDescent="0.2">
      <c r="I7" s="1993">
        <v>43281</v>
      </c>
      <c r="J7" s="1994"/>
      <c r="K7" s="1994"/>
      <c r="L7" s="1994"/>
      <c r="M7" s="1994"/>
      <c r="N7" s="1994"/>
      <c r="O7" s="1994"/>
      <c r="P7" s="1994"/>
      <c r="Q7" s="1994"/>
      <c r="R7" s="1994"/>
      <c r="S7" s="199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5" t="s">
        <v>695</v>
      </c>
      <c r="J9" s="1996"/>
      <c r="K9" s="1996"/>
      <c r="L9" s="1996"/>
      <c r="M9" s="1996"/>
      <c r="N9" s="1996"/>
      <c r="O9" s="1996"/>
      <c r="P9" s="1996"/>
      <c r="Q9" s="1996"/>
      <c r="R9" s="1996"/>
      <c r="S9" s="1997"/>
      <c r="T9" s="2011" t="s">
        <v>554</v>
      </c>
      <c r="U9" s="2012"/>
      <c r="V9" s="2012"/>
      <c r="W9" s="2012"/>
      <c r="X9" s="2012"/>
      <c r="Y9" s="2012"/>
      <c r="Z9" s="2012"/>
      <c r="AA9" s="2013"/>
    </row>
    <row r="10" spans="1:28" ht="13.5" customHeight="1" x14ac:dyDescent="0.2">
      <c r="A10" s="2018" t="s">
        <v>696</v>
      </c>
      <c r="B10" s="2019"/>
      <c r="C10" s="2019"/>
      <c r="D10" s="2019"/>
      <c r="E10" s="2019"/>
      <c r="F10" s="2019"/>
      <c r="G10" s="2019"/>
      <c r="H10" s="2020"/>
      <c r="I10" s="29"/>
      <c r="J10" s="30"/>
      <c r="K10" s="28"/>
      <c r="R10" s="30"/>
      <c r="S10" s="30"/>
      <c r="T10" s="2014"/>
      <c r="U10" s="1999"/>
      <c r="V10" s="1999"/>
      <c r="W10" s="1999"/>
      <c r="X10" s="1999"/>
      <c r="Y10" s="1999"/>
      <c r="Z10" s="1999"/>
      <c r="AA10" s="2005"/>
    </row>
    <row r="11" spans="1:28" ht="14.25" customHeight="1" x14ac:dyDescent="0.2">
      <c r="A11" s="2021" t="s">
        <v>1012</v>
      </c>
      <c r="B11" s="2022"/>
      <c r="C11" s="2022"/>
      <c r="D11" s="2022"/>
      <c r="E11" s="2022"/>
      <c r="F11" s="2022"/>
      <c r="G11" s="2022"/>
      <c r="H11" s="2023"/>
      <c r="I11" s="27"/>
      <c r="J11" s="74"/>
      <c r="K11" s="27"/>
      <c r="O11" s="148" t="s">
        <v>2084</v>
      </c>
      <c r="P11" s="100" t="s">
        <v>210</v>
      </c>
      <c r="Q11" s="30"/>
      <c r="R11" s="28"/>
      <c r="S11" s="27"/>
      <c r="T11" s="2015"/>
      <c r="U11" s="2016"/>
      <c r="V11" s="2016"/>
      <c r="W11" s="2016"/>
      <c r="X11" s="2016"/>
      <c r="Y11" s="2016"/>
      <c r="Z11" s="2016"/>
      <c r="AA11" s="201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5">
        <v>19022025002</v>
      </c>
      <c r="B13" s="2026"/>
      <c r="C13" s="2026"/>
      <c r="D13" s="2026"/>
      <c r="E13" s="2026"/>
      <c r="F13" s="2026"/>
      <c r="G13" s="2026"/>
      <c r="H13" s="2027"/>
      <c r="I13" s="31"/>
      <c r="J13" s="30"/>
      <c r="K13" s="28"/>
      <c r="L13" s="30"/>
      <c r="M13" s="30"/>
      <c r="N13" s="30"/>
      <c r="O13" s="30"/>
      <c r="P13" s="30"/>
      <c r="Q13" s="30"/>
      <c r="R13" s="30"/>
      <c r="S13" s="30"/>
      <c r="T13" s="2030" t="s">
        <v>2077</v>
      </c>
      <c r="U13" s="2031"/>
      <c r="V13" s="2031"/>
      <c r="W13" s="2031"/>
      <c r="X13" s="2031"/>
      <c r="Y13" s="2032"/>
      <c r="Z13" s="2032"/>
      <c r="AA13" s="203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4" t="s">
        <v>2085</v>
      </c>
      <c r="B15" s="2028"/>
      <c r="C15" s="2028"/>
      <c r="D15" s="2028"/>
      <c r="E15" s="2028"/>
      <c r="F15" s="2028"/>
      <c r="G15" s="2028"/>
      <c r="H15" s="2029"/>
      <c r="T15" s="2034" t="s">
        <v>2090</v>
      </c>
      <c r="U15" s="1978"/>
      <c r="V15" s="1978"/>
      <c r="W15" s="1978"/>
      <c r="X15" s="1978"/>
      <c r="Y15" s="2035"/>
      <c r="Z15" s="2035"/>
      <c r="AA15" s="203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4" t="s">
        <v>2086</v>
      </c>
      <c r="B17" s="1985"/>
      <c r="C17" s="1985"/>
      <c r="D17" s="1985"/>
      <c r="E17" s="1985"/>
      <c r="F17" s="1985"/>
      <c r="G17" s="1985"/>
      <c r="H17" s="2010"/>
      <c r="T17" s="2041" t="s">
        <v>2078</v>
      </c>
      <c r="U17" s="2042"/>
      <c r="V17" s="2042"/>
      <c r="W17" s="2042"/>
      <c r="X17" s="2042"/>
      <c r="Y17" s="2042"/>
      <c r="Z17" s="2042"/>
      <c r="AA17" s="2043"/>
    </row>
    <row r="18" spans="1:27" ht="13.5" customHeight="1" x14ac:dyDescent="0.2">
      <c r="A18" s="85" t="s">
        <v>551</v>
      </c>
      <c r="B18" s="76"/>
      <c r="C18" s="72"/>
      <c r="D18" s="76"/>
      <c r="E18" s="76"/>
      <c r="F18" s="76"/>
      <c r="G18" s="76"/>
      <c r="H18" s="56"/>
      <c r="I18" s="2009" t="s">
        <v>697</v>
      </c>
      <c r="J18" s="1960"/>
      <c r="K18" s="1960"/>
      <c r="L18" s="1960"/>
      <c r="M18" s="1960"/>
      <c r="N18" s="1960"/>
      <c r="O18" s="1960"/>
      <c r="P18" s="1960"/>
      <c r="Q18" s="1960"/>
      <c r="R18" s="1960"/>
      <c r="S18" s="1961"/>
      <c r="T18" s="85" t="s">
        <v>735</v>
      </c>
      <c r="U18" s="51"/>
      <c r="V18" s="72"/>
      <c r="W18" s="50"/>
      <c r="X18" s="85" t="s">
        <v>284</v>
      </c>
      <c r="Y18" s="81"/>
      <c r="Z18" s="159" t="s">
        <v>698</v>
      </c>
      <c r="AA18" s="46"/>
    </row>
    <row r="19" spans="1:27" ht="13.5" customHeight="1" x14ac:dyDescent="0.2">
      <c r="A19" s="2024" t="s">
        <v>2087</v>
      </c>
      <c r="B19" s="1970"/>
      <c r="C19" s="1970"/>
      <c r="D19" s="1970"/>
      <c r="E19" s="1970"/>
      <c r="F19" s="1970"/>
      <c r="G19" s="1970"/>
      <c r="H19" s="1950"/>
      <c r="I19" s="30"/>
      <c r="J19" s="99"/>
      <c r="K19" s="40"/>
      <c r="L19" s="38"/>
      <c r="M19" s="112" t="s">
        <v>333</v>
      </c>
      <c r="P19" s="27"/>
      <c r="Q19" s="27"/>
      <c r="R19" s="27"/>
      <c r="S19" s="31"/>
      <c r="T19" s="2024" t="s">
        <v>2079</v>
      </c>
      <c r="U19" s="1949"/>
      <c r="V19" s="1949"/>
      <c r="W19" s="1950"/>
      <c r="X19" s="2039" t="s">
        <v>2080</v>
      </c>
      <c r="Y19" s="2040"/>
      <c r="Z19" s="2037">
        <v>60187</v>
      </c>
      <c r="AA19" s="203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48" t="s">
        <v>2088</v>
      </c>
      <c r="B21" s="1949"/>
      <c r="C21" s="1949"/>
      <c r="D21" s="1949"/>
      <c r="E21" s="1949"/>
      <c r="F21" s="1949"/>
      <c r="G21" s="1949"/>
      <c r="H21" s="1950"/>
      <c r="I21" s="2004" t="s">
        <v>699</v>
      </c>
      <c r="J21" s="1999"/>
      <c r="K21" s="1999"/>
      <c r="L21" s="1999"/>
      <c r="M21" s="1999"/>
      <c r="N21" s="1999"/>
      <c r="O21" s="1999"/>
      <c r="P21" s="1999"/>
      <c r="Q21" s="1999"/>
      <c r="R21" s="1999"/>
      <c r="S21" s="2005"/>
      <c r="T21" s="2048" t="s">
        <v>2081</v>
      </c>
      <c r="U21" s="2049"/>
      <c r="V21" s="2049"/>
      <c r="W21" s="2049"/>
      <c r="X21" s="2054" t="s">
        <v>2082</v>
      </c>
      <c r="Y21" s="2055"/>
      <c r="Z21" s="2055"/>
      <c r="AA21" s="2056"/>
    </row>
    <row r="22" spans="1:27" ht="13.5" customHeight="1" x14ac:dyDescent="0.2">
      <c r="A22" s="87" t="s">
        <v>552</v>
      </c>
      <c r="B22" s="59"/>
      <c r="C22" s="59"/>
      <c r="D22" s="59"/>
      <c r="E22" s="59"/>
      <c r="F22" s="59"/>
      <c r="G22" s="59"/>
      <c r="H22" s="60"/>
      <c r="I22" s="2006" t="s">
        <v>1504</v>
      </c>
      <c r="J22" s="2007"/>
      <c r="K22" s="2007"/>
      <c r="L22" s="2007"/>
      <c r="M22" s="2007"/>
      <c r="N22" s="2007"/>
      <c r="O22" s="2007"/>
      <c r="P22" s="2007"/>
      <c r="Q22" s="2007"/>
      <c r="R22" s="2007"/>
      <c r="S22" s="2008"/>
      <c r="T22" s="85" t="s">
        <v>1596</v>
      </c>
      <c r="U22" s="51"/>
      <c r="V22" s="72"/>
      <c r="W22" s="51"/>
      <c r="X22" s="160" t="s">
        <v>1385</v>
      </c>
      <c r="Z22" s="45"/>
      <c r="AA22" s="46"/>
    </row>
    <row r="23" spans="1:27" ht="13.5" customHeight="1" x14ac:dyDescent="0.2">
      <c r="A23" s="2001" t="s">
        <v>2089</v>
      </c>
      <c r="B23" s="2002"/>
      <c r="C23" s="2002"/>
      <c r="D23" s="2002"/>
      <c r="E23" s="2002"/>
      <c r="F23" s="2002"/>
      <c r="G23" s="2002"/>
      <c r="H23" s="2003"/>
      <c r="T23" s="1984">
        <v>66003412</v>
      </c>
      <c r="U23" s="2047"/>
      <c r="V23" s="2047"/>
      <c r="W23" s="2047"/>
      <c r="X23" s="2051">
        <v>43434</v>
      </c>
      <c r="Y23" s="2052"/>
      <c r="Z23" s="2052"/>
      <c r="AA23" s="2053"/>
    </row>
    <row r="24" spans="1:27" ht="14.1" customHeight="1" x14ac:dyDescent="0.2">
      <c r="A24" s="88" t="s">
        <v>698</v>
      </c>
      <c r="B24" s="49"/>
      <c r="C24" s="49"/>
      <c r="D24" s="49"/>
      <c r="E24" s="49"/>
      <c r="F24" s="49"/>
      <c r="G24" s="49"/>
      <c r="H24" s="61"/>
      <c r="J24" s="1971">
        <f>IF(B5="x",IF(AUDITCHECK!D29="AFR form Incomplete.","",IF(AUDITCHECK!D29="Deficit reduction plan is required.","School District must complete a deficit reduction plan in the 2018-2019 Budget",)),"")</f>
        <v>0</v>
      </c>
      <c r="K24" s="1971"/>
      <c r="L24" s="1971"/>
      <c r="M24" s="1971"/>
      <c r="N24" s="1971"/>
      <c r="O24" s="1971"/>
      <c r="P24" s="1971"/>
      <c r="Q24" s="1971"/>
      <c r="R24" s="1971"/>
      <c r="S24" s="1972"/>
      <c r="T24" s="105" t="s">
        <v>552</v>
      </c>
      <c r="U24" s="106"/>
      <c r="V24" s="106"/>
      <c r="W24" s="106"/>
      <c r="X24" s="107"/>
      <c r="Y24" s="107"/>
      <c r="Z24" s="107"/>
      <c r="AA24" s="108"/>
    </row>
    <row r="25" spans="1:27" ht="14.1" customHeight="1" x14ac:dyDescent="0.2">
      <c r="A25" s="1948">
        <v>60185</v>
      </c>
      <c r="B25" s="1949"/>
      <c r="C25" s="1949"/>
      <c r="D25" s="1949"/>
      <c r="E25" s="1949"/>
      <c r="F25" s="1949"/>
      <c r="G25" s="1949"/>
      <c r="H25" s="1950"/>
      <c r="I25" s="113"/>
      <c r="J25" s="1973"/>
      <c r="K25" s="1973"/>
      <c r="L25" s="1973"/>
      <c r="M25" s="1973"/>
      <c r="N25" s="1973"/>
      <c r="O25" s="1973"/>
      <c r="P25" s="1973"/>
      <c r="Q25" s="1973"/>
      <c r="R25" s="1973"/>
      <c r="S25" s="1974"/>
      <c r="T25" s="2044" t="s">
        <v>2091</v>
      </c>
      <c r="U25" s="2045"/>
      <c r="V25" s="2045"/>
      <c r="W25" s="2045"/>
      <c r="X25" s="2045"/>
      <c r="Y25" s="2045"/>
      <c r="Z25" s="2045"/>
      <c r="AA25" s="20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59" t="s">
        <v>1591</v>
      </c>
      <c r="J27" s="1960"/>
      <c r="K27" s="1960"/>
      <c r="L27" s="1960"/>
      <c r="M27" s="1960"/>
      <c r="N27" s="1960"/>
      <c r="O27" s="1960"/>
      <c r="P27" s="1960"/>
      <c r="Q27" s="1960"/>
      <c r="R27" s="1960"/>
      <c r="S27" s="196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0"/>
      <c r="Q35" s="1949"/>
      <c r="R35" s="194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4"/>
      <c r="B38" s="1985"/>
      <c r="C38" s="1985"/>
      <c r="D38" s="1985"/>
      <c r="E38" s="1985"/>
      <c r="F38" s="1949"/>
      <c r="G38" s="1949"/>
      <c r="H38" s="1950"/>
      <c r="I38" s="1977"/>
      <c r="J38" s="1978"/>
      <c r="K38" s="1978"/>
      <c r="L38" s="1978"/>
      <c r="M38" s="1978"/>
      <c r="N38" s="1978"/>
      <c r="O38" s="1978"/>
      <c r="P38" s="1979"/>
      <c r="Q38" s="1979"/>
      <c r="R38" s="1979"/>
      <c r="S38" s="1980"/>
      <c r="T38" s="2034"/>
      <c r="U38" s="1978"/>
      <c r="V38" s="1978"/>
      <c r="W38" s="1978"/>
      <c r="X38" s="1979"/>
      <c r="Y38" s="1979"/>
      <c r="Z38" s="1979"/>
      <c r="AA38" s="1980"/>
    </row>
    <row r="39" spans="1:27" ht="12" customHeight="1" x14ac:dyDescent="0.2">
      <c r="A39" s="1954" t="s">
        <v>552</v>
      </c>
      <c r="B39" s="1955"/>
      <c r="C39" s="72"/>
      <c r="D39" s="69"/>
      <c r="E39" s="69"/>
      <c r="F39" s="79"/>
      <c r="G39" s="69"/>
      <c r="H39" s="56"/>
      <c r="I39" s="1954" t="s">
        <v>552</v>
      </c>
      <c r="J39" s="1955"/>
      <c r="K39" s="1955"/>
      <c r="L39" s="1955"/>
      <c r="M39" s="1955"/>
      <c r="N39" s="67"/>
      <c r="O39" s="72"/>
      <c r="P39" s="72"/>
      <c r="Q39" s="78"/>
      <c r="R39" s="72"/>
      <c r="S39" s="56"/>
      <c r="T39" s="72" t="s">
        <v>552</v>
      </c>
      <c r="U39" s="51"/>
      <c r="V39" s="72"/>
      <c r="W39" s="50"/>
      <c r="X39" s="78"/>
      <c r="Y39" s="45"/>
      <c r="Z39" s="45"/>
      <c r="AA39" s="46"/>
    </row>
    <row r="40" spans="1:27" ht="13.5" customHeight="1" x14ac:dyDescent="0.2">
      <c r="A40" s="1962"/>
      <c r="B40" s="1963"/>
      <c r="C40" s="1964"/>
      <c r="D40" s="1964"/>
      <c r="E40" s="1964"/>
      <c r="F40" s="1965"/>
      <c r="G40" s="1965"/>
      <c r="H40" s="1966"/>
      <c r="I40" s="1987"/>
      <c r="J40" s="1988"/>
      <c r="K40" s="1988"/>
      <c r="L40" s="1988"/>
      <c r="M40" s="1988"/>
      <c r="N40" s="1988"/>
      <c r="O40" s="1988"/>
      <c r="P40" s="1988"/>
      <c r="Q40" s="1988"/>
      <c r="R40" s="1988"/>
      <c r="S40" s="1989"/>
      <c r="T40" s="1987"/>
      <c r="U40" s="2050"/>
      <c r="V40" s="1988"/>
      <c r="W40" s="1988"/>
      <c r="X40" s="1988"/>
      <c r="Y40" s="1988"/>
      <c r="Z40" s="1988"/>
      <c r="AA40" s="198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6"/>
      <c r="B42" s="1968"/>
      <c r="C42" s="1969"/>
      <c r="D42" s="1967"/>
      <c r="E42" s="1968"/>
      <c r="F42" s="1968"/>
      <c r="G42" s="1968"/>
      <c r="H42" s="1969"/>
      <c r="I42" s="1951"/>
      <c r="J42" s="1952"/>
      <c r="K42" s="1952"/>
      <c r="L42" s="1952"/>
      <c r="M42" s="1952"/>
      <c r="N42" s="1952"/>
      <c r="O42" s="1953"/>
      <c r="P42" s="1986"/>
      <c r="Q42" s="1952"/>
      <c r="R42" s="1952"/>
      <c r="S42" s="1953"/>
      <c r="T42" s="1951"/>
      <c r="U42" s="1952"/>
      <c r="V42" s="1952"/>
      <c r="W42" s="1953"/>
      <c r="X42" s="1986"/>
      <c r="Y42" s="1952"/>
      <c r="Z42" s="1952"/>
      <c r="AA42" s="195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1"/>
      <c r="B44" s="1982"/>
      <c r="C44" s="1982"/>
      <c r="D44" s="1982"/>
      <c r="E44" s="1982"/>
      <c r="F44" s="1982"/>
      <c r="G44" s="1982"/>
      <c r="H44" s="1983"/>
      <c r="I44" s="1956"/>
      <c r="J44" s="1957"/>
      <c r="K44" s="1957"/>
      <c r="L44" s="1957"/>
      <c r="M44" s="1957"/>
      <c r="N44" s="1957"/>
      <c r="O44" s="1957"/>
      <c r="P44" s="1957"/>
      <c r="Q44" s="1957"/>
      <c r="R44" s="1957"/>
      <c r="S44" s="1958"/>
      <c r="T44" s="1956"/>
      <c r="U44" s="1975"/>
      <c r="V44" s="1975"/>
      <c r="W44" s="1975"/>
      <c r="X44" s="1975"/>
      <c r="Y44" s="1975"/>
      <c r="Z44" s="1957"/>
      <c r="AA44" s="195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Normal="100" zoomScaleSheetLayoutView="10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8" t="s">
        <v>1709</v>
      </c>
    </row>
    <row r="23" spans="1:5" x14ac:dyDescent="0.2">
      <c r="A23" s="168"/>
      <c r="B23" s="162" t="s">
        <v>1969</v>
      </c>
      <c r="D23" s="167" t="s">
        <v>658</v>
      </c>
      <c r="E23" s="184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0" t="s">
        <v>1125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715</v>
      </c>
      <c r="B40" s="2057"/>
      <c r="C40" s="2057"/>
      <c r="D40" s="2057"/>
      <c r="E40" s="2057"/>
    </row>
    <row r="41" spans="1:5" x14ac:dyDescent="0.2">
      <c r="A41" s="2058" t="s">
        <v>1706</v>
      </c>
      <c r="B41" s="2058"/>
      <c r="C41" s="2058"/>
      <c r="D41" s="2058"/>
      <c r="E41" s="2058"/>
    </row>
    <row r="42" spans="1:5" ht="12.75" customHeight="1" x14ac:dyDescent="0.2">
      <c r="A42" s="2059" t="s">
        <v>1080</v>
      </c>
      <c r="B42" s="2059"/>
      <c r="C42" s="2059"/>
      <c r="D42" s="2059"/>
      <c r="E42" s="205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6" t="s">
        <v>1879</v>
      </c>
    </row>
    <row r="60" spans="1:3" x14ac:dyDescent="0.2">
      <c r="A60" s="196"/>
      <c r="B60" s="149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6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zoomScaleSheetLayoutView="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1230</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5" t="s">
        <v>1731</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5" t="s">
        <v>331</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2084</v>
      </c>
      <c r="C53" s="179">
        <v>22</v>
      </c>
      <c r="D53" s="247" t="s">
        <v>1537</v>
      </c>
      <c r="E53" s="248"/>
      <c r="F53" s="249"/>
      <c r="G53" s="249" t="s">
        <v>1536</v>
      </c>
      <c r="H53" s="250">
        <v>33482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1390</v>
      </c>
      <c r="B70" s="2078"/>
      <c r="C70" s="2078"/>
      <c r="D70" s="2078"/>
      <c r="E70" s="2079"/>
      <c r="F70" s="2079"/>
      <c r="G70" s="2079"/>
      <c r="H70" s="2079"/>
      <c r="I70" s="207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1387</v>
      </c>
      <c r="B83" s="2080"/>
      <c r="C83" s="2080"/>
      <c r="D83" s="208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2083</v>
      </c>
      <c r="D114" s="207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1397</v>
      </c>
      <c r="D117" s="2073"/>
      <c r="E117" s="2074"/>
      <c r="F117" s="2074"/>
      <c r="G117" s="2074"/>
      <c r="H117" s="2074"/>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379</v>
      </c>
      <c r="E119" s="310"/>
      <c r="F119" s="1851" t="s">
        <v>2022</v>
      </c>
      <c r="G119" s="328"/>
      <c r="H119" s="328"/>
      <c r="I119" s="304"/>
    </row>
    <row r="120" spans="1:9" x14ac:dyDescent="0.2">
      <c r="A120" s="329"/>
      <c r="B120" s="180"/>
      <c r="C120" s="330"/>
      <c r="D120" s="256"/>
      <c r="E120" s="256"/>
      <c r="F120" s="256"/>
      <c r="G120" s="256"/>
      <c r="H120" s="256"/>
      <c r="I120" s="304"/>
    </row>
    <row r="121" spans="1:9" x14ac:dyDescent="0.2">
      <c r="A121" s="329"/>
      <c r="B121" s="149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404</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230357158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3.4034000000000002E-2</v>
      </c>
      <c r="E10" s="356" t="s">
        <v>1062</v>
      </c>
      <c r="F10" s="355">
        <v>2.8379999999999998E-3</v>
      </c>
      <c r="G10" s="356" t="s">
        <v>1062</v>
      </c>
      <c r="H10" s="355">
        <v>1.519E-3</v>
      </c>
      <c r="I10" s="356" t="s">
        <v>1063</v>
      </c>
      <c r="J10" s="1743">
        <f>ROUND(D10+F10+H10,5)</f>
        <v>3.8390000000000001E-2</v>
      </c>
      <c r="K10" s="222"/>
      <c r="L10" s="355"/>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4">
        <f>SUM('Acct Summary 7-8'!C8,'Acct Summary 7-8'!D8,'Acct Summary 7-8'!F8,'Acct Summary 7-8'!I8)</f>
        <v>11496670</v>
      </c>
      <c r="E16" s="356"/>
      <c r="F16" s="1744">
        <f>SUM('Acct Summary 7-8'!C17,'Acct Summary 7-8'!D17,'Acct Summary 7-8'!F17)</f>
        <v>10027043</v>
      </c>
      <c r="G16" s="356"/>
      <c r="H16" s="1744">
        <f>SUM(D16-F16)</f>
        <v>1469627</v>
      </c>
      <c r="I16" s="222"/>
      <c r="J16" s="1744">
        <f>SUM('Acct Summary 7-8'!C81,'Acct Summary 7-8'!D81,'Acct Summary 7-8'!F81,'Acct Summary 7-8'!I81)</f>
        <v>15031552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4">
        <f>'Short-Term Long-Term Debt 24'!F4</f>
        <v>0</v>
      </c>
      <c r="E22" s="356" t="s">
        <v>1062</v>
      </c>
      <c r="F22" s="1744">
        <f>'Short-Term Long-Term Debt 24'!F15</f>
        <v>0</v>
      </c>
      <c r="G22" s="356" t="s">
        <v>1062</v>
      </c>
      <c r="H22" s="1744">
        <f>'Short-Term Long-Term Debt 24'!F21</f>
        <v>0</v>
      </c>
      <c r="I22" s="356" t="s">
        <v>1062</v>
      </c>
      <c r="J22" s="1744">
        <f>'Short-Term Long-Term Debt 24'!F23</f>
        <v>0</v>
      </c>
      <c r="K22" s="356" t="s">
        <v>1062</v>
      </c>
      <c r="L22" s="174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4">
        <f>'Short-Term Long-Term Debt 24'!F27</f>
        <v>0</v>
      </c>
      <c r="E24" s="356" t="s">
        <v>1063</v>
      </c>
      <c r="F24" s="174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2084</v>
      </c>
      <c r="C31" s="367" t="s">
        <v>607</v>
      </c>
      <c r="D31" s="237" t="s">
        <v>1132</v>
      </c>
      <c r="E31" s="222"/>
      <c r="F31" s="222"/>
      <c r="G31" s="363"/>
      <c r="H31" s="1746">
        <f>IF(B31="X",(J7*0.069),IF(B32="X",(J7*0.138),"Enter x in a.or b."))</f>
        <v>15894643.902000001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5">
        <f>'Assets-Liab 5-6'!N36</f>
        <v>8243747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Normal="10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577</v>
      </c>
      <c r="B2" s="2110"/>
      <c r="C2" s="2110"/>
      <c r="D2" s="2110"/>
      <c r="E2" s="2110"/>
      <c r="F2" s="2110"/>
      <c r="G2" s="2110"/>
      <c r="H2" s="2110"/>
      <c r="I2" s="2110"/>
      <c r="J2" s="2110"/>
      <c r="K2" s="2110"/>
      <c r="L2" s="2110"/>
      <c r="M2" s="2110"/>
      <c r="N2" s="2110"/>
      <c r="O2" s="2110"/>
      <c r="P2" s="2110"/>
      <c r="Q2" s="2110"/>
      <c r="R2" s="2110"/>
    </row>
    <row r="3" spans="1:18" ht="12.75" x14ac:dyDescent="0.2">
      <c r="A3" s="2111" t="s">
        <v>1480</v>
      </c>
      <c r="B3" s="2111"/>
      <c r="C3" s="2111"/>
      <c r="D3" s="2111"/>
      <c r="E3" s="2111"/>
      <c r="F3" s="2111"/>
      <c r="G3" s="2111"/>
      <c r="H3" s="2111"/>
      <c r="I3" s="2111"/>
      <c r="J3" s="2111"/>
      <c r="K3" s="2111"/>
      <c r="L3" s="2111"/>
      <c r="M3" s="2111"/>
      <c r="N3" s="2111"/>
      <c r="O3" s="2111"/>
      <c r="P3" s="2111"/>
      <c r="Q3" s="2111"/>
      <c r="R3" s="2111"/>
    </row>
    <row r="4" spans="1:18" x14ac:dyDescent="0.2">
      <c r="A4" s="2112" t="s">
        <v>1635</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Benjamin SD 25</v>
      </c>
      <c r="E7" s="391"/>
      <c r="G7" s="252"/>
      <c r="H7" s="387"/>
      <c r="I7" s="387"/>
      <c r="J7" s="387"/>
      <c r="K7" s="387"/>
      <c r="L7" s="329"/>
      <c r="M7" s="329"/>
      <c r="N7" s="329"/>
      <c r="O7" s="329"/>
      <c r="P7" s="329"/>
    </row>
    <row r="8" spans="1:18" ht="12.75" x14ac:dyDescent="0.2">
      <c r="A8" s="329"/>
      <c r="B8" s="329"/>
      <c r="C8" s="389" t="s">
        <v>1187</v>
      </c>
      <c r="D8" s="392">
        <f>COVER!A13</f>
        <v>19022025002</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15031552</v>
      </c>
      <c r="I12" s="404"/>
      <c r="J12" s="404"/>
      <c r="K12" s="405">
        <f>TRUNC((H12/H13*100000),5)/100000</f>
        <v>1.3119384634</v>
      </c>
      <c r="L12" s="406"/>
      <c r="M12" s="360" t="s">
        <v>1206</v>
      </c>
      <c r="N12" s="360"/>
      <c r="O12" s="407">
        <v>0.35</v>
      </c>
      <c r="P12" s="218"/>
      <c r="Q12" s="218"/>
    </row>
    <row r="13" spans="1:18" s="408" customFormat="1" ht="12.75" x14ac:dyDescent="0.2">
      <c r="A13" s="218"/>
      <c r="B13" s="401"/>
      <c r="C13" s="2108" t="s">
        <v>1391</v>
      </c>
      <c r="D13" s="2109"/>
      <c r="E13" s="218"/>
      <c r="F13" s="409" t="s">
        <v>826</v>
      </c>
      <c r="G13" s="402"/>
      <c r="H13" s="403">
        <f>SUM('Acct Summary 7-8'!C8+'Acct Summary 7-8'!D8+'Acct Summary 7-8'!F8+'Acct Summary 7-8'!I8)+H14</f>
        <v>11457513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-39157</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10027043</v>
      </c>
      <c r="I17" s="404"/>
      <c r="J17" s="416"/>
      <c r="K17" s="405">
        <f>TRUNC((H17/H18*100000),5)/100000</f>
        <v>0.87515004340000002</v>
      </c>
      <c r="L17" s="406"/>
      <c r="M17" s="417" t="s">
        <v>1233</v>
      </c>
      <c r="O17" s="418" t="str">
        <f>IF(AND(O16="2", J20 &gt; 2),"1",IF(AND(O16 = "1", J20 &gt; 2),"2",IF(AND(O16="1", J20 &gt;1),"1","0")))</f>
        <v>0</v>
      </c>
      <c r="P17" s="218"/>
    </row>
    <row r="18" spans="1:18" s="408" customFormat="1" ht="11.25" x14ac:dyDescent="0.2">
      <c r="A18" s="218"/>
      <c r="B18" s="401"/>
      <c r="C18" s="2108" t="s">
        <v>1384</v>
      </c>
      <c r="D18" s="2109"/>
      <c r="E18" s="218"/>
      <c r="F18" s="419" t="s">
        <v>827</v>
      </c>
      <c r="G18" s="402"/>
      <c r="H18" s="403">
        <f>SUM('Acct Summary 7-8'!C8+'Acct Summary 7-8'!D8+'Acct Summary 7-8'!F8+'Acct Summary 7-8'!I8)+H19</f>
        <v>11457513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-39157</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5" t="s">
        <v>1479</v>
      </c>
      <c r="D24" s="2105"/>
      <c r="E24" s="218"/>
      <c r="F24" s="218" t="s">
        <v>465</v>
      </c>
      <c r="G24" s="402"/>
      <c r="H24" s="403">
        <f>SUM('Assets-Liab 5-6'!C4+'Assets-Liab 5-6'!D4+'Assets-Liab 5-6'!F4+'Assets-Liab 5-6'!I4+'Assets-Liab 5-6'!C5+'Assets-Liab 5-6'!D5+'Assets-Liab 5-6'!F5+'Assets-Liab 5-6'!I5)</f>
        <v>15031552</v>
      </c>
      <c r="I24" s="422"/>
      <c r="J24" s="422"/>
      <c r="K24" s="423">
        <f>TRUNC(((H24/H25*100000)/100000),2)</f>
        <v>539.66999999999996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27852.897219999999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7516899.6012800001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8243747</v>
      </c>
      <c r="I32" s="420"/>
      <c r="J32" s="420"/>
      <c r="K32" s="423">
        <f>TRUNC(100-((((H32/H33*100))*100)/100),2)</f>
        <v>48.13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15894643.902000001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zoomScaleSheetLayoutView="80" workbookViewId="0">
      <pane ySplit="2" topLeftCell="A6" activePane="bottomLeft" state="frozen"/>
      <selection pane="bottomLeft"/>
    </sheetView>
  </sheetViews>
  <sheetFormatPr defaultColWidth="9.140625" defaultRowHeight="12.75" x14ac:dyDescent="0.2"/>
  <cols>
    <col min="1" max="1" width="47.28515625" style="497" customWidth="1"/>
    <col min="2" max="2" width="4.5703125" style="498" customWidth="1"/>
    <col min="3" max="14" width="13.7109375" style="457" customWidth="1"/>
    <col min="15" max="16384" width="9.140625" style="457"/>
  </cols>
  <sheetData>
    <row r="1" spans="1:14" x14ac:dyDescent="0.2">
      <c r="A1" s="211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5" t="s">
        <v>1030</v>
      </c>
      <c r="B3" s="2116"/>
      <c r="C3" s="1570"/>
      <c r="D3" s="1571"/>
      <c r="E3" s="1571"/>
      <c r="F3" s="1571"/>
      <c r="G3" s="1571"/>
      <c r="H3" s="1571"/>
      <c r="I3" s="1571"/>
      <c r="J3" s="1571"/>
      <c r="K3" s="1571"/>
      <c r="L3" s="1571"/>
      <c r="M3" s="1572"/>
      <c r="N3" s="1573"/>
    </row>
    <row r="4" spans="1:14" ht="13.5" customHeight="1" x14ac:dyDescent="0.2">
      <c r="A4" s="463" t="s">
        <v>1750</v>
      </c>
      <c r="B4" s="464"/>
      <c r="C4" s="465">
        <v>2437</v>
      </c>
      <c r="D4" s="465">
        <v>11921</v>
      </c>
      <c r="E4" s="465">
        <v>47928</v>
      </c>
      <c r="F4" s="465">
        <v>10999</v>
      </c>
      <c r="G4" s="465">
        <v>13241</v>
      </c>
      <c r="H4" s="465">
        <v>11035</v>
      </c>
      <c r="I4" s="465">
        <v>2032</v>
      </c>
      <c r="J4" s="465">
        <v>50625</v>
      </c>
      <c r="K4" s="465">
        <v>54190</v>
      </c>
      <c r="L4" s="465">
        <v>56809</v>
      </c>
      <c r="M4" s="468"/>
      <c r="N4" s="469"/>
    </row>
    <row r="5" spans="1:14" x14ac:dyDescent="0.2">
      <c r="A5" s="463" t="s">
        <v>1049</v>
      </c>
      <c r="B5" s="470">
        <v>120</v>
      </c>
      <c r="C5" s="465">
        <v>6662916</v>
      </c>
      <c r="D5" s="465">
        <v>1943835</v>
      </c>
      <c r="E5" s="465">
        <v>761761</v>
      </c>
      <c r="F5" s="465">
        <v>1332232</v>
      </c>
      <c r="G5" s="465">
        <v>1226586</v>
      </c>
      <c r="H5" s="465">
        <v>159877</v>
      </c>
      <c r="I5" s="465">
        <v>5065180</v>
      </c>
      <c r="J5" s="465">
        <v>76548</v>
      </c>
      <c r="K5" s="465">
        <v>777725</v>
      </c>
      <c r="L5" s="471">
        <v>0</v>
      </c>
      <c r="M5" s="468"/>
      <c r="N5" s="469"/>
    </row>
    <row r="6" spans="1:14" ht="13.5" customHeight="1" x14ac:dyDescent="0.2">
      <c r="A6" s="472" t="s">
        <v>437</v>
      </c>
      <c r="B6" s="470">
        <v>130</v>
      </c>
      <c r="C6" s="465">
        <v>0</v>
      </c>
      <c r="D6" s="465">
        <v>0</v>
      </c>
      <c r="E6" s="465">
        <v>0</v>
      </c>
      <c r="F6" s="465">
        <v>0</v>
      </c>
      <c r="G6" s="465">
        <v>0</v>
      </c>
      <c r="H6" s="465">
        <v>0</v>
      </c>
      <c r="I6" s="465">
        <v>0</v>
      </c>
      <c r="J6" s="465">
        <v>0</v>
      </c>
      <c r="K6" s="465">
        <v>0</v>
      </c>
      <c r="L6" s="473"/>
      <c r="M6" s="468"/>
      <c r="N6" s="469"/>
    </row>
    <row r="7" spans="1:14" ht="13.5" customHeight="1" x14ac:dyDescent="0.2">
      <c r="A7" s="472" t="s">
        <v>438</v>
      </c>
      <c r="B7" s="470">
        <v>140</v>
      </c>
      <c r="C7" s="465">
        <v>0</v>
      </c>
      <c r="D7" s="465">
        <v>0</v>
      </c>
      <c r="E7" s="465">
        <v>0</v>
      </c>
      <c r="F7" s="465">
        <v>0</v>
      </c>
      <c r="G7" s="465">
        <v>0</v>
      </c>
      <c r="H7" s="465">
        <v>0</v>
      </c>
      <c r="I7" s="465">
        <v>0</v>
      </c>
      <c r="J7" s="465">
        <v>0</v>
      </c>
      <c r="K7" s="465">
        <v>0</v>
      </c>
      <c r="L7" s="474"/>
      <c r="M7" s="468"/>
      <c r="N7" s="469"/>
    </row>
    <row r="8" spans="1:14" ht="13.5" customHeight="1" x14ac:dyDescent="0.2">
      <c r="A8" s="472" t="s">
        <v>287</v>
      </c>
      <c r="B8" s="470">
        <v>150</v>
      </c>
      <c r="C8" s="465">
        <v>0</v>
      </c>
      <c r="D8" s="465">
        <v>0</v>
      </c>
      <c r="E8" s="465">
        <v>0</v>
      </c>
      <c r="F8" s="465">
        <v>0</v>
      </c>
      <c r="G8" s="465">
        <v>0</v>
      </c>
      <c r="H8" s="465">
        <v>0</v>
      </c>
      <c r="I8" s="465">
        <v>0</v>
      </c>
      <c r="J8" s="465">
        <v>0</v>
      </c>
      <c r="K8" s="465">
        <v>0</v>
      </c>
      <c r="L8" s="477"/>
      <c r="M8" s="468"/>
      <c r="N8" s="469"/>
    </row>
    <row r="9" spans="1:14" ht="13.5" customHeight="1" x14ac:dyDescent="0.2">
      <c r="A9" s="472" t="s">
        <v>288</v>
      </c>
      <c r="B9" s="470">
        <v>160</v>
      </c>
      <c r="C9" s="465">
        <v>0</v>
      </c>
      <c r="D9" s="465">
        <v>0</v>
      </c>
      <c r="E9" s="465">
        <v>0</v>
      </c>
      <c r="F9" s="465">
        <v>0</v>
      </c>
      <c r="G9" s="465">
        <v>0</v>
      </c>
      <c r="H9" s="465">
        <v>0</v>
      </c>
      <c r="I9" s="465">
        <v>0</v>
      </c>
      <c r="J9" s="465">
        <v>0</v>
      </c>
      <c r="K9" s="465">
        <v>0</v>
      </c>
      <c r="L9" s="467">
        <v>0</v>
      </c>
      <c r="M9" s="468"/>
      <c r="N9" s="469"/>
    </row>
    <row r="10" spans="1:14" ht="13.5" customHeight="1" x14ac:dyDescent="0.2">
      <c r="A10" s="472" t="s">
        <v>1048</v>
      </c>
      <c r="B10" s="470">
        <v>170</v>
      </c>
      <c r="C10" s="465">
        <v>0</v>
      </c>
      <c r="D10" s="465">
        <v>0</v>
      </c>
      <c r="E10" s="465">
        <v>0</v>
      </c>
      <c r="F10" s="465">
        <v>0</v>
      </c>
      <c r="G10" s="465">
        <v>0</v>
      </c>
      <c r="H10" s="465">
        <v>0</v>
      </c>
      <c r="I10" s="465">
        <v>0</v>
      </c>
      <c r="J10" s="465">
        <v>0</v>
      </c>
      <c r="K10" s="465">
        <v>0</v>
      </c>
      <c r="L10" s="478">
        <v>0</v>
      </c>
      <c r="M10" s="469"/>
      <c r="N10" s="469"/>
    </row>
    <row r="11" spans="1:14" ht="13.5" customHeight="1" x14ac:dyDescent="0.2">
      <c r="A11" s="472" t="s">
        <v>289</v>
      </c>
      <c r="B11" s="470">
        <v>180</v>
      </c>
      <c r="C11" s="465">
        <v>0</v>
      </c>
      <c r="D11" s="465">
        <v>0</v>
      </c>
      <c r="E11" s="465">
        <v>0</v>
      </c>
      <c r="F11" s="465">
        <v>0</v>
      </c>
      <c r="G11" s="465">
        <v>0</v>
      </c>
      <c r="H11" s="465">
        <v>0</v>
      </c>
      <c r="I11" s="465">
        <v>0</v>
      </c>
      <c r="J11" s="465">
        <v>0</v>
      </c>
      <c r="K11" s="465">
        <v>0</v>
      </c>
      <c r="L11" s="467">
        <v>0</v>
      </c>
      <c r="M11" s="469"/>
      <c r="N11" s="469"/>
    </row>
    <row r="12" spans="1:14" ht="13.5" customHeight="1" x14ac:dyDescent="0.2">
      <c r="A12" s="472" t="s">
        <v>439</v>
      </c>
      <c r="B12" s="470">
        <v>190</v>
      </c>
      <c r="C12" s="465">
        <v>0</v>
      </c>
      <c r="D12" s="465">
        <v>0</v>
      </c>
      <c r="E12" s="465">
        <v>0</v>
      </c>
      <c r="F12" s="465">
        <v>0</v>
      </c>
      <c r="G12" s="465">
        <v>0</v>
      </c>
      <c r="H12" s="465">
        <v>0</v>
      </c>
      <c r="I12" s="465">
        <v>0</v>
      </c>
      <c r="J12" s="465">
        <v>0</v>
      </c>
      <c r="K12" s="465">
        <v>0</v>
      </c>
      <c r="L12" s="466">
        <v>0</v>
      </c>
      <c r="M12" s="469"/>
      <c r="N12" s="469"/>
    </row>
    <row r="13" spans="1:14" ht="13.5" customHeight="1" thickBot="1" x14ac:dyDescent="0.25">
      <c r="A13" s="1747" t="s">
        <v>665</v>
      </c>
      <c r="B13" s="1720"/>
      <c r="C13" s="1748">
        <f>SUM(C4:C12)</f>
        <v>6665353</v>
      </c>
      <c r="D13" s="1748">
        <f t="shared" ref="D13:L13" si="0">SUM(D4:D12)</f>
        <v>1955756</v>
      </c>
      <c r="E13" s="1748">
        <f t="shared" si="0"/>
        <v>809689</v>
      </c>
      <c r="F13" s="1748">
        <f t="shared" si="0"/>
        <v>1343231</v>
      </c>
      <c r="G13" s="1748">
        <f t="shared" si="0"/>
        <v>1239827</v>
      </c>
      <c r="H13" s="1748">
        <f t="shared" si="0"/>
        <v>170912</v>
      </c>
      <c r="I13" s="1748">
        <f t="shared" si="0"/>
        <v>5067212</v>
      </c>
      <c r="J13" s="1748">
        <f t="shared" si="0"/>
        <v>127173</v>
      </c>
      <c r="K13" s="1748">
        <f t="shared" si="0"/>
        <v>831915</v>
      </c>
      <c r="L13" s="1748">
        <f t="shared" si="0"/>
        <v>56809</v>
      </c>
      <c r="M13" s="468"/>
      <c r="N13" s="469"/>
    </row>
    <row r="14" spans="1:14" ht="18" customHeight="1" thickTop="1" x14ac:dyDescent="0.2">
      <c r="A14" s="2117" t="s">
        <v>149</v>
      </c>
      <c r="B14" s="2118"/>
      <c r="C14" s="1574"/>
      <c r="D14" s="1575"/>
      <c r="E14" s="1575"/>
      <c r="F14" s="1575"/>
      <c r="G14" s="1575"/>
      <c r="H14" s="1575"/>
      <c r="I14" s="1575"/>
      <c r="J14" s="1575"/>
      <c r="K14" s="1575"/>
      <c r="L14" s="1575"/>
      <c r="M14" s="1576"/>
      <c r="N14" s="1577"/>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7">
        <f>'Cap Outlay Deprec 26'!F5+'Cap Outlay Deprec 26'!F6</f>
        <v>135061</v>
      </c>
      <c r="N16" s="481"/>
    </row>
    <row r="17" spans="1:14" s="482" customFormat="1" ht="12.75" customHeight="1" x14ac:dyDescent="0.2">
      <c r="A17" s="479" t="s">
        <v>1470</v>
      </c>
      <c r="B17" s="480">
        <v>230</v>
      </c>
      <c r="C17" s="474"/>
      <c r="D17" s="474"/>
      <c r="E17" s="474"/>
      <c r="F17" s="474"/>
      <c r="G17" s="474"/>
      <c r="H17" s="474"/>
      <c r="I17" s="474"/>
      <c r="J17" s="474"/>
      <c r="K17" s="474"/>
      <c r="L17" s="474"/>
      <c r="M17" s="467">
        <f>'Cap Outlay Deprec 26'!F8+'Cap Outlay Deprec 26'!F9</f>
        <v>17190207</v>
      </c>
      <c r="N17" s="481"/>
    </row>
    <row r="18" spans="1:14" s="482" customFormat="1" ht="12.75" customHeight="1" x14ac:dyDescent="0.2">
      <c r="A18" s="479" t="s">
        <v>1471</v>
      </c>
      <c r="B18" s="480">
        <v>240</v>
      </c>
      <c r="C18" s="474"/>
      <c r="D18" s="474"/>
      <c r="E18" s="474"/>
      <c r="F18" s="474"/>
      <c r="G18" s="474"/>
      <c r="H18" s="474"/>
      <c r="I18" s="474"/>
      <c r="J18" s="474"/>
      <c r="K18" s="474"/>
      <c r="L18" s="474"/>
      <c r="M18" s="467">
        <f>'Cap Outlay Deprec 26'!F10</f>
        <v>185241</v>
      </c>
      <c r="N18" s="481"/>
    </row>
    <row r="19" spans="1:14" s="482" customFormat="1" ht="12.75" customHeight="1" x14ac:dyDescent="0.2">
      <c r="A19" s="479" t="s">
        <v>1472</v>
      </c>
      <c r="B19" s="480">
        <v>250</v>
      </c>
      <c r="C19" s="474"/>
      <c r="D19" s="474"/>
      <c r="E19" s="474"/>
      <c r="F19" s="474"/>
      <c r="G19" s="474"/>
      <c r="H19" s="474"/>
      <c r="I19" s="474"/>
      <c r="J19" s="474"/>
      <c r="K19" s="474"/>
      <c r="L19" s="474"/>
      <c r="M19" s="467">
        <f>'Cap Outlay Deprec 26'!F12+'Cap Outlay Deprec 26'!F13+'Cap Outlay Deprec 26'!F14</f>
        <v>2813092</v>
      </c>
      <c r="N19" s="481"/>
    </row>
    <row r="20" spans="1:14" s="482" customFormat="1" ht="12.75" customHeight="1" x14ac:dyDescent="0.2">
      <c r="A20" s="479" t="s">
        <v>1473</v>
      </c>
      <c r="B20" s="480">
        <v>260</v>
      </c>
      <c r="C20" s="474"/>
      <c r="D20" s="474"/>
      <c r="E20" s="474"/>
      <c r="F20" s="474"/>
      <c r="G20" s="474"/>
      <c r="H20" s="474"/>
      <c r="I20" s="474"/>
      <c r="J20" s="474"/>
      <c r="K20" s="474"/>
      <c r="L20" s="474"/>
      <c r="M20" s="467">
        <f>'Cap Outlay Deprec 26'!F15</f>
        <v>124473</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7">
        <f>E38+E39</f>
        <v>809689</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7434058</v>
      </c>
    </row>
    <row r="23" spans="1:14" ht="13.5" customHeight="1" thickBot="1" x14ac:dyDescent="0.25">
      <c r="A23" s="1747" t="s">
        <v>664</v>
      </c>
      <c r="B23" s="1752"/>
      <c r="C23" s="468"/>
      <c r="D23" s="468"/>
      <c r="E23" s="468"/>
      <c r="F23" s="468"/>
      <c r="G23" s="468"/>
      <c r="H23" s="468"/>
      <c r="I23" s="468"/>
      <c r="J23" s="468"/>
      <c r="K23" s="468"/>
      <c r="L23" s="468"/>
      <c r="M23" s="1699">
        <f>SUM(M15:M22)</f>
        <v>20448074</v>
      </c>
      <c r="N23" s="1699">
        <f>SUM(N21:N22)</f>
        <v>8243747</v>
      </c>
    </row>
    <row r="24" spans="1:14" ht="18" customHeight="1" thickTop="1" x14ac:dyDescent="0.2">
      <c r="A24" s="2119" t="s">
        <v>619</v>
      </c>
      <c r="B24" s="2120"/>
      <c r="C24" s="1579"/>
      <c r="D24" s="1576"/>
      <c r="E24" s="1576"/>
      <c r="F24" s="1576"/>
      <c r="G24" s="1576"/>
      <c r="H24" s="1576"/>
      <c r="I24" s="1576"/>
      <c r="J24" s="1576"/>
      <c r="K24" s="1576"/>
      <c r="L24" s="1576"/>
      <c r="M24" s="1575"/>
      <c r="N24" s="1580"/>
    </row>
    <row r="25" spans="1:14" x14ac:dyDescent="0.2">
      <c r="A25" s="472" t="s">
        <v>666</v>
      </c>
      <c r="B25" s="470">
        <v>410</v>
      </c>
      <c r="C25" s="465">
        <v>0</v>
      </c>
      <c r="D25" s="465">
        <v>0</v>
      </c>
      <c r="E25" s="465">
        <v>0</v>
      </c>
      <c r="F25" s="465">
        <v>0</v>
      </c>
      <c r="G25" s="465">
        <v>0</v>
      </c>
      <c r="H25" s="465">
        <v>0</v>
      </c>
      <c r="I25" s="468"/>
      <c r="J25" s="465">
        <v>0</v>
      </c>
      <c r="K25" s="465">
        <v>0</v>
      </c>
      <c r="L25" s="468"/>
      <c r="M25" s="468"/>
      <c r="N25" s="468"/>
    </row>
    <row r="26" spans="1:14" x14ac:dyDescent="0.2">
      <c r="A26" s="472" t="s">
        <v>667</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668</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669</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670</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671</v>
      </c>
      <c r="B30" s="470">
        <v>470</v>
      </c>
      <c r="C30" s="465">
        <v>0</v>
      </c>
      <c r="D30" s="465">
        <v>0</v>
      </c>
      <c r="E30" s="465">
        <v>0</v>
      </c>
      <c r="F30" s="465">
        <v>0</v>
      </c>
      <c r="G30" s="465">
        <v>0</v>
      </c>
      <c r="H30" s="465">
        <v>0</v>
      </c>
      <c r="I30" s="465">
        <v>0</v>
      </c>
      <c r="J30" s="465">
        <v>0</v>
      </c>
      <c r="K30" s="465">
        <v>0</v>
      </c>
      <c r="L30" s="468"/>
      <c r="M30" s="468"/>
      <c r="N30" s="468"/>
    </row>
    <row r="31" spans="1:14" ht="13.5" customHeight="1" x14ac:dyDescent="0.2">
      <c r="A31" s="472" t="s">
        <v>672</v>
      </c>
      <c r="B31" s="470">
        <v>480</v>
      </c>
      <c r="C31" s="465">
        <v>0</v>
      </c>
      <c r="D31" s="465">
        <v>0</v>
      </c>
      <c r="E31" s="465">
        <v>0</v>
      </c>
      <c r="F31" s="465">
        <v>0</v>
      </c>
      <c r="G31" s="465">
        <v>0</v>
      </c>
      <c r="H31" s="465">
        <v>0</v>
      </c>
      <c r="I31" s="465">
        <v>0</v>
      </c>
      <c r="J31" s="465">
        <v>0</v>
      </c>
      <c r="K31" s="465">
        <v>0</v>
      </c>
      <c r="L31" s="468"/>
      <c r="M31" s="468"/>
      <c r="N31" s="468"/>
    </row>
    <row r="32" spans="1:14" ht="13.5" customHeight="1" x14ac:dyDescent="0.2">
      <c r="A32" s="486" t="s">
        <v>673</v>
      </c>
      <c r="B32" s="487">
        <v>490</v>
      </c>
      <c r="C32" s="465">
        <v>0</v>
      </c>
      <c r="D32" s="465">
        <v>0</v>
      </c>
      <c r="E32" s="465">
        <v>0</v>
      </c>
      <c r="F32" s="465">
        <v>0</v>
      </c>
      <c r="G32" s="465">
        <v>0</v>
      </c>
      <c r="H32" s="465">
        <v>0</v>
      </c>
      <c r="I32" s="465">
        <v>0</v>
      </c>
      <c r="J32" s="465">
        <v>0</v>
      </c>
      <c r="K32" s="465">
        <v>0</v>
      </c>
      <c r="L32" s="468"/>
      <c r="M32" s="468"/>
      <c r="N32" s="468"/>
    </row>
    <row r="33" spans="1:14" ht="13.5" customHeight="1" x14ac:dyDescent="0.2">
      <c r="A33" s="489" t="s">
        <v>321</v>
      </c>
      <c r="B33" s="487">
        <v>493</v>
      </c>
      <c r="C33" s="465">
        <v>0</v>
      </c>
      <c r="D33" s="465">
        <v>0</v>
      </c>
      <c r="E33" s="465">
        <v>0</v>
      </c>
      <c r="F33" s="465">
        <v>0</v>
      </c>
      <c r="G33" s="465">
        <v>0</v>
      </c>
      <c r="H33" s="465">
        <v>0</v>
      </c>
      <c r="I33" s="465">
        <v>0</v>
      </c>
      <c r="J33" s="465">
        <v>0</v>
      </c>
      <c r="K33" s="465">
        <v>0</v>
      </c>
      <c r="L33" s="465">
        <v>56809</v>
      </c>
      <c r="M33" s="468"/>
      <c r="N33" s="469"/>
    </row>
    <row r="34" spans="1:14" ht="13.5" customHeight="1" thickBot="1" x14ac:dyDescent="0.25">
      <c r="A34" s="1749" t="s">
        <v>675</v>
      </c>
      <c r="B34" s="1750"/>
      <c r="C34" s="1751">
        <f>SUM(C25:C33)</f>
        <v>0</v>
      </c>
      <c r="D34" s="1751">
        <f t="shared" ref="D34:K34" si="1">SUM(D25:D33)</f>
        <v>0</v>
      </c>
      <c r="E34" s="1751">
        <f t="shared" si="1"/>
        <v>0</v>
      </c>
      <c r="F34" s="1751">
        <f t="shared" si="1"/>
        <v>0</v>
      </c>
      <c r="G34" s="1751">
        <f t="shared" si="1"/>
        <v>0</v>
      </c>
      <c r="H34" s="1751">
        <f t="shared" si="1"/>
        <v>0</v>
      </c>
      <c r="I34" s="1751">
        <f t="shared" si="1"/>
        <v>0</v>
      </c>
      <c r="J34" s="1751">
        <f t="shared" si="1"/>
        <v>0</v>
      </c>
      <c r="K34" s="1751">
        <f t="shared" si="1"/>
        <v>0</v>
      </c>
      <c r="L34" s="1732">
        <f>SUM(L33)</f>
        <v>56809</v>
      </c>
      <c r="M34" s="468"/>
      <c r="N34" s="477"/>
    </row>
    <row r="35" spans="1:14" ht="18" customHeight="1" thickTop="1" x14ac:dyDescent="0.2">
      <c r="A35" s="2121" t="s">
        <v>550</v>
      </c>
      <c r="B35" s="2122"/>
      <c r="C35" s="1581"/>
      <c r="D35" s="1582"/>
      <c r="E35" s="1582"/>
      <c r="F35" s="1582"/>
      <c r="G35" s="1582"/>
      <c r="H35" s="1582"/>
      <c r="I35" s="1582"/>
      <c r="J35" s="1582"/>
      <c r="K35" s="1582"/>
      <c r="L35" s="1582"/>
      <c r="M35" s="1576"/>
      <c r="N35" s="1580"/>
    </row>
    <row r="36" spans="1:14" x14ac:dyDescent="0.2">
      <c r="A36" s="490" t="s">
        <v>1</v>
      </c>
      <c r="B36" s="470">
        <v>511</v>
      </c>
      <c r="C36" s="474"/>
      <c r="D36" s="474"/>
      <c r="E36" s="474"/>
      <c r="F36" s="474"/>
      <c r="G36" s="474"/>
      <c r="H36" s="474"/>
      <c r="I36" s="474"/>
      <c r="J36" s="474"/>
      <c r="K36" s="474"/>
      <c r="L36" s="468"/>
      <c r="M36" s="468"/>
      <c r="N36" s="491">
        <f>'Short-Term Long-Term Debt 24'!I49</f>
        <v>8243747</v>
      </c>
    </row>
    <row r="37" spans="1:14" ht="13.5" thickBot="1" x14ac:dyDescent="0.25">
      <c r="A37" s="1747" t="s">
        <v>674</v>
      </c>
      <c r="B37" s="1752"/>
      <c r="C37" s="474"/>
      <c r="D37" s="474"/>
      <c r="E37" s="474"/>
      <c r="F37" s="474"/>
      <c r="G37" s="474"/>
      <c r="H37" s="474"/>
      <c r="I37" s="474"/>
      <c r="J37" s="474"/>
      <c r="K37" s="474"/>
      <c r="L37" s="477"/>
      <c r="M37" s="468"/>
      <c r="N37" s="1699">
        <f>SUM(N36:N36)</f>
        <v>8243747</v>
      </c>
    </row>
    <row r="38" spans="1:14" s="329" customFormat="1" ht="13.5" customHeight="1" thickTop="1" x14ac:dyDescent="0.2">
      <c r="A38" s="492" t="s">
        <v>440</v>
      </c>
      <c r="B38" s="480">
        <v>714</v>
      </c>
      <c r="C38" s="465">
        <v>0</v>
      </c>
      <c r="D38" s="465">
        <v>0</v>
      </c>
      <c r="E38" s="465">
        <v>0</v>
      </c>
      <c r="F38" s="465">
        <v>0</v>
      </c>
      <c r="G38" s="465">
        <v>0</v>
      </c>
      <c r="H38" s="465">
        <v>0</v>
      </c>
      <c r="I38" s="465">
        <v>0</v>
      </c>
      <c r="J38" s="465">
        <v>0</v>
      </c>
      <c r="K38" s="465">
        <v>0</v>
      </c>
      <c r="L38" s="478">
        <v>0</v>
      </c>
      <c r="M38" s="493"/>
      <c r="N38" s="493"/>
    </row>
    <row r="39" spans="1:14" s="329" customFormat="1" ht="13.5" customHeight="1" x14ac:dyDescent="0.2">
      <c r="A39" s="492" t="s">
        <v>360</v>
      </c>
      <c r="B39" s="480">
        <v>730</v>
      </c>
      <c r="C39" s="465">
        <v>6665353</v>
      </c>
      <c r="D39" s="465">
        <v>1955756</v>
      </c>
      <c r="E39" s="465">
        <v>809689</v>
      </c>
      <c r="F39" s="465">
        <v>1343231</v>
      </c>
      <c r="G39" s="465">
        <v>1239827</v>
      </c>
      <c r="H39" s="465">
        <v>170912</v>
      </c>
      <c r="I39" s="465">
        <v>5067212</v>
      </c>
      <c r="J39" s="465">
        <v>127173</v>
      </c>
      <c r="K39" s="465">
        <v>831915</v>
      </c>
      <c r="L39" s="466">
        <v>0</v>
      </c>
      <c r="M39" s="493"/>
      <c r="N39" s="493"/>
    </row>
    <row r="40" spans="1:14" s="329" customFormat="1" ht="13.5" customHeight="1" x14ac:dyDescent="0.2">
      <c r="A40" s="494" t="s">
        <v>150</v>
      </c>
      <c r="B40" s="495"/>
      <c r="C40" s="496"/>
      <c r="D40" s="496"/>
      <c r="E40" s="496"/>
      <c r="F40" s="496"/>
      <c r="G40" s="496"/>
      <c r="H40" s="496"/>
      <c r="I40" s="496"/>
      <c r="J40" s="496"/>
      <c r="K40" s="496"/>
      <c r="L40" s="496"/>
      <c r="M40" s="467">
        <f>M23</f>
        <v>20448074</v>
      </c>
      <c r="N40" s="493"/>
    </row>
    <row r="41" spans="1:14" ht="13.5" customHeight="1" thickBot="1" x14ac:dyDescent="0.25">
      <c r="A41" s="1747" t="s">
        <v>676</v>
      </c>
      <c r="B41" s="1717"/>
      <c r="C41" s="1699">
        <f>(SUM(C34,C37,C38,C39))</f>
        <v>6665353</v>
      </c>
      <c r="D41" s="1699">
        <f t="shared" ref="D41:L41" si="2">SUM(D34,D37,D38:D39)</f>
        <v>1955756</v>
      </c>
      <c r="E41" s="1699">
        <f t="shared" si="2"/>
        <v>809689</v>
      </c>
      <c r="F41" s="1699">
        <f t="shared" si="2"/>
        <v>1343231</v>
      </c>
      <c r="G41" s="1699">
        <f t="shared" si="2"/>
        <v>1239827</v>
      </c>
      <c r="H41" s="1699">
        <f t="shared" si="2"/>
        <v>170912</v>
      </c>
      <c r="I41" s="1699">
        <f t="shared" si="2"/>
        <v>5067212</v>
      </c>
      <c r="J41" s="1699">
        <f t="shared" si="2"/>
        <v>127173</v>
      </c>
      <c r="K41" s="1699">
        <f t="shared" si="2"/>
        <v>831915</v>
      </c>
      <c r="L41" s="1699">
        <f t="shared" si="2"/>
        <v>56809</v>
      </c>
      <c r="M41" s="1699">
        <f>SUM(M40)</f>
        <v>20448074</v>
      </c>
      <c r="N41" s="1699">
        <f>SUM(N37)</f>
        <v>8243747</v>
      </c>
    </row>
    <row r="42" spans="1:14" ht="13.5" thickTop="1" x14ac:dyDescent="0.2"/>
    <row r="43" spans="1:14" x14ac:dyDescent="0.2">
      <c r="A43" s="247"/>
      <c r="C43" s="499"/>
    </row>
    <row r="44" spans="1:14" x14ac:dyDescent="0.2">
      <c r="A44" s="247"/>
      <c r="C44" s="499"/>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12" activePane="bottomLeft" state="frozenSplit"/>
      <selection pane="bottomLeft"/>
    </sheetView>
  </sheetViews>
  <sheetFormatPr defaultColWidth="9.140625" defaultRowHeight="12.75" x14ac:dyDescent="0.2"/>
  <cols>
    <col min="1" max="1" width="55.85546875" style="497" customWidth="1"/>
    <col min="2" max="2" width="4.7109375" style="498" customWidth="1"/>
    <col min="3" max="11" width="13.7109375" style="457" customWidth="1"/>
    <col min="12" max="12" width="2" style="457" customWidth="1"/>
    <col min="13" max="16384" width="9.140625" style="457"/>
  </cols>
  <sheetData>
    <row r="1" spans="1:13" ht="12.75" customHeight="1" x14ac:dyDescent="0.2">
      <c r="A1" s="2131" t="s">
        <v>1751</v>
      </c>
      <c r="B1" s="452"/>
      <c r="C1" s="500" t="s">
        <v>445</v>
      </c>
      <c r="D1" s="500" t="s">
        <v>446</v>
      </c>
      <c r="E1" s="500" t="s">
        <v>447</v>
      </c>
      <c r="F1" s="500" t="s">
        <v>448</v>
      </c>
      <c r="G1" s="500" t="s">
        <v>449</v>
      </c>
      <c r="H1" s="500" t="s">
        <v>450</v>
      </c>
      <c r="I1" s="500" t="s">
        <v>451</v>
      </c>
      <c r="J1" s="500" t="s">
        <v>452</v>
      </c>
      <c r="K1" s="500" t="s">
        <v>780</v>
      </c>
      <c r="L1" s="497"/>
    </row>
    <row r="2" spans="1:13" s="501" customFormat="1" ht="37.5" customHeight="1" x14ac:dyDescent="0.2">
      <c r="A2" s="2132"/>
      <c r="B2" s="458" t="s">
        <v>396</v>
      </c>
      <c r="C2" s="459" t="s">
        <v>1217</v>
      </c>
      <c r="D2" s="459" t="s">
        <v>925</v>
      </c>
      <c r="E2" s="459" t="s">
        <v>458</v>
      </c>
      <c r="F2" s="459" t="s">
        <v>157</v>
      </c>
      <c r="G2" s="459" t="s">
        <v>1046</v>
      </c>
      <c r="H2" s="459" t="s">
        <v>457</v>
      </c>
      <c r="I2" s="459" t="s">
        <v>427</v>
      </c>
      <c r="J2" s="459" t="s">
        <v>456</v>
      </c>
      <c r="K2" s="459" t="s">
        <v>159</v>
      </c>
      <c r="L2" s="498"/>
    </row>
    <row r="3" spans="1:13" s="503" customFormat="1" ht="16.7" customHeight="1" x14ac:dyDescent="0.2">
      <c r="A3" s="2143" t="s">
        <v>1237</v>
      </c>
      <c r="B3" s="2144"/>
      <c r="C3" s="1584"/>
      <c r="D3" s="1585"/>
      <c r="E3" s="1585"/>
      <c r="F3" s="1585"/>
      <c r="G3" s="1585"/>
      <c r="H3" s="1585"/>
      <c r="I3" s="1585"/>
      <c r="J3" s="1585"/>
      <c r="K3" s="1586"/>
      <c r="L3" s="502"/>
    </row>
    <row r="4" spans="1:13" ht="15.75" customHeight="1" x14ac:dyDescent="0.2">
      <c r="A4" s="1942" t="s">
        <v>1579</v>
      </c>
      <c r="B4" s="1943">
        <v>1000</v>
      </c>
      <c r="C4" s="1753">
        <f>'Revenues 9-14'!C109</f>
        <v>8907303</v>
      </c>
      <c r="D4" s="1753">
        <f>'Revenues 9-14'!D109</f>
        <v>739703</v>
      </c>
      <c r="E4" s="1753">
        <f>'Revenues 9-14'!E109</f>
        <v>1241842</v>
      </c>
      <c r="F4" s="1753">
        <f>'Revenues 9-14'!F109</f>
        <v>393146</v>
      </c>
      <c r="G4" s="1753">
        <f>'Revenues 9-14'!G109</f>
        <v>439448</v>
      </c>
      <c r="H4" s="1753">
        <f>'Revenues 9-14'!H109</f>
        <v>0</v>
      </c>
      <c r="I4" s="1753">
        <f>'Revenues 9-14'!I109</f>
        <v>19669</v>
      </c>
      <c r="J4" s="1753">
        <f>'Revenues 9-14'!J109</f>
        <v>80979</v>
      </c>
      <c r="K4" s="1753">
        <f>'Revenues 9-14'!K109</f>
        <v>2415</v>
      </c>
      <c r="L4" s="347"/>
    </row>
    <row r="5" spans="1:13" ht="15.75" customHeight="1" x14ac:dyDescent="0.2">
      <c r="A5" s="1587" t="s">
        <v>1580</v>
      </c>
      <c r="B5" s="1588">
        <v>2000</v>
      </c>
      <c r="C5" s="1754">
        <f>'Revenues 9-14'!C114</f>
        <v>0</v>
      </c>
      <c r="D5" s="1754">
        <f>'Revenues 9-14'!D114</f>
        <v>0</v>
      </c>
      <c r="E5" s="504"/>
      <c r="F5" s="1754">
        <f>'Revenues 9-14'!F114</f>
        <v>0</v>
      </c>
      <c r="G5" s="1754">
        <f>'Revenues 9-14'!G114</f>
        <v>0</v>
      </c>
      <c r="H5" s="505" t="s">
        <v>1231</v>
      </c>
      <c r="I5" s="506" t="s">
        <v>1231</v>
      </c>
      <c r="J5" s="507" t="s">
        <v>1231</v>
      </c>
      <c r="K5" s="508" t="s">
        <v>1231</v>
      </c>
      <c r="L5" s="347"/>
    </row>
    <row r="6" spans="1:13" ht="15.75" customHeight="1" x14ac:dyDescent="0.2">
      <c r="A6" s="1587" t="s">
        <v>1581</v>
      </c>
      <c r="B6" s="1589">
        <v>3000</v>
      </c>
      <c r="C6" s="1754">
        <f>'Revenues 9-14'!C173</f>
        <v>809428</v>
      </c>
      <c r="D6" s="1754">
        <f>'Revenues 9-14'!D173</f>
        <v>0</v>
      </c>
      <c r="E6" s="1754">
        <f>'Revenues 9-14'!E173</f>
        <v>0</v>
      </c>
      <c r="F6" s="1754">
        <f>'Revenues 9-14'!F173</f>
        <v>235823</v>
      </c>
      <c r="G6" s="1754">
        <f>'Revenues 9-14'!G173</f>
        <v>0</v>
      </c>
      <c r="H6" s="1754">
        <f>'Revenues 9-14'!H173</f>
        <v>0</v>
      </c>
      <c r="I6" s="1754">
        <f>'Revenues 9-14'!I173</f>
        <v>0</v>
      </c>
      <c r="J6" s="1754">
        <f>'Revenues 9-14'!J173</f>
        <v>0</v>
      </c>
      <c r="K6" s="1754">
        <f>'Revenues 9-14'!K173</f>
        <v>0</v>
      </c>
      <c r="L6" s="347"/>
      <c r="M6" s="509"/>
    </row>
    <row r="7" spans="1:13" ht="15.75" customHeight="1" x14ac:dyDescent="0.2">
      <c r="A7" s="1587" t="s">
        <v>1582</v>
      </c>
      <c r="B7" s="1589">
        <v>4000</v>
      </c>
      <c r="C7" s="1754">
        <f>'Revenues 9-14'!C274</f>
        <v>391598</v>
      </c>
      <c r="D7" s="1754">
        <f>'Revenues 9-14'!D274</f>
        <v>0</v>
      </c>
      <c r="E7" s="1754">
        <f>'Revenues 9-14'!E274</f>
        <v>0</v>
      </c>
      <c r="F7" s="1754">
        <f>'Revenues 9-14'!F274</f>
        <v>0</v>
      </c>
      <c r="G7" s="1754">
        <f>'Revenues 9-14'!G274</f>
        <v>0</v>
      </c>
      <c r="H7" s="1754">
        <f>'Revenues 9-14'!H274</f>
        <v>0</v>
      </c>
      <c r="I7" s="1754">
        <f>'Revenues 9-14'!I274</f>
        <v>0</v>
      </c>
      <c r="J7" s="1754">
        <f>'Revenues 9-14'!J274</f>
        <v>0</v>
      </c>
      <c r="K7" s="1754">
        <f>'Revenues 9-14'!K274</f>
        <v>0</v>
      </c>
      <c r="L7" s="347"/>
      <c r="M7" s="509"/>
    </row>
    <row r="8" spans="1:13" ht="13.5" thickBot="1" x14ac:dyDescent="0.25">
      <c r="A8" s="1747" t="s">
        <v>1234</v>
      </c>
      <c r="B8" s="1720"/>
      <c r="C8" s="1699">
        <f>SUM(C4:C7)</f>
        <v>10108329</v>
      </c>
      <c r="D8" s="1699">
        <f t="shared" ref="D8:K8" si="0">SUM(D4:D7)</f>
        <v>739703</v>
      </c>
      <c r="E8" s="1699">
        <f t="shared" si="0"/>
        <v>1241842</v>
      </c>
      <c r="F8" s="1699">
        <f t="shared" si="0"/>
        <v>628969</v>
      </c>
      <c r="G8" s="1699">
        <f t="shared" si="0"/>
        <v>439448</v>
      </c>
      <c r="H8" s="1699">
        <f t="shared" si="0"/>
        <v>0</v>
      </c>
      <c r="I8" s="1699">
        <f t="shared" si="0"/>
        <v>19669</v>
      </c>
      <c r="J8" s="1699">
        <f t="shared" si="0"/>
        <v>80979</v>
      </c>
      <c r="K8" s="1699">
        <f t="shared" si="0"/>
        <v>2415</v>
      </c>
      <c r="L8" s="347"/>
    </row>
    <row r="9" spans="1:13" ht="15.75" thickTop="1" x14ac:dyDescent="0.2">
      <c r="A9" s="510" t="s">
        <v>1752</v>
      </c>
      <c r="B9" s="511">
        <v>3998</v>
      </c>
      <c r="C9" s="478">
        <v>3780952</v>
      </c>
      <c r="D9" s="512">
        <v>0</v>
      </c>
      <c r="E9" s="478">
        <v>0</v>
      </c>
      <c r="F9" s="478">
        <v>0</v>
      </c>
      <c r="G9" s="513">
        <v>0</v>
      </c>
      <c r="H9" s="478">
        <v>0</v>
      </c>
      <c r="I9" s="505" t="s">
        <v>1231</v>
      </c>
      <c r="J9" s="475">
        <v>0</v>
      </c>
      <c r="K9" s="478">
        <v>0</v>
      </c>
      <c r="L9" s="347"/>
    </row>
    <row r="10" spans="1:13" s="515" customFormat="1" ht="13.5" thickBot="1" x14ac:dyDescent="0.25">
      <c r="A10" s="1747" t="s">
        <v>1235</v>
      </c>
      <c r="B10" s="1720"/>
      <c r="C10" s="1699">
        <f>SUM(C8:C9)</f>
        <v>13889281</v>
      </c>
      <c r="D10" s="1699">
        <f t="shared" ref="D10:K10" si="1">SUM(D8:D9)</f>
        <v>739703</v>
      </c>
      <c r="E10" s="1699">
        <f t="shared" si="1"/>
        <v>1241842</v>
      </c>
      <c r="F10" s="1699">
        <f t="shared" si="1"/>
        <v>628969</v>
      </c>
      <c r="G10" s="1699">
        <f t="shared" si="1"/>
        <v>439448</v>
      </c>
      <c r="H10" s="1699">
        <f t="shared" si="1"/>
        <v>0</v>
      </c>
      <c r="I10" s="1699">
        <f t="shared" si="1"/>
        <v>19669</v>
      </c>
      <c r="J10" s="1699">
        <f t="shared" si="1"/>
        <v>80979</v>
      </c>
      <c r="K10" s="1699">
        <f t="shared" si="1"/>
        <v>2415</v>
      </c>
      <c r="L10" s="514"/>
    </row>
    <row r="11" spans="1:13" s="515" customFormat="1" ht="16.7" customHeight="1" thickTop="1" x14ac:dyDescent="0.2">
      <c r="A11" s="2117" t="s">
        <v>1238</v>
      </c>
      <c r="B11" s="2118"/>
      <c r="C11" s="1581"/>
      <c r="D11" s="1582"/>
      <c r="E11" s="1582"/>
      <c r="F11" s="1582"/>
      <c r="G11" s="1582"/>
      <c r="H11" s="1582"/>
      <c r="I11" s="1582"/>
      <c r="J11" s="1582"/>
      <c r="K11" s="1583"/>
      <c r="L11" s="514"/>
    </row>
    <row r="12" spans="1:13" ht="15.75" customHeight="1" x14ac:dyDescent="0.2">
      <c r="A12" s="1587" t="s">
        <v>476</v>
      </c>
      <c r="B12" s="1589">
        <v>1000</v>
      </c>
      <c r="C12" s="1753">
        <f>'Expenditures 15-22'!K33</f>
        <v>5745887</v>
      </c>
      <c r="D12" s="516" t="s">
        <v>1231</v>
      </c>
      <c r="E12" s="468" t="s">
        <v>1231</v>
      </c>
      <c r="F12" s="468" t="s">
        <v>1231</v>
      </c>
      <c r="G12" s="1753">
        <f>'Expenditures 15-22'!K229</f>
        <v>144524</v>
      </c>
      <c r="H12" s="517"/>
      <c r="I12" s="468" t="s">
        <v>1231</v>
      </c>
      <c r="J12" s="468" t="s">
        <v>1231</v>
      </c>
      <c r="K12" s="517" t="s">
        <v>1231</v>
      </c>
      <c r="L12" s="347"/>
    </row>
    <row r="13" spans="1:13" ht="15.75" customHeight="1" x14ac:dyDescent="0.2">
      <c r="A13" s="1587" t="s">
        <v>477</v>
      </c>
      <c r="B13" s="1589">
        <v>2000</v>
      </c>
      <c r="C13" s="1754">
        <f>'Expenditures 15-22'!K74</f>
        <v>2788872</v>
      </c>
      <c r="D13" s="1754">
        <f>'Expenditures 15-22'!K129</f>
        <v>767783</v>
      </c>
      <c r="E13" s="469" t="s">
        <v>1231</v>
      </c>
      <c r="F13" s="1754">
        <f>'Expenditures 15-22'!K184</f>
        <v>416847</v>
      </c>
      <c r="G13" s="1754">
        <f>'Expenditures 15-22'!K279</f>
        <v>130298</v>
      </c>
      <c r="H13" s="1754">
        <f>'Expenditures 15-22'!K303</f>
        <v>1662163</v>
      </c>
      <c r="I13" s="468" t="s">
        <v>1231</v>
      </c>
      <c r="J13" s="1754">
        <f>'Expenditures 15-22'!K330</f>
        <v>54448</v>
      </c>
      <c r="K13" s="1758">
        <f>'Expenditures 15-22'!K352</f>
        <v>50665</v>
      </c>
      <c r="L13" s="347"/>
    </row>
    <row r="14" spans="1:13" ht="15.75" customHeight="1" x14ac:dyDescent="0.2">
      <c r="A14" s="1587" t="s">
        <v>469</v>
      </c>
      <c r="B14" s="1589">
        <v>3000</v>
      </c>
      <c r="C14" s="1754">
        <f>'Expenditures 15-22'!K75</f>
        <v>98</v>
      </c>
      <c r="D14" s="1754">
        <f>'Expenditures 15-22'!K130</f>
        <v>0</v>
      </c>
      <c r="E14" s="516" t="s">
        <v>1231</v>
      </c>
      <c r="F14" s="1754">
        <f>'Expenditures 15-22'!K185</f>
        <v>0</v>
      </c>
      <c r="G14" s="1754">
        <f>'Expenditures 15-22'!K280</f>
        <v>0</v>
      </c>
      <c r="H14" s="508"/>
      <c r="I14" s="468" t="s">
        <v>1231</v>
      </c>
      <c r="J14" s="468" t="s">
        <v>1231</v>
      </c>
      <c r="K14" s="508" t="s">
        <v>1231</v>
      </c>
      <c r="L14" s="347"/>
    </row>
    <row r="15" spans="1:13" ht="15.75" customHeight="1" x14ac:dyDescent="0.2">
      <c r="A15" s="1587" t="s">
        <v>109</v>
      </c>
      <c r="B15" s="1589">
        <v>4000</v>
      </c>
      <c r="C15" s="1754">
        <f>'Expenditures 15-22'!K102</f>
        <v>307556</v>
      </c>
      <c r="D15" s="1754">
        <f>'Expenditures 15-22'!K139</f>
        <v>0</v>
      </c>
      <c r="E15" s="1754">
        <f>'Expenditures 15-22'!K160</f>
        <v>0</v>
      </c>
      <c r="F15" s="1754">
        <f>'Expenditures 15-22'!K196</f>
        <v>0</v>
      </c>
      <c r="G15" s="1754">
        <f>'Expenditures 15-22'!K285</f>
        <v>0</v>
      </c>
      <c r="H15" s="1754">
        <f>'Expenditures 15-22'!K310</f>
        <v>0</v>
      </c>
      <c r="I15" s="468" t="s">
        <v>1231</v>
      </c>
      <c r="J15" s="1847">
        <f>'Expenditures 15-22'!K334</f>
        <v>0</v>
      </c>
      <c r="K15" s="1754">
        <f>'Expenditures 15-22'!K357</f>
        <v>0</v>
      </c>
      <c r="L15" s="347"/>
    </row>
    <row r="16" spans="1:13" ht="15.75" customHeight="1" x14ac:dyDescent="0.2">
      <c r="A16" s="1587" t="s">
        <v>470</v>
      </c>
      <c r="B16" s="1589">
        <v>5000</v>
      </c>
      <c r="C16" s="1754">
        <f>'Expenditures 15-22'!K112</f>
        <v>0</v>
      </c>
      <c r="D16" s="1754">
        <f>'Expenditures 15-22'!K149</f>
        <v>0</v>
      </c>
      <c r="E16" s="1754">
        <f>'Expenditures 15-22'!K172</f>
        <v>1270868</v>
      </c>
      <c r="F16" s="1754">
        <f>'Expenditures 15-22'!K208</f>
        <v>0</v>
      </c>
      <c r="G16" s="1754">
        <f>'Expenditures 15-22'!K293</f>
        <v>0</v>
      </c>
      <c r="H16" s="519"/>
      <c r="I16" s="468" t="s">
        <v>1231</v>
      </c>
      <c r="J16" s="1759">
        <f>'Expenditures 15-22'!K340</f>
        <v>0</v>
      </c>
      <c r="K16" s="1754">
        <f>'Expenditures 15-22'!K365</f>
        <v>0</v>
      </c>
      <c r="L16" s="347"/>
    </row>
    <row r="17" spans="1:12" ht="13.5" thickBot="1" x14ac:dyDescent="0.25">
      <c r="A17" s="1719" t="s">
        <v>50</v>
      </c>
      <c r="B17" s="1720"/>
      <c r="C17" s="1699">
        <f t="shared" ref="C17:H17" si="2">SUM(C12:C16)</f>
        <v>8842413</v>
      </c>
      <c r="D17" s="1699">
        <f t="shared" si="2"/>
        <v>767783</v>
      </c>
      <c r="E17" s="1699">
        <f t="shared" si="2"/>
        <v>1270868</v>
      </c>
      <c r="F17" s="1699">
        <f t="shared" si="2"/>
        <v>416847</v>
      </c>
      <c r="G17" s="1699">
        <f t="shared" si="2"/>
        <v>274822</v>
      </c>
      <c r="H17" s="1699">
        <f t="shared" si="2"/>
        <v>1662163</v>
      </c>
      <c r="I17" s="468"/>
      <c r="J17" s="1699">
        <f>SUM(J12:J16)</f>
        <v>54448</v>
      </c>
      <c r="K17" s="1699">
        <f>SUM(K12:K16)</f>
        <v>50665</v>
      </c>
      <c r="L17" s="347"/>
    </row>
    <row r="18" spans="1:12" ht="15" customHeight="1" thickTop="1" x14ac:dyDescent="0.2">
      <c r="A18" s="1755" t="s">
        <v>1753</v>
      </c>
      <c r="B18" s="1756">
        <v>4180</v>
      </c>
      <c r="C18" s="1753">
        <f t="shared" ref="C18:H18" si="3">C9</f>
        <v>3780952</v>
      </c>
      <c r="D18" s="1753">
        <f t="shared" si="3"/>
        <v>0</v>
      </c>
      <c r="E18" s="1753">
        <f t="shared" si="3"/>
        <v>0</v>
      </c>
      <c r="F18" s="1753">
        <f t="shared" si="3"/>
        <v>0</v>
      </c>
      <c r="G18" s="1753">
        <f t="shared" si="3"/>
        <v>0</v>
      </c>
      <c r="H18" s="1753">
        <f t="shared" si="3"/>
        <v>0</v>
      </c>
      <c r="I18" s="468"/>
      <c r="J18" s="1753">
        <f>J9</f>
        <v>0</v>
      </c>
      <c r="K18" s="1753">
        <f>K9</f>
        <v>0</v>
      </c>
      <c r="L18" s="347"/>
    </row>
    <row r="19" spans="1:12" ht="13.5" thickBot="1" x14ac:dyDescent="0.25">
      <c r="A19" s="1719" t="s">
        <v>526</v>
      </c>
      <c r="B19" s="1720"/>
      <c r="C19" s="1699">
        <f t="shared" ref="C19:H19" si="4">SUM(C17:C18)</f>
        <v>12623365</v>
      </c>
      <c r="D19" s="1699">
        <f t="shared" si="4"/>
        <v>767783</v>
      </c>
      <c r="E19" s="1699">
        <f t="shared" si="4"/>
        <v>1270868</v>
      </c>
      <c r="F19" s="1699">
        <f t="shared" si="4"/>
        <v>416847</v>
      </c>
      <c r="G19" s="1699">
        <f t="shared" si="4"/>
        <v>274822</v>
      </c>
      <c r="H19" s="1699">
        <f t="shared" si="4"/>
        <v>1662163</v>
      </c>
      <c r="I19" s="468"/>
      <c r="J19" s="1699">
        <f>SUM(J17:J18)</f>
        <v>54448</v>
      </c>
      <c r="K19" s="1699">
        <f>SUM(K17:K18)</f>
        <v>50665</v>
      </c>
      <c r="L19" s="347"/>
    </row>
    <row r="20" spans="1:12" ht="16.5" thickTop="1" thickBot="1" x14ac:dyDescent="0.25">
      <c r="A20" s="2133" t="s">
        <v>1754</v>
      </c>
      <c r="B20" s="2134"/>
      <c r="C20" s="1757">
        <f>C8-C17</f>
        <v>1265916</v>
      </c>
      <c r="D20" s="1757">
        <f t="shared" ref="D20:K20" si="5">D8-D17</f>
        <v>-28080</v>
      </c>
      <c r="E20" s="1757">
        <f t="shared" si="5"/>
        <v>-29026</v>
      </c>
      <c r="F20" s="1757">
        <f t="shared" si="5"/>
        <v>212122</v>
      </c>
      <c r="G20" s="1757">
        <f t="shared" si="5"/>
        <v>164626</v>
      </c>
      <c r="H20" s="1757">
        <f t="shared" si="5"/>
        <v>-1662163</v>
      </c>
      <c r="I20" s="1757">
        <f t="shared" si="5"/>
        <v>19669</v>
      </c>
      <c r="J20" s="1757">
        <f t="shared" si="5"/>
        <v>26531</v>
      </c>
      <c r="K20" s="1757">
        <f t="shared" si="5"/>
        <v>-48250</v>
      </c>
      <c r="L20" s="347"/>
    </row>
    <row r="21" spans="1:12" ht="16.7" customHeight="1" thickTop="1" x14ac:dyDescent="0.2">
      <c r="A21" s="2145" t="s">
        <v>616</v>
      </c>
      <c r="B21" s="2146"/>
      <c r="C21" s="1581"/>
      <c r="D21" s="1582"/>
      <c r="E21" s="1582"/>
      <c r="F21" s="1582"/>
      <c r="G21" s="1582"/>
      <c r="H21" s="1582"/>
      <c r="I21" s="1582"/>
      <c r="J21" s="1582"/>
      <c r="K21" s="1583"/>
      <c r="L21" s="520"/>
    </row>
    <row r="22" spans="1:12" ht="15.75" customHeight="1" collapsed="1" x14ac:dyDescent="0.2">
      <c r="A22" s="2141" t="s">
        <v>617</v>
      </c>
      <c r="B22" s="2142"/>
      <c r="C22" s="474"/>
      <c r="D22" s="474"/>
      <c r="E22" s="474"/>
      <c r="F22" s="474"/>
      <c r="G22" s="474"/>
      <c r="H22" s="474"/>
      <c r="I22" s="474"/>
      <c r="J22" s="474"/>
      <c r="K22" s="474"/>
      <c r="L22" s="347"/>
    </row>
    <row r="23" spans="1:12" s="482" customFormat="1" ht="15.75" customHeight="1" x14ac:dyDescent="0.2">
      <c r="A23" s="2137" t="s">
        <v>311</v>
      </c>
      <c r="B23" s="2138"/>
      <c r="C23" s="477"/>
      <c r="D23" s="474"/>
      <c r="E23" s="474"/>
      <c r="F23" s="474"/>
      <c r="G23" s="474"/>
      <c r="H23" s="474"/>
      <c r="I23" s="474"/>
      <c r="J23" s="474"/>
      <c r="K23" s="474"/>
      <c r="L23" s="520"/>
    </row>
    <row r="24" spans="1:12" s="482" customFormat="1" ht="13.5" customHeight="1" x14ac:dyDescent="0.2">
      <c r="A24" s="1500" t="s">
        <v>1755</v>
      </c>
      <c r="B24" s="521">
        <v>7110</v>
      </c>
      <c r="C24" s="467">
        <v>0</v>
      </c>
      <c r="D24" s="474"/>
      <c r="E24" s="474"/>
      <c r="F24" s="474"/>
      <c r="G24" s="474"/>
      <c r="H24" s="474"/>
      <c r="I24" s="474"/>
      <c r="J24" s="474"/>
      <c r="K24" s="474"/>
      <c r="L24" s="520"/>
    </row>
    <row r="25" spans="1:12" s="482" customFormat="1" ht="13.5" customHeight="1" x14ac:dyDescent="0.2">
      <c r="A25" s="1500" t="s">
        <v>1756</v>
      </c>
      <c r="B25" s="521">
        <v>7110</v>
      </c>
      <c r="C25" s="467">
        <v>0</v>
      </c>
      <c r="D25" s="467">
        <v>0</v>
      </c>
      <c r="E25" s="467">
        <v>0</v>
      </c>
      <c r="F25" s="467">
        <v>0</v>
      </c>
      <c r="G25" s="467">
        <v>0</v>
      </c>
      <c r="H25" s="467">
        <v>1504832</v>
      </c>
      <c r="I25" s="474"/>
      <c r="J25" s="467">
        <v>0</v>
      </c>
      <c r="K25" s="467">
        <v>0</v>
      </c>
      <c r="L25" s="520"/>
    </row>
    <row r="26" spans="1:12" s="482" customFormat="1" ht="13.5" customHeight="1" x14ac:dyDescent="0.2">
      <c r="A26" s="1500" t="s">
        <v>193</v>
      </c>
      <c r="B26" s="480">
        <v>7120</v>
      </c>
      <c r="C26" s="467">
        <v>0</v>
      </c>
      <c r="D26" s="467">
        <v>0</v>
      </c>
      <c r="E26" s="467">
        <v>0</v>
      </c>
      <c r="F26" s="467">
        <v>0</v>
      </c>
      <c r="G26" s="467">
        <v>0</v>
      </c>
      <c r="H26" s="467">
        <v>0</v>
      </c>
      <c r="I26" s="474"/>
      <c r="J26" s="467">
        <v>0</v>
      </c>
      <c r="K26" s="467">
        <v>0</v>
      </c>
      <c r="L26" s="520"/>
    </row>
    <row r="27" spans="1:12" s="482" customFormat="1" ht="13.5" customHeight="1" x14ac:dyDescent="0.2">
      <c r="A27" s="1500" t="s">
        <v>194</v>
      </c>
      <c r="B27" s="480">
        <v>7130</v>
      </c>
      <c r="C27" s="467">
        <v>0</v>
      </c>
      <c r="D27" s="467">
        <v>0</v>
      </c>
      <c r="E27" s="522"/>
      <c r="F27" s="467">
        <v>0</v>
      </c>
      <c r="G27" s="477"/>
      <c r="H27" s="477"/>
      <c r="I27" s="477"/>
      <c r="J27" s="477"/>
      <c r="K27" s="477"/>
      <c r="L27" s="520"/>
    </row>
    <row r="28" spans="1:12" s="482" customFormat="1" ht="13.5" customHeight="1" x14ac:dyDescent="0.2">
      <c r="A28" s="1500" t="s">
        <v>1465</v>
      </c>
      <c r="B28" s="480">
        <v>7140</v>
      </c>
      <c r="C28" s="467">
        <v>0</v>
      </c>
      <c r="D28" s="467">
        <v>0</v>
      </c>
      <c r="E28" s="467">
        <v>0</v>
      </c>
      <c r="F28" s="467">
        <v>0</v>
      </c>
      <c r="G28" s="467">
        <v>0</v>
      </c>
      <c r="H28" s="467">
        <v>0</v>
      </c>
      <c r="I28" s="467">
        <v>0</v>
      </c>
      <c r="J28" s="467">
        <v>0</v>
      </c>
      <c r="K28" s="467">
        <v>0</v>
      </c>
      <c r="L28" s="520"/>
    </row>
    <row r="29" spans="1:12" s="482" customFormat="1" ht="13.5" customHeight="1" x14ac:dyDescent="0.2">
      <c r="A29" s="1500" t="s">
        <v>312</v>
      </c>
      <c r="B29" s="480">
        <v>7150</v>
      </c>
      <c r="C29" s="473"/>
      <c r="D29" s="467">
        <v>0</v>
      </c>
      <c r="E29" s="473"/>
      <c r="F29" s="473"/>
      <c r="G29" s="473"/>
      <c r="H29" s="473"/>
      <c r="I29" s="473"/>
      <c r="J29" s="473"/>
      <c r="K29" s="473"/>
      <c r="L29" s="520"/>
    </row>
    <row r="30" spans="1:12" s="482" customFormat="1" ht="26.25" x14ac:dyDescent="0.2">
      <c r="A30" s="1500" t="s">
        <v>1897</v>
      </c>
      <c r="B30" s="523">
        <v>7160</v>
      </c>
      <c r="C30" s="474"/>
      <c r="D30" s="467">
        <v>0</v>
      </c>
      <c r="E30" s="474"/>
      <c r="F30" s="474"/>
      <c r="G30" s="474"/>
      <c r="H30" s="474"/>
      <c r="I30" s="474"/>
      <c r="J30" s="474"/>
      <c r="K30" s="474"/>
      <c r="L30" s="520"/>
    </row>
    <row r="31" spans="1:12" s="482" customFormat="1" ht="26.25" x14ac:dyDescent="0.2">
      <c r="A31" s="1500" t="s">
        <v>1901</v>
      </c>
      <c r="B31" s="523">
        <v>7170</v>
      </c>
      <c r="C31" s="474"/>
      <c r="D31" s="474"/>
      <c r="E31" s="467">
        <v>0</v>
      </c>
      <c r="F31" s="474"/>
      <c r="G31" s="474"/>
      <c r="H31" s="474"/>
      <c r="I31" s="474"/>
      <c r="J31" s="474"/>
      <c r="K31" s="474"/>
      <c r="L31" s="520"/>
    </row>
    <row r="32" spans="1:12" s="482" customFormat="1" ht="15.75" customHeight="1" x14ac:dyDescent="0.2">
      <c r="A32" s="2139" t="s">
        <v>1038</v>
      </c>
      <c r="B32" s="2140"/>
      <c r="C32" s="474"/>
      <c r="D32" s="474"/>
      <c r="E32" s="473"/>
      <c r="F32" s="474"/>
      <c r="G32" s="474"/>
      <c r="H32" s="474"/>
      <c r="I32" s="474"/>
      <c r="J32" s="474"/>
      <c r="K32" s="474"/>
      <c r="L32" s="520"/>
    </row>
    <row r="33" spans="1:12" s="482" customFormat="1" x14ac:dyDescent="0.2">
      <c r="A33" s="1500" t="s">
        <v>432</v>
      </c>
      <c r="B33" s="521">
        <v>7210</v>
      </c>
      <c r="C33" s="467">
        <v>0</v>
      </c>
      <c r="D33" s="467">
        <v>0</v>
      </c>
      <c r="E33" s="467">
        <v>40000</v>
      </c>
      <c r="F33" s="467">
        <v>0</v>
      </c>
      <c r="G33" s="474"/>
      <c r="H33" s="467">
        <v>0</v>
      </c>
      <c r="I33" s="467">
        <v>3980000</v>
      </c>
      <c r="J33" s="467">
        <v>0</v>
      </c>
      <c r="K33" s="467">
        <v>920000</v>
      </c>
      <c r="L33" s="520"/>
    </row>
    <row r="34" spans="1:12" s="482" customFormat="1" x14ac:dyDescent="0.2">
      <c r="A34" s="1500" t="s">
        <v>1058</v>
      </c>
      <c r="B34" s="521">
        <v>7220</v>
      </c>
      <c r="C34" s="467">
        <v>0</v>
      </c>
      <c r="D34" s="467">
        <v>0</v>
      </c>
      <c r="E34" s="467">
        <v>0</v>
      </c>
      <c r="F34" s="467">
        <v>0</v>
      </c>
      <c r="G34" s="474"/>
      <c r="H34" s="467">
        <v>0</v>
      </c>
      <c r="I34" s="467">
        <v>0</v>
      </c>
      <c r="J34" s="467">
        <v>0</v>
      </c>
      <c r="K34" s="467">
        <v>0</v>
      </c>
      <c r="L34" s="520"/>
    </row>
    <row r="35" spans="1:12" s="482" customFormat="1" x14ac:dyDescent="0.2">
      <c r="A35" s="1500" t="s">
        <v>1047</v>
      </c>
      <c r="B35" s="521">
        <v>7230</v>
      </c>
      <c r="C35" s="467">
        <v>0</v>
      </c>
      <c r="D35" s="467">
        <v>0</v>
      </c>
      <c r="E35" s="467">
        <v>0</v>
      </c>
      <c r="F35" s="467">
        <v>0</v>
      </c>
      <c r="G35" s="477"/>
      <c r="H35" s="467">
        <v>0</v>
      </c>
      <c r="I35" s="467">
        <v>0</v>
      </c>
      <c r="J35" s="467">
        <v>0</v>
      </c>
      <c r="K35" s="467">
        <v>0</v>
      </c>
      <c r="L35" s="520"/>
    </row>
    <row r="36" spans="1:12" s="482" customFormat="1" ht="15" x14ac:dyDescent="0.2">
      <c r="A36" s="1500" t="s">
        <v>1757</v>
      </c>
      <c r="B36" s="521">
        <v>7300</v>
      </c>
      <c r="C36" s="467">
        <v>0</v>
      </c>
      <c r="D36" s="467">
        <v>0</v>
      </c>
      <c r="E36" s="467">
        <v>0</v>
      </c>
      <c r="F36" s="467">
        <v>0</v>
      </c>
      <c r="G36" s="467">
        <v>0</v>
      </c>
      <c r="H36" s="467">
        <v>0</v>
      </c>
      <c r="I36" s="473"/>
      <c r="J36" s="467">
        <v>0</v>
      </c>
      <c r="K36" s="467">
        <v>0</v>
      </c>
      <c r="L36" s="520"/>
    </row>
    <row r="37" spans="1:12" s="482" customFormat="1" x14ac:dyDescent="0.2">
      <c r="A37" s="1500" t="s">
        <v>461</v>
      </c>
      <c r="B37" s="521">
        <v>7400</v>
      </c>
      <c r="C37" s="473"/>
      <c r="D37" s="473"/>
      <c r="E37" s="1754">
        <f>SUM(C54:D57,H54:H57)</f>
        <v>34616</v>
      </c>
      <c r="F37" s="473"/>
      <c r="G37" s="473"/>
      <c r="H37" s="473"/>
      <c r="I37" s="474"/>
      <c r="J37" s="473"/>
      <c r="K37" s="473"/>
      <c r="L37" s="520"/>
    </row>
    <row r="38" spans="1:12" s="482" customFormat="1" x14ac:dyDescent="0.2">
      <c r="A38" s="1500" t="s">
        <v>462</v>
      </c>
      <c r="B38" s="521">
        <v>7500</v>
      </c>
      <c r="C38" s="474"/>
      <c r="D38" s="474"/>
      <c r="E38" s="1754">
        <f>SUM(C58:D61,H58:H61)</f>
        <v>4541</v>
      </c>
      <c r="F38" s="474"/>
      <c r="G38" s="474"/>
      <c r="H38" s="474"/>
      <c r="I38" s="474"/>
      <c r="J38" s="474"/>
      <c r="K38" s="474"/>
      <c r="L38" s="520"/>
    </row>
    <row r="39" spans="1:12" s="482" customFormat="1" x14ac:dyDescent="0.2">
      <c r="A39" s="1500" t="s">
        <v>463</v>
      </c>
      <c r="B39" s="521">
        <v>7600</v>
      </c>
      <c r="C39" s="474"/>
      <c r="D39" s="474"/>
      <c r="E39" s="1754">
        <f>SUM(C62:D65)</f>
        <v>0</v>
      </c>
      <c r="F39" s="474"/>
      <c r="G39" s="474"/>
      <c r="H39" s="474"/>
      <c r="I39" s="474"/>
      <c r="J39" s="474"/>
      <c r="K39" s="474"/>
      <c r="L39" s="520"/>
    </row>
    <row r="40" spans="1:12" s="482" customFormat="1" ht="13.5" customHeight="1" x14ac:dyDescent="0.2">
      <c r="A40" s="1500" t="s">
        <v>663</v>
      </c>
      <c r="B40" s="480">
        <v>7700</v>
      </c>
      <c r="C40" s="474"/>
      <c r="D40" s="474"/>
      <c r="E40" s="1754">
        <f>SUM(C66:D69)</f>
        <v>0</v>
      </c>
      <c r="F40" s="474"/>
      <c r="G40" s="474"/>
      <c r="H40" s="477"/>
      <c r="I40" s="474"/>
      <c r="J40" s="474"/>
      <c r="K40" s="474"/>
      <c r="L40" s="520"/>
    </row>
    <row r="41" spans="1:12" s="482" customFormat="1" ht="13.5" customHeight="1" x14ac:dyDescent="0.2">
      <c r="A41" s="1500" t="s">
        <v>661</v>
      </c>
      <c r="B41" s="480">
        <v>7800</v>
      </c>
      <c r="C41" s="477"/>
      <c r="D41" s="477"/>
      <c r="E41" s="522"/>
      <c r="F41" s="477"/>
      <c r="G41" s="477"/>
      <c r="H41" s="1754">
        <f>SUM(C70:D73)</f>
        <v>0</v>
      </c>
      <c r="I41" s="474"/>
      <c r="J41" s="474"/>
      <c r="K41" s="477"/>
      <c r="L41" s="520"/>
    </row>
    <row r="42" spans="1:12" s="482" customFormat="1" ht="13.5" customHeight="1" x14ac:dyDescent="0.2">
      <c r="A42" s="1500" t="s">
        <v>662</v>
      </c>
      <c r="B42" s="480">
        <v>7900</v>
      </c>
      <c r="C42" s="467">
        <v>0</v>
      </c>
      <c r="D42" s="467">
        <v>0</v>
      </c>
      <c r="E42" s="467">
        <v>0</v>
      </c>
      <c r="F42" s="467">
        <v>0</v>
      </c>
      <c r="G42" s="467">
        <v>0</v>
      </c>
      <c r="H42" s="467">
        <v>0</v>
      </c>
      <c r="I42" s="477"/>
      <c r="J42" s="477"/>
      <c r="K42" s="467">
        <v>0</v>
      </c>
      <c r="L42" s="520"/>
    </row>
    <row r="43" spans="1:12" s="482" customFormat="1" ht="13.5" customHeight="1" x14ac:dyDescent="0.2">
      <c r="A43" s="1500" t="s">
        <v>391</v>
      </c>
      <c r="B43" s="480">
        <v>7990</v>
      </c>
      <c r="C43" s="467">
        <v>114756</v>
      </c>
      <c r="D43" s="467">
        <v>0</v>
      </c>
      <c r="E43" s="467">
        <v>0</v>
      </c>
      <c r="F43" s="467">
        <v>0</v>
      </c>
      <c r="G43" s="467">
        <v>0</v>
      </c>
      <c r="H43" s="467">
        <v>0</v>
      </c>
      <c r="I43" s="467">
        <v>0</v>
      </c>
      <c r="J43" s="467">
        <v>0</v>
      </c>
      <c r="K43" s="467">
        <v>0</v>
      </c>
      <c r="L43" s="520"/>
    </row>
    <row r="44" spans="1:12" s="482" customFormat="1" ht="13.5" customHeight="1" thickBot="1" x14ac:dyDescent="0.25">
      <c r="A44" s="2147" t="s">
        <v>392</v>
      </c>
      <c r="B44" s="2148"/>
      <c r="C44" s="1714">
        <f>SUM(C24:C43)</f>
        <v>114756</v>
      </c>
      <c r="D44" s="1714">
        <f t="shared" ref="D44:K44" si="6">SUM(D24:D43)</f>
        <v>0</v>
      </c>
      <c r="E44" s="1714">
        <f t="shared" si="6"/>
        <v>79157</v>
      </c>
      <c r="F44" s="1714">
        <f t="shared" si="6"/>
        <v>0</v>
      </c>
      <c r="G44" s="1714">
        <f t="shared" si="6"/>
        <v>0</v>
      </c>
      <c r="H44" s="1714">
        <f t="shared" si="6"/>
        <v>1504832</v>
      </c>
      <c r="I44" s="1714">
        <f t="shared" si="6"/>
        <v>3980000</v>
      </c>
      <c r="J44" s="1714">
        <f t="shared" si="6"/>
        <v>0</v>
      </c>
      <c r="K44" s="1714">
        <f t="shared" si="6"/>
        <v>920000</v>
      </c>
      <c r="L44" s="520"/>
    </row>
    <row r="45" spans="1:12" ht="15.75" customHeight="1" thickTop="1" x14ac:dyDescent="0.2">
      <c r="A45" s="2141" t="s">
        <v>110</v>
      </c>
      <c r="B45" s="2142"/>
      <c r="C45" s="524"/>
      <c r="D45" s="524"/>
      <c r="E45" s="524"/>
      <c r="F45" s="524"/>
      <c r="G45" s="524"/>
      <c r="H45" s="524"/>
      <c r="I45" s="524"/>
      <c r="J45" s="524"/>
      <c r="K45" s="524"/>
      <c r="L45" s="347"/>
    </row>
    <row r="46" spans="1:12" s="482" customFormat="1" ht="15.75" customHeight="1" x14ac:dyDescent="0.2">
      <c r="A46" s="2149" t="s">
        <v>111</v>
      </c>
      <c r="B46" s="2150"/>
      <c r="C46" s="474"/>
      <c r="D46" s="474"/>
      <c r="E46" s="474"/>
      <c r="F46" s="474"/>
      <c r="G46" s="474"/>
      <c r="H46" s="474"/>
      <c r="I46" s="477"/>
      <c r="J46" s="474"/>
      <c r="K46" s="474"/>
      <c r="L46" s="525"/>
    </row>
    <row r="47" spans="1:12" s="482" customFormat="1" ht="15" x14ac:dyDescent="0.2">
      <c r="A47" s="1501" t="s">
        <v>1758</v>
      </c>
      <c r="B47" s="480">
        <v>8110</v>
      </c>
      <c r="C47" s="474"/>
      <c r="D47" s="474"/>
      <c r="E47" s="474"/>
      <c r="F47" s="474"/>
      <c r="G47" s="474"/>
      <c r="H47" s="474"/>
      <c r="I47" s="1754">
        <f>SUM(C24,C25:H25,J25:K25)</f>
        <v>1504832</v>
      </c>
      <c r="J47" s="474"/>
      <c r="K47" s="474"/>
      <c r="L47" s="525"/>
    </row>
    <row r="48" spans="1:12" s="482" customFormat="1" ht="15" x14ac:dyDescent="0.2">
      <c r="A48" s="1501" t="s">
        <v>1759</v>
      </c>
      <c r="B48" s="480">
        <v>8120</v>
      </c>
      <c r="C48" s="477"/>
      <c r="D48" s="477"/>
      <c r="E48" s="474"/>
      <c r="F48" s="477"/>
      <c r="G48" s="474"/>
      <c r="H48" s="474"/>
      <c r="I48" s="1754">
        <f>SUM(C26:H26,J26,K26)</f>
        <v>0</v>
      </c>
      <c r="J48" s="474"/>
      <c r="K48" s="474"/>
      <c r="L48" s="525"/>
    </row>
    <row r="49" spans="1:12" s="482" customFormat="1" x14ac:dyDescent="0.2">
      <c r="A49" s="1501" t="s">
        <v>194</v>
      </c>
      <c r="B49" s="480">
        <v>8130</v>
      </c>
      <c r="C49" s="467">
        <v>0</v>
      </c>
      <c r="D49" s="467">
        <v>0</v>
      </c>
      <c r="E49" s="477"/>
      <c r="F49" s="467">
        <v>0</v>
      </c>
      <c r="G49" s="477"/>
      <c r="H49" s="477"/>
      <c r="I49" s="474"/>
      <c r="J49" s="477"/>
      <c r="K49" s="474"/>
      <c r="L49" s="520"/>
    </row>
    <row r="50" spans="1:12" s="482" customFormat="1" x14ac:dyDescent="0.2">
      <c r="A50" s="1501" t="s">
        <v>1465</v>
      </c>
      <c r="B50" s="480">
        <v>8140</v>
      </c>
      <c r="C50" s="467">
        <v>0</v>
      </c>
      <c r="D50" s="467">
        <v>0</v>
      </c>
      <c r="E50" s="467">
        <v>0</v>
      </c>
      <c r="F50" s="467">
        <v>0</v>
      </c>
      <c r="G50" s="467">
        <v>0</v>
      </c>
      <c r="H50" s="467">
        <v>0</v>
      </c>
      <c r="I50" s="474"/>
      <c r="J50" s="467">
        <v>0</v>
      </c>
      <c r="K50" s="474"/>
      <c r="L50" s="520"/>
    </row>
    <row r="51" spans="1:12" s="482" customFormat="1" x14ac:dyDescent="0.2">
      <c r="A51" s="1501" t="s">
        <v>312</v>
      </c>
      <c r="B51" s="480">
        <v>8150</v>
      </c>
      <c r="C51" s="473"/>
      <c r="D51" s="473"/>
      <c r="E51" s="473"/>
      <c r="F51" s="473"/>
      <c r="G51" s="473"/>
      <c r="H51" s="1754">
        <f>SUM(D29)</f>
        <v>0</v>
      </c>
      <c r="I51" s="474"/>
      <c r="J51" s="473"/>
      <c r="K51" s="477"/>
      <c r="L51" s="520"/>
    </row>
    <row r="52" spans="1:12" s="482" customFormat="1" ht="26.25" x14ac:dyDescent="0.2">
      <c r="A52" s="1501" t="s">
        <v>1900</v>
      </c>
      <c r="B52" s="480">
        <v>8160</v>
      </c>
      <c r="C52" s="474"/>
      <c r="D52" s="474"/>
      <c r="E52" s="474"/>
      <c r="F52" s="474"/>
      <c r="G52" s="474"/>
      <c r="H52" s="474"/>
      <c r="I52" s="474"/>
      <c r="J52" s="474"/>
      <c r="K52" s="1754">
        <f>D30</f>
        <v>0</v>
      </c>
      <c r="L52" s="520"/>
    </row>
    <row r="53" spans="1:12" s="482" customFormat="1" ht="26.25" x14ac:dyDescent="0.2">
      <c r="A53" s="1501" t="s">
        <v>1899</v>
      </c>
      <c r="B53" s="480">
        <v>8170</v>
      </c>
      <c r="C53" s="477"/>
      <c r="D53" s="477"/>
      <c r="E53" s="474"/>
      <c r="F53" s="474"/>
      <c r="G53" s="474"/>
      <c r="H53" s="477"/>
      <c r="I53" s="474"/>
      <c r="J53" s="474"/>
      <c r="K53" s="1754">
        <f>E31</f>
        <v>0</v>
      </c>
      <c r="L53" s="520"/>
    </row>
    <row r="54" spans="1:12" s="482" customFormat="1" ht="13.5" thickBot="1" x14ac:dyDescent="0.25">
      <c r="A54" s="1501" t="s">
        <v>716</v>
      </c>
      <c r="B54" s="480">
        <v>8410</v>
      </c>
      <c r="C54" s="526">
        <v>34616</v>
      </c>
      <c r="D54" s="526">
        <v>0</v>
      </c>
      <c r="E54" s="474"/>
      <c r="F54" s="474"/>
      <c r="G54" s="474"/>
      <c r="H54" s="526">
        <v>0</v>
      </c>
      <c r="I54" s="474"/>
      <c r="J54" s="474"/>
      <c r="K54" s="473"/>
      <c r="L54" s="520"/>
    </row>
    <row r="55" spans="1:12" s="482" customFormat="1" ht="14.25" thickTop="1" thickBot="1" x14ac:dyDescent="0.25">
      <c r="A55" s="1502" t="s">
        <v>717</v>
      </c>
      <c r="B55" s="480">
        <v>8420</v>
      </c>
      <c r="C55" s="527">
        <v>0</v>
      </c>
      <c r="D55" s="527">
        <v>0</v>
      </c>
      <c r="E55" s="474"/>
      <c r="F55" s="474"/>
      <c r="G55" s="474"/>
      <c r="H55" s="527">
        <v>0</v>
      </c>
      <c r="I55" s="474"/>
      <c r="J55" s="474"/>
      <c r="K55" s="474"/>
      <c r="L55" s="520"/>
    </row>
    <row r="56" spans="1:12" s="482" customFormat="1" ht="14.25" thickTop="1" thickBot="1" x14ac:dyDescent="0.25">
      <c r="A56" s="1501" t="s">
        <v>602</v>
      </c>
      <c r="B56" s="480">
        <v>8430</v>
      </c>
      <c r="C56" s="527">
        <v>0</v>
      </c>
      <c r="D56" s="527">
        <v>0</v>
      </c>
      <c r="E56" s="474"/>
      <c r="F56" s="474"/>
      <c r="G56" s="474"/>
      <c r="H56" s="527">
        <v>0</v>
      </c>
      <c r="I56" s="474"/>
      <c r="J56" s="474"/>
      <c r="K56" s="474"/>
      <c r="L56" s="520"/>
    </row>
    <row r="57" spans="1:12" s="482" customFormat="1" ht="14.25" thickTop="1" thickBot="1" x14ac:dyDescent="0.25">
      <c r="A57" s="1502" t="s">
        <v>599</v>
      </c>
      <c r="B57" s="480">
        <v>8440</v>
      </c>
      <c r="C57" s="527">
        <v>0</v>
      </c>
      <c r="D57" s="527">
        <v>0</v>
      </c>
      <c r="E57" s="474"/>
      <c r="F57" s="474"/>
      <c r="G57" s="474"/>
      <c r="H57" s="527">
        <v>0</v>
      </c>
      <c r="I57" s="474"/>
      <c r="J57" s="474"/>
      <c r="K57" s="474"/>
      <c r="L57" s="520"/>
    </row>
    <row r="58" spans="1:12" s="482" customFormat="1" ht="14.25" thickTop="1" thickBot="1" x14ac:dyDescent="0.25">
      <c r="A58" s="1501" t="s">
        <v>600</v>
      </c>
      <c r="B58" s="480">
        <v>8510</v>
      </c>
      <c r="C58" s="527">
        <v>4541</v>
      </c>
      <c r="D58" s="527">
        <v>0</v>
      </c>
      <c r="E58" s="474"/>
      <c r="F58" s="474"/>
      <c r="G58" s="474"/>
      <c r="H58" s="527">
        <v>0</v>
      </c>
      <c r="I58" s="474"/>
      <c r="J58" s="474"/>
      <c r="K58" s="474"/>
      <c r="L58" s="520"/>
    </row>
    <row r="59" spans="1:12" s="482" customFormat="1" ht="14.25" thickTop="1" thickBot="1" x14ac:dyDescent="0.25">
      <c r="A59" s="1503" t="s">
        <v>718</v>
      </c>
      <c r="B59" s="480">
        <v>8520</v>
      </c>
      <c r="C59" s="527">
        <v>0</v>
      </c>
      <c r="D59" s="527">
        <v>0</v>
      </c>
      <c r="E59" s="474"/>
      <c r="F59" s="474"/>
      <c r="G59" s="474"/>
      <c r="H59" s="527">
        <v>0</v>
      </c>
      <c r="I59" s="474"/>
      <c r="J59" s="474"/>
      <c r="K59" s="474"/>
      <c r="L59" s="520"/>
    </row>
    <row r="60" spans="1:12" s="482" customFormat="1" ht="14.25" thickTop="1" thickBot="1" x14ac:dyDescent="0.25">
      <c r="A60" s="1501" t="s">
        <v>601</v>
      </c>
      <c r="B60" s="480">
        <v>8530</v>
      </c>
      <c r="C60" s="527">
        <v>0</v>
      </c>
      <c r="D60" s="527">
        <v>0</v>
      </c>
      <c r="E60" s="474"/>
      <c r="F60" s="474"/>
      <c r="G60" s="474"/>
      <c r="H60" s="527">
        <v>0</v>
      </c>
      <c r="I60" s="474"/>
      <c r="J60" s="474"/>
      <c r="K60" s="474"/>
      <c r="L60" s="520"/>
    </row>
    <row r="61" spans="1:12" s="482" customFormat="1" ht="14.25" thickTop="1" thickBot="1" x14ac:dyDescent="0.25">
      <c r="A61" s="1502" t="s">
        <v>767</v>
      </c>
      <c r="B61" s="480">
        <v>8540</v>
      </c>
      <c r="C61" s="527">
        <v>0</v>
      </c>
      <c r="D61" s="527">
        <v>0</v>
      </c>
      <c r="E61" s="474"/>
      <c r="F61" s="474"/>
      <c r="G61" s="474"/>
      <c r="H61" s="527">
        <v>0</v>
      </c>
      <c r="I61" s="474"/>
      <c r="J61" s="474"/>
      <c r="K61" s="474"/>
      <c r="L61" s="520"/>
    </row>
    <row r="62" spans="1:12" s="482" customFormat="1" ht="13.5" customHeight="1" thickTop="1" thickBot="1" x14ac:dyDescent="0.25">
      <c r="A62" s="1501" t="s">
        <v>768</v>
      </c>
      <c r="B62" s="480">
        <v>8610</v>
      </c>
      <c r="C62" s="527">
        <v>0</v>
      </c>
      <c r="D62" s="527">
        <v>0</v>
      </c>
      <c r="E62" s="474"/>
      <c r="F62" s="474"/>
      <c r="G62" s="474"/>
      <c r="H62" s="474"/>
      <c r="I62" s="474"/>
      <c r="J62" s="474"/>
      <c r="K62" s="474"/>
      <c r="L62" s="520"/>
    </row>
    <row r="63" spans="1:12" s="482" customFormat="1" ht="14.25" thickTop="1" thickBot="1" x14ac:dyDescent="0.25">
      <c r="A63" s="1502" t="s">
        <v>719</v>
      </c>
      <c r="B63" s="480">
        <v>8620</v>
      </c>
      <c r="C63" s="527">
        <v>0</v>
      </c>
      <c r="D63" s="527">
        <v>0</v>
      </c>
      <c r="E63" s="474"/>
      <c r="F63" s="474"/>
      <c r="G63" s="474"/>
      <c r="H63" s="474"/>
      <c r="I63" s="474"/>
      <c r="J63" s="474"/>
      <c r="K63" s="474"/>
      <c r="L63" s="520"/>
    </row>
    <row r="64" spans="1:12" s="482" customFormat="1" ht="13.5" customHeight="1" thickTop="1" thickBot="1" x14ac:dyDescent="0.25">
      <c r="A64" s="1501" t="s">
        <v>769</v>
      </c>
      <c r="B64" s="480">
        <v>8630</v>
      </c>
      <c r="C64" s="527">
        <v>0</v>
      </c>
      <c r="D64" s="527">
        <v>0</v>
      </c>
      <c r="E64" s="474"/>
      <c r="F64" s="474"/>
      <c r="G64" s="474"/>
      <c r="H64" s="474"/>
      <c r="I64" s="474"/>
      <c r="J64" s="474"/>
      <c r="K64" s="474"/>
      <c r="L64" s="520"/>
    </row>
    <row r="65" spans="1:12" s="482" customFormat="1" ht="14.25" thickTop="1" thickBot="1" x14ac:dyDescent="0.25">
      <c r="A65" s="1502" t="s">
        <v>770</v>
      </c>
      <c r="B65" s="480">
        <v>8640</v>
      </c>
      <c r="C65" s="527">
        <v>0</v>
      </c>
      <c r="D65" s="527">
        <v>0</v>
      </c>
      <c r="E65" s="474"/>
      <c r="F65" s="474"/>
      <c r="G65" s="474"/>
      <c r="H65" s="474"/>
      <c r="I65" s="474"/>
      <c r="J65" s="474"/>
      <c r="K65" s="474"/>
      <c r="L65" s="520"/>
    </row>
    <row r="66" spans="1:12" s="482" customFormat="1" ht="14.25" thickTop="1" thickBot="1" x14ac:dyDescent="0.25">
      <c r="A66" s="1501" t="s">
        <v>771</v>
      </c>
      <c r="B66" s="480">
        <v>8710</v>
      </c>
      <c r="C66" s="527">
        <v>0</v>
      </c>
      <c r="D66" s="527">
        <v>0</v>
      </c>
      <c r="E66" s="474"/>
      <c r="F66" s="474"/>
      <c r="G66" s="474"/>
      <c r="H66" s="474"/>
      <c r="I66" s="474"/>
      <c r="J66" s="474"/>
      <c r="K66" s="474"/>
      <c r="L66" s="520"/>
    </row>
    <row r="67" spans="1:12" s="482" customFormat="1" ht="14.25" thickTop="1" thickBot="1" x14ac:dyDescent="0.25">
      <c r="A67" s="1502" t="s">
        <v>720</v>
      </c>
      <c r="B67" s="480">
        <v>8720</v>
      </c>
      <c r="C67" s="527">
        <v>0</v>
      </c>
      <c r="D67" s="527">
        <v>0</v>
      </c>
      <c r="E67" s="474"/>
      <c r="F67" s="474"/>
      <c r="G67" s="474"/>
      <c r="H67" s="474"/>
      <c r="I67" s="474"/>
      <c r="J67" s="474"/>
      <c r="K67" s="474"/>
      <c r="L67" s="520"/>
    </row>
    <row r="68" spans="1:12" s="482" customFormat="1" ht="14.25" thickTop="1" thickBot="1" x14ac:dyDescent="0.25">
      <c r="A68" s="1503" t="s">
        <v>772</v>
      </c>
      <c r="B68" s="480">
        <v>8730</v>
      </c>
      <c r="C68" s="527">
        <v>0</v>
      </c>
      <c r="D68" s="527">
        <v>0</v>
      </c>
      <c r="E68" s="474"/>
      <c r="F68" s="474"/>
      <c r="G68" s="474"/>
      <c r="H68" s="474"/>
      <c r="I68" s="474"/>
      <c r="J68" s="474"/>
      <c r="K68" s="474"/>
      <c r="L68" s="520"/>
    </row>
    <row r="69" spans="1:12" s="482" customFormat="1" ht="14.25" thickTop="1" thickBot="1" x14ac:dyDescent="0.25">
      <c r="A69" s="1502" t="s">
        <v>773</v>
      </c>
      <c r="B69" s="480">
        <v>8740</v>
      </c>
      <c r="C69" s="527">
        <v>0</v>
      </c>
      <c r="D69" s="527">
        <v>0</v>
      </c>
      <c r="E69" s="474"/>
      <c r="F69" s="474"/>
      <c r="G69" s="474"/>
      <c r="H69" s="474"/>
      <c r="I69" s="474"/>
      <c r="J69" s="474"/>
      <c r="K69" s="474"/>
      <c r="L69" s="520"/>
    </row>
    <row r="70" spans="1:12" s="482" customFormat="1" ht="14.25" thickTop="1" thickBot="1" x14ac:dyDescent="0.25">
      <c r="A70" s="1501" t="s">
        <v>774</v>
      </c>
      <c r="B70" s="480">
        <v>8810</v>
      </c>
      <c r="C70" s="527">
        <v>0</v>
      </c>
      <c r="D70" s="527">
        <v>0</v>
      </c>
      <c r="E70" s="474"/>
      <c r="F70" s="474"/>
      <c r="G70" s="474"/>
      <c r="H70" s="474"/>
      <c r="I70" s="474"/>
      <c r="J70" s="474"/>
      <c r="K70" s="474"/>
      <c r="L70" s="520"/>
    </row>
    <row r="71" spans="1:12" s="482" customFormat="1" ht="14.25" thickTop="1" thickBot="1" x14ac:dyDescent="0.25">
      <c r="A71" s="1501" t="s">
        <v>778</v>
      </c>
      <c r="B71" s="480">
        <v>8820</v>
      </c>
      <c r="C71" s="527">
        <v>0</v>
      </c>
      <c r="D71" s="527">
        <v>0</v>
      </c>
      <c r="E71" s="474"/>
      <c r="F71" s="474"/>
      <c r="G71" s="474"/>
      <c r="H71" s="474"/>
      <c r="I71" s="474"/>
      <c r="J71" s="474"/>
      <c r="K71" s="474"/>
      <c r="L71" s="520"/>
    </row>
    <row r="72" spans="1:12" s="482" customFormat="1" ht="14.25" thickTop="1" thickBot="1" x14ac:dyDescent="0.25">
      <c r="A72" s="1501" t="s">
        <v>775</v>
      </c>
      <c r="B72" s="480">
        <v>8830</v>
      </c>
      <c r="C72" s="527">
        <v>0</v>
      </c>
      <c r="D72" s="527">
        <v>0</v>
      </c>
      <c r="E72" s="474"/>
      <c r="F72" s="474"/>
      <c r="G72" s="474"/>
      <c r="H72" s="474"/>
      <c r="I72" s="474"/>
      <c r="J72" s="474"/>
      <c r="K72" s="474"/>
      <c r="L72" s="520"/>
    </row>
    <row r="73" spans="1:12" s="482" customFormat="1" ht="14.25" thickTop="1" thickBot="1" x14ac:dyDescent="0.25">
      <c r="A73" s="1501" t="s">
        <v>776</v>
      </c>
      <c r="B73" s="480">
        <v>8840</v>
      </c>
      <c r="C73" s="527">
        <v>0</v>
      </c>
      <c r="D73" s="527">
        <v>0</v>
      </c>
      <c r="E73" s="474"/>
      <c r="F73" s="474"/>
      <c r="G73" s="474"/>
      <c r="H73" s="474"/>
      <c r="I73" s="474"/>
      <c r="J73" s="474"/>
      <c r="K73" s="477"/>
      <c r="L73" s="520"/>
    </row>
    <row r="74" spans="1:12" s="482" customFormat="1" ht="14.25" thickTop="1" thickBot="1" x14ac:dyDescent="0.25">
      <c r="A74" s="1501" t="s">
        <v>393</v>
      </c>
      <c r="B74" s="480">
        <v>8910</v>
      </c>
      <c r="C74" s="527">
        <v>0</v>
      </c>
      <c r="D74" s="527">
        <v>0</v>
      </c>
      <c r="E74" s="477"/>
      <c r="F74" s="526">
        <v>0</v>
      </c>
      <c r="G74" s="526">
        <v>0</v>
      </c>
      <c r="H74" s="526">
        <v>0</v>
      </c>
      <c r="I74" s="477"/>
      <c r="J74" s="477"/>
      <c r="K74" s="526">
        <v>0</v>
      </c>
      <c r="L74" s="520"/>
    </row>
    <row r="75" spans="1:12" s="482" customFormat="1" ht="14.25" thickTop="1" thickBot="1" x14ac:dyDescent="0.25">
      <c r="A75" s="1504" t="s">
        <v>459</v>
      </c>
      <c r="B75" s="480">
        <v>8990</v>
      </c>
      <c r="C75" s="527">
        <v>0</v>
      </c>
      <c r="D75" s="527">
        <v>0</v>
      </c>
      <c r="E75" s="526">
        <v>0</v>
      </c>
      <c r="F75" s="528">
        <v>0</v>
      </c>
      <c r="G75" s="528">
        <v>0</v>
      </c>
      <c r="H75" s="528">
        <v>0</v>
      </c>
      <c r="I75" s="526">
        <v>0</v>
      </c>
      <c r="J75" s="526">
        <v>0</v>
      </c>
      <c r="K75" s="528">
        <v>0</v>
      </c>
      <c r="L75" s="520"/>
    </row>
    <row r="76" spans="1:12" s="482" customFormat="1" ht="14.25" thickTop="1" thickBot="1" x14ac:dyDescent="0.25">
      <c r="A76" s="2123" t="s">
        <v>460</v>
      </c>
      <c r="B76" s="2124"/>
      <c r="C76" s="1714">
        <f t="shared" ref="C76:K76" si="7">SUM(C47:C75)</f>
        <v>39157</v>
      </c>
      <c r="D76" s="1714">
        <f t="shared" si="7"/>
        <v>0</v>
      </c>
      <c r="E76" s="1714">
        <f t="shared" si="7"/>
        <v>0</v>
      </c>
      <c r="F76" s="1714">
        <f t="shared" si="7"/>
        <v>0</v>
      </c>
      <c r="G76" s="1714">
        <f t="shared" si="7"/>
        <v>0</v>
      </c>
      <c r="H76" s="1714">
        <f t="shared" si="7"/>
        <v>0</v>
      </c>
      <c r="I76" s="1714">
        <f t="shared" si="7"/>
        <v>1504832</v>
      </c>
      <c r="J76" s="1714">
        <f t="shared" si="7"/>
        <v>0</v>
      </c>
      <c r="K76" s="1714">
        <f t="shared" si="7"/>
        <v>0</v>
      </c>
      <c r="L76" s="520"/>
    </row>
    <row r="77" spans="1:12" ht="14.25" thickTop="1" thickBot="1" x14ac:dyDescent="0.25">
      <c r="A77" s="2125" t="s">
        <v>1239</v>
      </c>
      <c r="B77" s="2126"/>
      <c r="C77" s="1714">
        <f t="shared" ref="C77:K77" si="8">C44-C76</f>
        <v>75599</v>
      </c>
      <c r="D77" s="1714">
        <f t="shared" si="8"/>
        <v>0</v>
      </c>
      <c r="E77" s="1714">
        <f t="shared" si="8"/>
        <v>79157</v>
      </c>
      <c r="F77" s="1714">
        <f t="shared" si="8"/>
        <v>0</v>
      </c>
      <c r="G77" s="1714">
        <f t="shared" si="8"/>
        <v>0</v>
      </c>
      <c r="H77" s="1714">
        <f t="shared" si="8"/>
        <v>1504832</v>
      </c>
      <c r="I77" s="1714">
        <f t="shared" si="8"/>
        <v>2475168</v>
      </c>
      <c r="J77" s="1714">
        <f t="shared" si="8"/>
        <v>0</v>
      </c>
      <c r="K77" s="1714">
        <f t="shared" si="8"/>
        <v>920000</v>
      </c>
      <c r="L77" s="347"/>
    </row>
    <row r="78" spans="1:12" ht="21.75" customHeight="1" thickTop="1" thickBot="1" x14ac:dyDescent="0.25">
      <c r="A78" s="2129" t="s">
        <v>618</v>
      </c>
      <c r="B78" s="2130"/>
      <c r="C78" s="1713">
        <f t="shared" ref="C78:K78" si="9">C20+C77</f>
        <v>1341515</v>
      </c>
      <c r="D78" s="1713">
        <f t="shared" si="9"/>
        <v>-28080</v>
      </c>
      <c r="E78" s="1713">
        <f t="shared" si="9"/>
        <v>50131</v>
      </c>
      <c r="F78" s="1713">
        <f t="shared" si="9"/>
        <v>212122</v>
      </c>
      <c r="G78" s="1713">
        <f t="shared" si="9"/>
        <v>164626</v>
      </c>
      <c r="H78" s="1713">
        <f t="shared" si="9"/>
        <v>-157331</v>
      </c>
      <c r="I78" s="1713">
        <f t="shared" si="9"/>
        <v>2494837</v>
      </c>
      <c r="J78" s="1713">
        <f t="shared" si="9"/>
        <v>26531</v>
      </c>
      <c r="K78" s="1713">
        <f t="shared" si="9"/>
        <v>871750</v>
      </c>
      <c r="L78" s="529"/>
    </row>
    <row r="79" spans="1:12" ht="13.5" thickTop="1" x14ac:dyDescent="0.2">
      <c r="A79" s="1505" t="s">
        <v>2073</v>
      </c>
      <c r="B79" s="530"/>
      <c r="C79" s="475">
        <v>5323838</v>
      </c>
      <c r="D79" s="475">
        <v>1983836</v>
      </c>
      <c r="E79" s="475">
        <v>759558</v>
      </c>
      <c r="F79" s="475">
        <v>1131109</v>
      </c>
      <c r="G79" s="475">
        <v>1075201</v>
      </c>
      <c r="H79" s="475">
        <v>328243</v>
      </c>
      <c r="I79" s="475">
        <v>2572375</v>
      </c>
      <c r="J79" s="475">
        <v>100642</v>
      </c>
      <c r="K79" s="475">
        <v>0</v>
      </c>
      <c r="L79" s="347"/>
    </row>
    <row r="80" spans="1:12" x14ac:dyDescent="0.2">
      <c r="A80" s="2135" t="s">
        <v>1898</v>
      </c>
      <c r="B80" s="2136"/>
      <c r="C80" s="467">
        <v>0</v>
      </c>
      <c r="D80" s="467">
        <v>0</v>
      </c>
      <c r="E80" s="467">
        <v>0</v>
      </c>
      <c r="F80" s="467">
        <v>0</v>
      </c>
      <c r="G80" s="467">
        <v>0</v>
      </c>
      <c r="H80" s="467">
        <v>0</v>
      </c>
      <c r="I80" s="467">
        <v>0</v>
      </c>
      <c r="J80" s="467">
        <v>0</v>
      </c>
      <c r="K80" s="467">
        <v>0</v>
      </c>
      <c r="L80" s="347"/>
    </row>
    <row r="81" spans="1:12" ht="13.5" thickBot="1" x14ac:dyDescent="0.25">
      <c r="A81" s="2127" t="s">
        <v>2074</v>
      </c>
      <c r="B81" s="2128"/>
      <c r="C81" s="1699">
        <f>(SUM(C78:C80))</f>
        <v>6665353</v>
      </c>
      <c r="D81" s="1699">
        <f>SUM(D78:D80)</f>
        <v>1955756</v>
      </c>
      <c r="E81" s="1699">
        <f t="shared" ref="E81:K81" si="10">SUM(E78:E80)</f>
        <v>809689</v>
      </c>
      <c r="F81" s="1699">
        <f t="shared" si="10"/>
        <v>1343231</v>
      </c>
      <c r="G81" s="1699">
        <f t="shared" si="10"/>
        <v>1239827</v>
      </c>
      <c r="H81" s="1699">
        <f t="shared" si="10"/>
        <v>170912</v>
      </c>
      <c r="I81" s="1699">
        <f t="shared" si="10"/>
        <v>5067212</v>
      </c>
      <c r="J81" s="1699">
        <f t="shared" si="10"/>
        <v>127173</v>
      </c>
      <c r="K81" s="1699">
        <f t="shared" si="10"/>
        <v>871750</v>
      </c>
      <c r="L81" s="347"/>
    </row>
    <row r="82" spans="1:12" ht="0.75" customHeight="1" thickTop="1" thickBot="1" x14ac:dyDescent="0.25">
      <c r="A82" s="532" t="s">
        <v>361</v>
      </c>
      <c r="B82" s="533"/>
      <c r="C82" s="534">
        <f>(C81-C79)</f>
        <v>1341515</v>
      </c>
      <c r="D82" s="534">
        <f t="shared" ref="D82:K82" si="11">(D81-D79)</f>
        <v>-28080</v>
      </c>
      <c r="E82" s="534">
        <f t="shared" si="11"/>
        <v>50131</v>
      </c>
      <c r="F82" s="534">
        <f t="shared" si="11"/>
        <v>212122</v>
      </c>
      <c r="G82" s="534">
        <f t="shared" si="11"/>
        <v>164626</v>
      </c>
      <c r="H82" s="534">
        <f t="shared" si="11"/>
        <v>-157331</v>
      </c>
      <c r="I82" s="534">
        <f t="shared" si="11"/>
        <v>2494837</v>
      </c>
      <c r="J82" s="534">
        <f t="shared" si="11"/>
        <v>26531</v>
      </c>
      <c r="K82" s="534">
        <f t="shared" si="11"/>
        <v>871750</v>
      </c>
    </row>
    <row r="83" spans="1:12" ht="14.25" hidden="1" thickTop="1" thickBot="1" x14ac:dyDescent="0.25">
      <c r="A83" s="535" t="s">
        <v>362</v>
      </c>
      <c r="B83" s="464"/>
      <c r="C83" s="536">
        <f>C82/C81</f>
        <v>0.20126690964454547</v>
      </c>
      <c r="D83" s="536">
        <f t="shared" ref="D83:K83" si="12">D82/D81</f>
        <v>-1.4357619253117465E-2</v>
      </c>
      <c r="E83" s="536">
        <f t="shared" si="12"/>
        <v>6.1913895335122496E-2</v>
      </c>
      <c r="F83" s="536">
        <f t="shared" si="12"/>
        <v>0.1579192261048174</v>
      </c>
      <c r="G83" s="536">
        <f t="shared" si="12"/>
        <v>0.13278142837670096</v>
      </c>
      <c r="H83" s="536">
        <f t="shared" si="12"/>
        <v>-0.92053805467140981</v>
      </c>
      <c r="I83" s="536">
        <f t="shared" si="12"/>
        <v>0.49234904716834427</v>
      </c>
      <c r="J83" s="536">
        <f t="shared" si="12"/>
        <v>0.20862132685397058</v>
      </c>
      <c r="K83" s="536">
        <f t="shared" si="12"/>
        <v>1</v>
      </c>
    </row>
    <row r="84" spans="1:12" ht="13.5" thickTop="1" x14ac:dyDescent="0.2"/>
    <row r="86" spans="1:12" x14ac:dyDescent="0.2">
      <c r="C86" s="499"/>
      <c r="D86" s="499"/>
      <c r="E86" s="499"/>
      <c r="F86" s="499"/>
      <c r="G86" s="499"/>
      <c r="H86" s="499"/>
      <c r="I86" s="499"/>
      <c r="J86" s="499"/>
    </row>
    <row r="87" spans="1:12" x14ac:dyDescent="0.2">
      <c r="C87" s="499"/>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86" customWidth="1"/>
    <col min="2" max="2" width="4.7109375" style="587" customWidth="1"/>
    <col min="3" max="11" width="13.7109375" style="384" customWidth="1"/>
    <col min="12" max="16384" width="9.140625" style="384"/>
  </cols>
  <sheetData>
    <row r="1" spans="1:12" x14ac:dyDescent="0.2">
      <c r="A1" s="2131" t="s">
        <v>1905</v>
      </c>
      <c r="B1" s="452"/>
      <c r="C1" s="453" t="s">
        <v>445</v>
      </c>
      <c r="D1" s="453" t="s">
        <v>446</v>
      </c>
      <c r="E1" s="453" t="s">
        <v>447</v>
      </c>
      <c r="F1" s="453" t="s">
        <v>448</v>
      </c>
      <c r="G1" s="453" t="s">
        <v>449</v>
      </c>
      <c r="H1" s="453" t="s">
        <v>450</v>
      </c>
      <c r="I1" s="453" t="s">
        <v>451</v>
      </c>
      <c r="J1" s="453" t="s">
        <v>452</v>
      </c>
      <c r="K1" s="453" t="s">
        <v>780</v>
      </c>
    </row>
    <row r="2" spans="1:12" ht="36" x14ac:dyDescent="0.2">
      <c r="A2" s="2132"/>
      <c r="B2" s="537" t="s">
        <v>396</v>
      </c>
      <c r="C2" s="538" t="s">
        <v>1217</v>
      </c>
      <c r="D2" s="538" t="s">
        <v>925</v>
      </c>
      <c r="E2" s="538" t="s">
        <v>458</v>
      </c>
      <c r="F2" s="538" t="s">
        <v>157</v>
      </c>
      <c r="G2" s="538" t="s">
        <v>1046</v>
      </c>
      <c r="H2" s="538" t="s">
        <v>457</v>
      </c>
      <c r="I2" s="538" t="s">
        <v>427</v>
      </c>
      <c r="J2" s="538" t="s">
        <v>456</v>
      </c>
      <c r="K2" s="538"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397</v>
      </c>
      <c r="B4" s="1602">
        <v>1100</v>
      </c>
      <c r="C4" s="539"/>
      <c r="D4" s="539"/>
      <c r="E4" s="539"/>
      <c r="F4" s="540"/>
      <c r="G4" s="541"/>
      <c r="H4" s="542"/>
      <c r="I4" s="542"/>
      <c r="J4" s="542"/>
      <c r="K4" s="542"/>
    </row>
    <row r="5" spans="1:12" ht="15" x14ac:dyDescent="0.2">
      <c r="A5" s="489" t="s">
        <v>1760</v>
      </c>
      <c r="B5" s="543"/>
      <c r="C5" s="478">
        <v>7895298</v>
      </c>
      <c r="D5" s="478">
        <v>664371</v>
      </c>
      <c r="E5" s="478">
        <v>1235713</v>
      </c>
      <c r="F5" s="478">
        <v>377674</v>
      </c>
      <c r="G5" s="478">
        <v>214006</v>
      </c>
      <c r="H5" s="478">
        <v>0</v>
      </c>
      <c r="I5" s="478">
        <v>0</v>
      </c>
      <c r="J5" s="478">
        <v>80665</v>
      </c>
      <c r="K5" s="478">
        <v>0</v>
      </c>
    </row>
    <row r="6" spans="1:12" ht="15" x14ac:dyDescent="0.2">
      <c r="A6" s="463" t="s">
        <v>1761</v>
      </c>
      <c r="B6" s="470">
        <v>1130</v>
      </c>
      <c r="C6" s="478">
        <v>0</v>
      </c>
      <c r="D6" s="478">
        <v>0</v>
      </c>
      <c r="E6" s="473"/>
      <c r="F6" s="473"/>
      <c r="G6" s="468"/>
      <c r="H6" s="468"/>
      <c r="I6" s="468"/>
      <c r="J6" s="468"/>
      <c r="K6" s="468"/>
    </row>
    <row r="7" spans="1:12" x14ac:dyDescent="0.2">
      <c r="A7" s="463" t="s">
        <v>112</v>
      </c>
      <c r="B7" s="544">
        <v>1140</v>
      </c>
      <c r="C7" s="478">
        <v>628179</v>
      </c>
      <c r="D7" s="478">
        <v>0</v>
      </c>
      <c r="E7" s="468"/>
      <c r="F7" s="478">
        <v>0</v>
      </c>
      <c r="G7" s="478">
        <v>0</v>
      </c>
      <c r="H7" s="478">
        <v>0</v>
      </c>
      <c r="I7" s="468"/>
      <c r="J7" s="468"/>
      <c r="K7" s="468"/>
    </row>
    <row r="8" spans="1:12" x14ac:dyDescent="0.2">
      <c r="A8" s="463" t="s">
        <v>433</v>
      </c>
      <c r="B8" s="470">
        <v>1150</v>
      </c>
      <c r="C8" s="473"/>
      <c r="D8" s="473"/>
      <c r="E8" s="474"/>
      <c r="F8" s="474"/>
      <c r="G8" s="478">
        <v>214006</v>
      </c>
      <c r="H8" s="468"/>
      <c r="I8" s="468"/>
      <c r="J8" s="468"/>
      <c r="K8" s="468"/>
    </row>
    <row r="9" spans="1:12" x14ac:dyDescent="0.2">
      <c r="A9" s="472" t="s">
        <v>113</v>
      </c>
      <c r="B9" s="470">
        <v>1160</v>
      </c>
      <c r="C9" s="468"/>
      <c r="D9" s="478">
        <v>0</v>
      </c>
      <c r="E9" s="478">
        <v>0</v>
      </c>
      <c r="F9" s="469"/>
      <c r="G9" s="473"/>
      <c r="H9" s="478">
        <v>0</v>
      </c>
      <c r="I9" s="468"/>
      <c r="J9" s="468"/>
      <c r="K9" s="468"/>
    </row>
    <row r="10" spans="1:12" x14ac:dyDescent="0.2">
      <c r="A10" s="472" t="s">
        <v>114</v>
      </c>
      <c r="B10" s="470">
        <v>1170</v>
      </c>
      <c r="C10" s="478">
        <v>0</v>
      </c>
      <c r="D10" s="522"/>
      <c r="E10" s="522"/>
      <c r="F10" s="469"/>
      <c r="G10" s="468"/>
      <c r="H10" s="468"/>
      <c r="I10" s="468"/>
      <c r="J10" s="468"/>
      <c r="K10" s="468"/>
    </row>
    <row r="11" spans="1:12" x14ac:dyDescent="0.2">
      <c r="A11" s="472" t="s">
        <v>434</v>
      </c>
      <c r="B11" s="545">
        <v>1190</v>
      </c>
      <c r="C11" s="478">
        <v>0</v>
      </c>
      <c r="D11" s="478">
        <v>0</v>
      </c>
      <c r="E11" s="478">
        <v>0</v>
      </c>
      <c r="F11" s="478">
        <v>0</v>
      </c>
      <c r="G11" s="478">
        <v>0</v>
      </c>
      <c r="H11" s="478">
        <v>0</v>
      </c>
      <c r="I11" s="478">
        <v>0</v>
      </c>
      <c r="J11" s="478">
        <v>0</v>
      </c>
      <c r="K11" s="478">
        <v>0</v>
      </c>
      <c r="L11" s="547"/>
    </row>
    <row r="12" spans="1:12" ht="12.75" customHeight="1" thickBot="1" x14ac:dyDescent="0.25">
      <c r="A12" s="1716" t="s">
        <v>29</v>
      </c>
      <c r="B12" s="1717"/>
      <c r="C12" s="1718">
        <f t="shared" ref="C12:K12" si="0">SUM(C5:C11)</f>
        <v>8523477</v>
      </c>
      <c r="D12" s="1718">
        <f t="shared" si="0"/>
        <v>664371</v>
      </c>
      <c r="E12" s="1718">
        <f t="shared" si="0"/>
        <v>1235713</v>
      </c>
      <c r="F12" s="1718">
        <f t="shared" si="0"/>
        <v>377674</v>
      </c>
      <c r="G12" s="1718">
        <f t="shared" si="0"/>
        <v>428012</v>
      </c>
      <c r="H12" s="1718">
        <f t="shared" si="0"/>
        <v>0</v>
      </c>
      <c r="I12" s="1718">
        <f t="shared" si="0"/>
        <v>0</v>
      </c>
      <c r="J12" s="1718">
        <f t="shared" si="0"/>
        <v>80665</v>
      </c>
      <c r="K12" s="1699">
        <f t="shared" si="0"/>
        <v>0</v>
      </c>
    </row>
    <row r="13" spans="1:12" ht="15.75" customHeight="1" thickTop="1" x14ac:dyDescent="0.2">
      <c r="A13" s="1603" t="s">
        <v>471</v>
      </c>
      <c r="B13" s="1604">
        <v>1200</v>
      </c>
      <c r="C13" s="548"/>
      <c r="D13" s="548"/>
      <c r="E13" s="548"/>
      <c r="F13" s="548"/>
      <c r="G13" s="548"/>
      <c r="H13" s="548"/>
      <c r="I13" s="548"/>
      <c r="J13" s="548"/>
      <c r="K13" s="468"/>
    </row>
    <row r="14" spans="1:12" x14ac:dyDescent="0.2">
      <c r="A14" s="463" t="s">
        <v>3</v>
      </c>
      <c r="B14" s="470">
        <v>1210</v>
      </c>
      <c r="C14" s="478">
        <v>0</v>
      </c>
      <c r="D14" s="478">
        <v>0</v>
      </c>
      <c r="E14" s="478">
        <v>0</v>
      </c>
      <c r="F14" s="478">
        <v>0</v>
      </c>
      <c r="G14" s="478">
        <v>0</v>
      </c>
      <c r="H14" s="478">
        <v>0</v>
      </c>
      <c r="I14" s="478">
        <v>0</v>
      </c>
      <c r="J14" s="478">
        <v>0</v>
      </c>
      <c r="K14" s="478">
        <v>0</v>
      </c>
    </row>
    <row r="15" spans="1:12" ht="12.75" customHeight="1" x14ac:dyDescent="0.2">
      <c r="A15" s="463" t="s">
        <v>97</v>
      </c>
      <c r="B15" s="470">
        <v>1220</v>
      </c>
      <c r="C15" s="478">
        <v>0</v>
      </c>
      <c r="D15" s="478">
        <v>0</v>
      </c>
      <c r="E15" s="478">
        <v>0</v>
      </c>
      <c r="F15" s="478">
        <v>0</v>
      </c>
      <c r="G15" s="478">
        <v>0</v>
      </c>
      <c r="H15" s="478">
        <v>0</v>
      </c>
      <c r="I15" s="478">
        <v>0</v>
      </c>
      <c r="J15" s="478">
        <v>0</v>
      </c>
      <c r="K15" s="478">
        <v>0</v>
      </c>
    </row>
    <row r="16" spans="1:12" ht="15" customHeight="1" x14ac:dyDescent="0.2">
      <c r="A16" s="463" t="s">
        <v>1762</v>
      </c>
      <c r="B16" s="544">
        <v>1230</v>
      </c>
      <c r="C16" s="478">
        <v>38997</v>
      </c>
      <c r="D16" s="478">
        <v>0</v>
      </c>
      <c r="E16" s="478">
        <v>0</v>
      </c>
      <c r="F16" s="478">
        <v>0</v>
      </c>
      <c r="G16" s="478">
        <v>6000</v>
      </c>
      <c r="H16" s="478">
        <v>0</v>
      </c>
      <c r="I16" s="478">
        <v>0</v>
      </c>
      <c r="J16" s="478">
        <v>0</v>
      </c>
      <c r="K16" s="478">
        <v>0</v>
      </c>
    </row>
    <row r="17" spans="1:11" ht="12.75" customHeight="1" x14ac:dyDescent="0.2">
      <c r="A17" s="463" t="s">
        <v>840</v>
      </c>
      <c r="B17" s="470">
        <v>1290</v>
      </c>
      <c r="C17" s="478">
        <v>0</v>
      </c>
      <c r="D17" s="478">
        <v>0</v>
      </c>
      <c r="E17" s="478">
        <v>0</v>
      </c>
      <c r="F17" s="478">
        <v>0</v>
      </c>
      <c r="G17" s="478">
        <v>0</v>
      </c>
      <c r="H17" s="478">
        <v>0</v>
      </c>
      <c r="I17" s="478">
        <v>0</v>
      </c>
      <c r="J17" s="478">
        <v>0</v>
      </c>
      <c r="K17" s="478">
        <v>0</v>
      </c>
    </row>
    <row r="18" spans="1:11" ht="12.75" customHeight="1" thickBot="1" x14ac:dyDescent="0.25">
      <c r="A18" s="1719" t="s">
        <v>558</v>
      </c>
      <c r="B18" s="1720"/>
      <c r="C18" s="1721">
        <f>SUM(C14:C17)</f>
        <v>38997</v>
      </c>
      <c r="D18" s="1721">
        <f t="shared" ref="D18:K18" si="1">SUM(D14:D17)</f>
        <v>0</v>
      </c>
      <c r="E18" s="1721">
        <f t="shared" si="1"/>
        <v>0</v>
      </c>
      <c r="F18" s="1721">
        <f t="shared" si="1"/>
        <v>0</v>
      </c>
      <c r="G18" s="1721">
        <f t="shared" si="1"/>
        <v>6000</v>
      </c>
      <c r="H18" s="1721">
        <f t="shared" si="1"/>
        <v>0</v>
      </c>
      <c r="I18" s="1721">
        <f t="shared" si="1"/>
        <v>0</v>
      </c>
      <c r="J18" s="1721">
        <f t="shared" si="1"/>
        <v>0</v>
      </c>
      <c r="K18" s="1722">
        <f t="shared" si="1"/>
        <v>0</v>
      </c>
    </row>
    <row r="19" spans="1:11" ht="15.75" customHeight="1" thickTop="1" x14ac:dyDescent="0.2">
      <c r="A19" s="1603" t="s">
        <v>472</v>
      </c>
      <c r="B19" s="1604">
        <v>1300</v>
      </c>
      <c r="C19" s="549"/>
      <c r="D19" s="549"/>
      <c r="E19" s="549"/>
      <c r="F19" s="549"/>
      <c r="G19" s="548"/>
      <c r="H19" s="549"/>
      <c r="I19" s="549"/>
      <c r="J19" s="549"/>
      <c r="K19" s="550"/>
    </row>
    <row r="20" spans="1:11" x14ac:dyDescent="0.2">
      <c r="A20" s="463" t="s">
        <v>1133</v>
      </c>
      <c r="B20" s="470">
        <v>1311</v>
      </c>
      <c r="C20" s="478">
        <v>0</v>
      </c>
      <c r="D20" s="468"/>
      <c r="E20" s="468"/>
      <c r="F20" s="468"/>
      <c r="G20" s="468"/>
      <c r="H20" s="468"/>
      <c r="I20" s="468"/>
      <c r="J20" s="468"/>
      <c r="K20" s="468"/>
    </row>
    <row r="21" spans="1:11" ht="12.75" customHeight="1" x14ac:dyDescent="0.2">
      <c r="A21" s="463" t="s">
        <v>887</v>
      </c>
      <c r="B21" s="470">
        <v>1312</v>
      </c>
      <c r="C21" s="478">
        <v>0</v>
      </c>
      <c r="D21" s="468"/>
      <c r="E21" s="468"/>
      <c r="F21" s="468"/>
      <c r="G21" s="468"/>
      <c r="H21" s="468"/>
      <c r="I21" s="468"/>
      <c r="J21" s="468"/>
      <c r="K21" s="468"/>
    </row>
    <row r="22" spans="1:11" ht="12.75" customHeight="1" x14ac:dyDescent="0.2">
      <c r="A22" s="463" t="s">
        <v>1134</v>
      </c>
      <c r="B22" s="470">
        <v>1313</v>
      </c>
      <c r="C22" s="478">
        <v>0</v>
      </c>
      <c r="D22" s="468"/>
      <c r="E22" s="468"/>
      <c r="F22" s="468"/>
      <c r="G22" s="468"/>
      <c r="H22" s="468"/>
      <c r="I22" s="468"/>
      <c r="J22" s="468"/>
      <c r="K22" s="468"/>
    </row>
    <row r="23" spans="1:11" ht="12.75" customHeight="1" x14ac:dyDescent="0.2">
      <c r="A23" s="463" t="s">
        <v>1135</v>
      </c>
      <c r="B23" s="470">
        <v>1314</v>
      </c>
      <c r="C23" s="478">
        <v>0</v>
      </c>
      <c r="D23" s="468"/>
      <c r="E23" s="468"/>
      <c r="F23" s="468"/>
      <c r="G23" s="468"/>
      <c r="H23" s="468"/>
      <c r="I23" s="468"/>
      <c r="J23" s="468"/>
      <c r="K23" s="468"/>
    </row>
    <row r="24" spans="1:11" ht="12.75" customHeight="1" x14ac:dyDescent="0.2">
      <c r="A24" s="463" t="s">
        <v>1085</v>
      </c>
      <c r="B24" s="470">
        <v>1321</v>
      </c>
      <c r="C24" s="478">
        <v>0</v>
      </c>
      <c r="D24" s="468"/>
      <c r="E24" s="468"/>
      <c r="F24" s="468"/>
      <c r="G24" s="468"/>
      <c r="H24" s="468"/>
      <c r="I24" s="468"/>
      <c r="J24" s="468"/>
      <c r="K24" s="468"/>
    </row>
    <row r="25" spans="1:11" ht="12.75" customHeight="1" x14ac:dyDescent="0.2">
      <c r="A25" s="463" t="s">
        <v>888</v>
      </c>
      <c r="B25" s="470">
        <v>1322</v>
      </c>
      <c r="C25" s="478">
        <v>0</v>
      </c>
      <c r="D25" s="468"/>
      <c r="E25" s="468"/>
      <c r="F25" s="468"/>
      <c r="G25" s="468"/>
      <c r="H25" s="468"/>
      <c r="I25" s="468"/>
      <c r="J25" s="468"/>
      <c r="K25" s="468"/>
    </row>
    <row r="26" spans="1:11" ht="12.75" customHeight="1" x14ac:dyDescent="0.2">
      <c r="A26" s="463" t="s">
        <v>1163</v>
      </c>
      <c r="B26" s="470">
        <v>1323</v>
      </c>
      <c r="C26" s="478">
        <v>0</v>
      </c>
      <c r="D26" s="468"/>
      <c r="E26" s="468"/>
      <c r="F26" s="468"/>
      <c r="G26" s="468"/>
      <c r="H26" s="468"/>
      <c r="I26" s="468"/>
      <c r="J26" s="468"/>
      <c r="K26" s="468"/>
    </row>
    <row r="27" spans="1:11" ht="12.75" customHeight="1" x14ac:dyDescent="0.2">
      <c r="A27" s="463" t="s">
        <v>1081</v>
      </c>
      <c r="B27" s="470">
        <v>1324</v>
      </c>
      <c r="C27" s="478">
        <v>0</v>
      </c>
      <c r="D27" s="468"/>
      <c r="E27" s="468"/>
      <c r="F27" s="468"/>
      <c r="G27" s="468"/>
      <c r="H27" s="468"/>
      <c r="I27" s="468"/>
      <c r="J27" s="468"/>
      <c r="K27" s="468"/>
    </row>
    <row r="28" spans="1:11" ht="12.75" customHeight="1" x14ac:dyDescent="0.2">
      <c r="A28" s="463" t="s">
        <v>1082</v>
      </c>
      <c r="B28" s="470">
        <v>1331</v>
      </c>
      <c r="C28" s="478">
        <v>0</v>
      </c>
      <c r="D28" s="468"/>
      <c r="E28" s="468"/>
      <c r="F28" s="468"/>
      <c r="G28" s="468"/>
      <c r="H28" s="468"/>
      <c r="I28" s="468"/>
      <c r="J28" s="468"/>
      <c r="K28" s="468"/>
    </row>
    <row r="29" spans="1:11" ht="12.75" customHeight="1" x14ac:dyDescent="0.2">
      <c r="A29" s="463" t="s">
        <v>889</v>
      </c>
      <c r="B29" s="470">
        <v>1332</v>
      </c>
      <c r="C29" s="478">
        <v>0</v>
      </c>
      <c r="D29" s="468"/>
      <c r="E29" s="468"/>
      <c r="F29" s="468"/>
      <c r="G29" s="468"/>
      <c r="H29" s="468"/>
      <c r="I29" s="468"/>
      <c r="J29" s="468"/>
      <c r="K29" s="468"/>
    </row>
    <row r="30" spans="1:11" ht="12.75" customHeight="1" x14ac:dyDescent="0.2">
      <c r="A30" s="463" t="s">
        <v>1084</v>
      </c>
      <c r="B30" s="470">
        <v>1333</v>
      </c>
      <c r="C30" s="478">
        <v>0</v>
      </c>
      <c r="D30" s="468"/>
      <c r="E30" s="468"/>
      <c r="F30" s="468"/>
      <c r="G30" s="468"/>
      <c r="H30" s="468"/>
      <c r="I30" s="468"/>
      <c r="J30" s="468"/>
      <c r="K30" s="468"/>
    </row>
    <row r="31" spans="1:11" ht="12.75" customHeight="1" x14ac:dyDescent="0.2">
      <c r="A31" s="463" t="s">
        <v>1083</v>
      </c>
      <c r="B31" s="470">
        <v>1334</v>
      </c>
      <c r="C31" s="478">
        <v>0</v>
      </c>
      <c r="D31" s="468"/>
      <c r="E31" s="468"/>
      <c r="F31" s="468"/>
      <c r="G31" s="468"/>
      <c r="H31" s="468"/>
      <c r="I31" s="468"/>
      <c r="J31" s="468"/>
      <c r="K31" s="468"/>
    </row>
    <row r="32" spans="1:11" ht="12.75" customHeight="1" x14ac:dyDescent="0.2">
      <c r="A32" s="463" t="s">
        <v>515</v>
      </c>
      <c r="B32" s="470">
        <v>1341</v>
      </c>
      <c r="C32" s="478">
        <v>0</v>
      </c>
      <c r="D32" s="468"/>
      <c r="E32" s="468"/>
      <c r="F32" s="468"/>
      <c r="G32" s="468"/>
      <c r="H32" s="468"/>
      <c r="I32" s="468"/>
      <c r="J32" s="468"/>
      <c r="K32" s="468"/>
    </row>
    <row r="33" spans="1:11" ht="12.75" customHeight="1" x14ac:dyDescent="0.2">
      <c r="A33" s="463" t="s">
        <v>890</v>
      </c>
      <c r="B33" s="470">
        <v>1342</v>
      </c>
      <c r="C33" s="478">
        <v>0</v>
      </c>
      <c r="D33" s="468"/>
      <c r="E33" s="468"/>
      <c r="F33" s="468"/>
      <c r="G33" s="468"/>
      <c r="H33" s="468"/>
      <c r="I33" s="468"/>
      <c r="J33" s="468"/>
      <c r="K33" s="468"/>
    </row>
    <row r="34" spans="1:11" ht="12.75" customHeight="1" x14ac:dyDescent="0.2">
      <c r="A34" s="463" t="s">
        <v>516</v>
      </c>
      <c r="B34" s="470">
        <v>1343</v>
      </c>
      <c r="C34" s="478">
        <v>0</v>
      </c>
      <c r="D34" s="468"/>
      <c r="E34" s="468"/>
      <c r="F34" s="468"/>
      <c r="G34" s="468"/>
      <c r="H34" s="468"/>
      <c r="I34" s="468"/>
      <c r="J34" s="468"/>
      <c r="K34" s="468"/>
    </row>
    <row r="35" spans="1:11" ht="12.75" customHeight="1" x14ac:dyDescent="0.2">
      <c r="A35" s="463" t="s">
        <v>514</v>
      </c>
      <c r="B35" s="470">
        <v>1344</v>
      </c>
      <c r="C35" s="478">
        <v>0</v>
      </c>
      <c r="D35" s="468"/>
      <c r="E35" s="468"/>
      <c r="F35" s="468"/>
      <c r="G35" s="468"/>
      <c r="H35" s="468"/>
      <c r="I35" s="468"/>
      <c r="J35" s="468"/>
      <c r="K35" s="468"/>
    </row>
    <row r="36" spans="1:11" ht="12.75" customHeight="1" x14ac:dyDescent="0.2">
      <c r="A36" s="463" t="s">
        <v>886</v>
      </c>
      <c r="B36" s="470">
        <v>1351</v>
      </c>
      <c r="C36" s="478">
        <v>0</v>
      </c>
      <c r="D36" s="468"/>
      <c r="E36" s="468"/>
      <c r="F36" s="468"/>
      <c r="G36" s="468"/>
      <c r="H36" s="468"/>
      <c r="I36" s="468"/>
      <c r="J36" s="468"/>
      <c r="K36" s="468"/>
    </row>
    <row r="37" spans="1:11" ht="12.75" customHeight="1" x14ac:dyDescent="0.2">
      <c r="A37" s="463" t="s">
        <v>891</v>
      </c>
      <c r="B37" s="470">
        <v>1352</v>
      </c>
      <c r="C37" s="478">
        <v>0</v>
      </c>
      <c r="D37" s="468"/>
      <c r="E37" s="468"/>
      <c r="F37" s="468"/>
      <c r="G37" s="468"/>
      <c r="H37" s="468"/>
      <c r="I37" s="468"/>
      <c r="J37" s="468"/>
      <c r="K37" s="468"/>
    </row>
    <row r="38" spans="1:11" ht="12.75" customHeight="1" x14ac:dyDescent="0.2">
      <c r="A38" s="463" t="s">
        <v>614</v>
      </c>
      <c r="B38" s="470">
        <v>1353</v>
      </c>
      <c r="C38" s="478">
        <v>0</v>
      </c>
      <c r="D38" s="468"/>
      <c r="E38" s="468"/>
      <c r="F38" s="468"/>
      <c r="G38" s="468"/>
      <c r="H38" s="468"/>
      <c r="I38" s="468"/>
      <c r="J38" s="468"/>
      <c r="K38" s="468"/>
    </row>
    <row r="39" spans="1:11" ht="12.75" customHeight="1" x14ac:dyDescent="0.2">
      <c r="A39" s="1506" t="s">
        <v>615</v>
      </c>
      <c r="B39" s="551">
        <v>1354</v>
      </c>
      <c r="C39" s="478">
        <v>0</v>
      </c>
      <c r="D39" s="468"/>
      <c r="E39" s="468"/>
      <c r="F39" s="468"/>
      <c r="G39" s="468"/>
      <c r="H39" s="468"/>
      <c r="I39" s="468"/>
      <c r="J39" s="468"/>
      <c r="K39" s="468"/>
    </row>
    <row r="40" spans="1:11" ht="12.75" customHeight="1" thickBot="1" x14ac:dyDescent="0.25">
      <c r="A40" s="1719" t="s">
        <v>559</v>
      </c>
      <c r="B40" s="1720"/>
      <c r="C40" s="1699">
        <f>SUM(C20:C39)</f>
        <v>0</v>
      </c>
      <c r="D40" s="468"/>
      <c r="E40" s="468"/>
      <c r="F40" s="468"/>
      <c r="G40" s="468"/>
      <c r="H40" s="468"/>
      <c r="I40" s="468"/>
      <c r="J40" s="468"/>
      <c r="K40" s="468"/>
    </row>
    <row r="41" spans="1:11" ht="15.75" customHeight="1" thickTop="1" x14ac:dyDescent="0.2">
      <c r="A41" s="1603" t="s">
        <v>292</v>
      </c>
      <c r="B41" s="1604">
        <v>1400</v>
      </c>
      <c r="C41" s="468"/>
      <c r="D41" s="468"/>
      <c r="E41" s="468"/>
      <c r="F41" s="517"/>
      <c r="G41" s="468"/>
      <c r="H41" s="468"/>
      <c r="I41" s="468"/>
      <c r="J41" s="468"/>
      <c r="K41" s="468"/>
    </row>
    <row r="42" spans="1:11" ht="12.75" customHeight="1" x14ac:dyDescent="0.2">
      <c r="A42" s="463" t="s">
        <v>1136</v>
      </c>
      <c r="B42" s="470">
        <v>1411</v>
      </c>
      <c r="C42" s="468"/>
      <c r="D42" s="468"/>
      <c r="E42" s="468"/>
      <c r="F42" s="478">
        <v>5978</v>
      </c>
      <c r="G42" s="468"/>
      <c r="H42" s="468"/>
      <c r="I42" s="468"/>
      <c r="J42" s="468"/>
      <c r="K42" s="468"/>
    </row>
    <row r="43" spans="1:11" ht="12.75" customHeight="1" x14ac:dyDescent="0.2">
      <c r="A43" s="463" t="s">
        <v>892</v>
      </c>
      <c r="B43" s="470">
        <v>1412</v>
      </c>
      <c r="C43" s="468"/>
      <c r="D43" s="468"/>
      <c r="E43" s="468"/>
      <c r="F43" s="478">
        <v>3778</v>
      </c>
      <c r="G43" s="468"/>
      <c r="H43" s="468"/>
      <c r="I43" s="468"/>
      <c r="J43" s="468"/>
      <c r="K43" s="468"/>
    </row>
    <row r="44" spans="1:11" ht="12.75" customHeight="1" x14ac:dyDescent="0.2">
      <c r="A44" s="463" t="s">
        <v>402</v>
      </c>
      <c r="B44" s="470">
        <v>1413</v>
      </c>
      <c r="C44" s="468"/>
      <c r="D44" s="468"/>
      <c r="E44" s="468"/>
      <c r="F44" s="478">
        <v>0</v>
      </c>
      <c r="G44" s="468"/>
      <c r="H44" s="468"/>
      <c r="I44" s="468"/>
      <c r="J44" s="468"/>
      <c r="K44" s="468"/>
    </row>
    <row r="45" spans="1:11" ht="12.75" customHeight="1" x14ac:dyDescent="0.2">
      <c r="A45" s="463" t="s">
        <v>258</v>
      </c>
      <c r="B45" s="470">
        <v>1415</v>
      </c>
      <c r="C45" s="468"/>
      <c r="D45" s="468"/>
      <c r="E45" s="468"/>
      <c r="F45" s="478">
        <v>0</v>
      </c>
      <c r="G45" s="468"/>
      <c r="H45" s="468"/>
      <c r="I45" s="468"/>
      <c r="J45" s="468"/>
      <c r="K45" s="468"/>
    </row>
    <row r="46" spans="1:11" ht="12.75" customHeight="1" x14ac:dyDescent="0.2">
      <c r="A46" s="463" t="s">
        <v>1236</v>
      </c>
      <c r="B46" s="470">
        <v>1416</v>
      </c>
      <c r="C46" s="468"/>
      <c r="D46" s="468"/>
      <c r="E46" s="468"/>
      <c r="F46" s="478">
        <v>0</v>
      </c>
      <c r="G46" s="468"/>
      <c r="H46" s="468"/>
      <c r="I46" s="468"/>
      <c r="J46" s="468"/>
      <c r="K46" s="468"/>
    </row>
    <row r="47" spans="1:11" ht="12.75" customHeight="1" x14ac:dyDescent="0.2">
      <c r="A47" s="463" t="s">
        <v>59</v>
      </c>
      <c r="B47" s="470">
        <v>1421</v>
      </c>
      <c r="C47" s="468"/>
      <c r="D47" s="468"/>
      <c r="E47" s="468"/>
      <c r="F47" s="478">
        <v>0</v>
      </c>
      <c r="G47" s="468"/>
      <c r="H47" s="468"/>
      <c r="I47" s="468"/>
      <c r="J47" s="468"/>
      <c r="K47" s="468"/>
    </row>
    <row r="48" spans="1:11" ht="12.75" customHeight="1" x14ac:dyDescent="0.2">
      <c r="A48" s="463" t="s">
        <v>893</v>
      </c>
      <c r="B48" s="470">
        <v>1422</v>
      </c>
      <c r="C48" s="468"/>
      <c r="D48" s="468"/>
      <c r="E48" s="468"/>
      <c r="F48" s="478">
        <v>0</v>
      </c>
      <c r="G48" s="468"/>
      <c r="H48" s="468"/>
      <c r="I48" s="468"/>
      <c r="J48" s="468"/>
      <c r="K48" s="468"/>
    </row>
    <row r="49" spans="1:11" ht="12.75" customHeight="1" x14ac:dyDescent="0.2">
      <c r="A49" s="463" t="s">
        <v>60</v>
      </c>
      <c r="B49" s="470">
        <v>1423</v>
      </c>
      <c r="C49" s="468"/>
      <c r="D49" s="468"/>
      <c r="E49" s="468"/>
      <c r="F49" s="478">
        <v>0</v>
      </c>
      <c r="G49" s="468"/>
      <c r="H49" s="468"/>
      <c r="I49" s="468"/>
      <c r="J49" s="468"/>
      <c r="K49" s="468"/>
    </row>
    <row r="50" spans="1:11" ht="12.75" customHeight="1" x14ac:dyDescent="0.2">
      <c r="A50" s="463" t="s">
        <v>61</v>
      </c>
      <c r="B50" s="470">
        <v>1424</v>
      </c>
      <c r="C50" s="468"/>
      <c r="D50" s="468"/>
      <c r="E50" s="468"/>
      <c r="F50" s="478">
        <v>0</v>
      </c>
      <c r="G50" s="468"/>
      <c r="H50" s="468"/>
      <c r="I50" s="468"/>
      <c r="J50" s="468"/>
      <c r="K50" s="468"/>
    </row>
    <row r="51" spans="1:11" ht="12.75" customHeight="1" x14ac:dyDescent="0.2">
      <c r="A51" s="1507" t="s">
        <v>62</v>
      </c>
      <c r="B51" s="552">
        <v>1431</v>
      </c>
      <c r="C51" s="468"/>
      <c r="D51" s="468"/>
      <c r="E51" s="468"/>
      <c r="F51" s="478">
        <v>0</v>
      </c>
      <c r="G51" s="468"/>
      <c r="H51" s="468"/>
      <c r="I51" s="468"/>
      <c r="J51" s="468"/>
      <c r="K51" s="468"/>
    </row>
    <row r="52" spans="1:11" ht="12.75" customHeight="1" x14ac:dyDescent="0.2">
      <c r="A52" s="1507" t="s">
        <v>1168</v>
      </c>
      <c r="B52" s="552">
        <v>1432</v>
      </c>
      <c r="C52" s="468"/>
      <c r="D52" s="468"/>
      <c r="E52" s="468"/>
      <c r="F52" s="478">
        <v>0</v>
      </c>
      <c r="G52" s="468"/>
      <c r="H52" s="468"/>
      <c r="I52" s="468"/>
      <c r="J52" s="468"/>
      <c r="K52" s="468"/>
    </row>
    <row r="53" spans="1:11" ht="12.75" customHeight="1" x14ac:dyDescent="0.2">
      <c r="A53" s="1507" t="s">
        <v>63</v>
      </c>
      <c r="B53" s="552">
        <v>1433</v>
      </c>
      <c r="C53" s="468"/>
      <c r="D53" s="468"/>
      <c r="E53" s="468"/>
      <c r="F53" s="478">
        <v>0</v>
      </c>
      <c r="G53" s="468"/>
      <c r="H53" s="468"/>
      <c r="I53" s="468"/>
      <c r="J53" s="468"/>
      <c r="K53" s="468"/>
    </row>
    <row r="54" spans="1:11" ht="12.75" customHeight="1" x14ac:dyDescent="0.2">
      <c r="A54" s="1507" t="s">
        <v>64</v>
      </c>
      <c r="B54" s="552">
        <v>1434</v>
      </c>
      <c r="C54" s="468"/>
      <c r="D54" s="468"/>
      <c r="E54" s="468"/>
      <c r="F54" s="478">
        <v>0</v>
      </c>
      <c r="G54" s="468"/>
      <c r="H54" s="468"/>
      <c r="I54" s="468"/>
      <c r="J54" s="468"/>
      <c r="K54" s="468"/>
    </row>
    <row r="55" spans="1:11" ht="12.75" customHeight="1" x14ac:dyDescent="0.2">
      <c r="A55" s="1507" t="s">
        <v>65</v>
      </c>
      <c r="B55" s="552">
        <v>1441</v>
      </c>
      <c r="C55" s="468"/>
      <c r="D55" s="468"/>
      <c r="E55" s="468"/>
      <c r="F55" s="478">
        <v>0</v>
      </c>
      <c r="G55" s="468"/>
      <c r="H55" s="468"/>
      <c r="I55" s="468"/>
      <c r="J55" s="468"/>
      <c r="K55" s="468"/>
    </row>
    <row r="56" spans="1:11" ht="12.75" customHeight="1" x14ac:dyDescent="0.2">
      <c r="A56" s="1507" t="s">
        <v>1169</v>
      </c>
      <c r="B56" s="552">
        <v>1442</v>
      </c>
      <c r="C56" s="468"/>
      <c r="D56" s="468"/>
      <c r="E56" s="468"/>
      <c r="F56" s="478">
        <v>0</v>
      </c>
      <c r="G56" s="468"/>
      <c r="H56" s="468"/>
      <c r="I56" s="468"/>
      <c r="J56" s="468"/>
      <c r="K56" s="468"/>
    </row>
    <row r="57" spans="1:11" ht="12.75" customHeight="1" x14ac:dyDescent="0.2">
      <c r="A57" s="1507" t="s">
        <v>510</v>
      </c>
      <c r="B57" s="552">
        <v>1443</v>
      </c>
      <c r="C57" s="468"/>
      <c r="D57" s="468"/>
      <c r="E57" s="468"/>
      <c r="F57" s="478">
        <v>0</v>
      </c>
      <c r="G57" s="468"/>
      <c r="H57" s="468"/>
      <c r="I57" s="468"/>
      <c r="J57" s="468"/>
      <c r="K57" s="468"/>
    </row>
    <row r="58" spans="1:11" ht="12.75" customHeight="1" x14ac:dyDescent="0.2">
      <c r="A58" s="1507" t="s">
        <v>67</v>
      </c>
      <c r="B58" s="552">
        <v>1444</v>
      </c>
      <c r="C58" s="468"/>
      <c r="D58" s="468"/>
      <c r="E58" s="468"/>
      <c r="F58" s="478">
        <v>0</v>
      </c>
      <c r="G58" s="468"/>
      <c r="H58" s="468"/>
      <c r="I58" s="468"/>
      <c r="J58" s="468"/>
      <c r="K58" s="468"/>
    </row>
    <row r="59" spans="1:11" ht="12.75" customHeight="1" x14ac:dyDescent="0.2">
      <c r="A59" s="1507" t="s">
        <v>933</v>
      </c>
      <c r="B59" s="552">
        <v>1451</v>
      </c>
      <c r="C59" s="468"/>
      <c r="D59" s="468"/>
      <c r="E59" s="468"/>
      <c r="F59" s="478">
        <v>0</v>
      </c>
      <c r="G59" s="468"/>
      <c r="H59" s="468"/>
      <c r="I59" s="468"/>
      <c r="J59" s="468"/>
      <c r="K59" s="468"/>
    </row>
    <row r="60" spans="1:11" ht="12.75" customHeight="1" x14ac:dyDescent="0.2">
      <c r="A60" s="1507" t="s">
        <v>1170</v>
      </c>
      <c r="B60" s="552">
        <v>1452</v>
      </c>
      <c r="C60" s="468"/>
      <c r="D60" s="468"/>
      <c r="E60" s="468"/>
      <c r="F60" s="478">
        <v>0</v>
      </c>
      <c r="G60" s="468"/>
      <c r="H60" s="468"/>
      <c r="I60" s="468"/>
      <c r="J60" s="468"/>
      <c r="K60" s="468"/>
    </row>
    <row r="61" spans="1:11" ht="12.75" customHeight="1" x14ac:dyDescent="0.2">
      <c r="A61" s="557" t="s">
        <v>934</v>
      </c>
      <c r="B61" s="552">
        <v>1453</v>
      </c>
      <c r="C61" s="468"/>
      <c r="D61" s="468"/>
      <c r="E61" s="468"/>
      <c r="F61" s="478">
        <v>0</v>
      </c>
      <c r="G61" s="468"/>
      <c r="H61" s="468"/>
      <c r="I61" s="468"/>
      <c r="J61" s="468"/>
      <c r="K61" s="468"/>
    </row>
    <row r="62" spans="1:11" ht="12.75" customHeight="1" x14ac:dyDescent="0.2">
      <c r="A62" s="1508" t="s">
        <v>935</v>
      </c>
      <c r="B62" s="553">
        <v>1454</v>
      </c>
      <c r="C62" s="468"/>
      <c r="D62" s="468"/>
      <c r="E62" s="468"/>
      <c r="F62" s="478">
        <v>0</v>
      </c>
      <c r="G62" s="468"/>
      <c r="H62" s="468"/>
      <c r="I62" s="468"/>
      <c r="J62" s="468"/>
      <c r="K62" s="468"/>
    </row>
    <row r="63" spans="1:11" ht="12.75" customHeight="1" thickBot="1" x14ac:dyDescent="0.25">
      <c r="A63" s="1719" t="s">
        <v>506</v>
      </c>
      <c r="B63" s="1720"/>
      <c r="C63" s="468"/>
      <c r="D63" s="468"/>
      <c r="E63" s="468"/>
      <c r="F63" s="1699">
        <f>SUM(F42:F62)</f>
        <v>9756</v>
      </c>
      <c r="G63" s="468"/>
      <c r="H63" s="468"/>
      <c r="I63" s="468"/>
      <c r="J63" s="468"/>
      <c r="K63" s="468"/>
    </row>
    <row r="64" spans="1:11" ht="15.75" customHeight="1" thickTop="1" x14ac:dyDescent="0.2">
      <c r="A64" s="1603" t="s">
        <v>474</v>
      </c>
      <c r="B64" s="1604">
        <v>1500</v>
      </c>
      <c r="C64" s="468"/>
      <c r="D64" s="468"/>
      <c r="E64" s="468"/>
      <c r="F64" s="468"/>
      <c r="G64" s="468"/>
      <c r="H64" s="468"/>
      <c r="I64" s="468"/>
      <c r="J64" s="468"/>
      <c r="K64" s="468"/>
    </row>
    <row r="65" spans="1:11" ht="12.75" customHeight="1" x14ac:dyDescent="0.2">
      <c r="A65" s="463" t="s">
        <v>568</v>
      </c>
      <c r="B65" s="470">
        <v>1510</v>
      </c>
      <c r="C65" s="478">
        <v>31244</v>
      </c>
      <c r="D65" s="478">
        <v>9134</v>
      </c>
      <c r="E65" s="478">
        <v>2387</v>
      </c>
      <c r="F65" s="478">
        <v>5716</v>
      </c>
      <c r="G65" s="478">
        <v>5436</v>
      </c>
      <c r="H65" s="478">
        <v>0</v>
      </c>
      <c r="I65" s="478">
        <v>19669</v>
      </c>
      <c r="J65" s="478">
        <v>314</v>
      </c>
      <c r="K65" s="478">
        <v>2415</v>
      </c>
    </row>
    <row r="66" spans="1:11" ht="12.75" customHeight="1" x14ac:dyDescent="0.2">
      <c r="A66" s="463" t="s">
        <v>700</v>
      </c>
      <c r="B66" s="470">
        <v>1520</v>
      </c>
      <c r="C66" s="478">
        <v>0</v>
      </c>
      <c r="D66" s="478">
        <v>0</v>
      </c>
      <c r="E66" s="478">
        <v>0</v>
      </c>
      <c r="F66" s="478">
        <v>0</v>
      </c>
      <c r="G66" s="478">
        <v>0</v>
      </c>
      <c r="H66" s="478">
        <v>0</v>
      </c>
      <c r="I66" s="478">
        <v>0</v>
      </c>
      <c r="J66" s="478">
        <v>0</v>
      </c>
      <c r="K66" s="478">
        <v>0</v>
      </c>
    </row>
    <row r="67" spans="1:11" ht="12.75" customHeight="1" thickBot="1" x14ac:dyDescent="0.25">
      <c r="A67" s="1719" t="s">
        <v>507</v>
      </c>
      <c r="B67" s="1720"/>
      <c r="C67" s="1699">
        <f>SUM(C65:C66)</f>
        <v>31244</v>
      </c>
      <c r="D67" s="1699">
        <f t="shared" ref="D67:K67" si="2">SUM(D65:D66)</f>
        <v>9134</v>
      </c>
      <c r="E67" s="1699">
        <f t="shared" si="2"/>
        <v>2387</v>
      </c>
      <c r="F67" s="1699">
        <f t="shared" si="2"/>
        <v>5716</v>
      </c>
      <c r="G67" s="1699">
        <f t="shared" si="2"/>
        <v>5436</v>
      </c>
      <c r="H67" s="1699">
        <f t="shared" si="2"/>
        <v>0</v>
      </c>
      <c r="I67" s="1699">
        <f t="shared" si="2"/>
        <v>19669</v>
      </c>
      <c r="J67" s="1699">
        <f t="shared" si="2"/>
        <v>314</v>
      </c>
      <c r="K67" s="1699">
        <f t="shared" si="2"/>
        <v>2415</v>
      </c>
    </row>
    <row r="68" spans="1:11" ht="15.75" customHeight="1" thickTop="1" x14ac:dyDescent="0.2">
      <c r="A68" s="1603" t="s">
        <v>475</v>
      </c>
      <c r="B68" s="1605">
        <v>1600</v>
      </c>
      <c r="C68" s="548"/>
      <c r="D68" s="468"/>
      <c r="E68" s="468"/>
      <c r="F68" s="468"/>
      <c r="G68" s="468"/>
      <c r="H68" s="468"/>
      <c r="I68" s="468"/>
      <c r="J68" s="468"/>
      <c r="K68" s="468"/>
    </row>
    <row r="69" spans="1:11" ht="12.75" customHeight="1" x14ac:dyDescent="0.2">
      <c r="A69" s="463" t="s">
        <v>687</v>
      </c>
      <c r="B69" s="470">
        <v>1611</v>
      </c>
      <c r="C69" s="478">
        <v>8169</v>
      </c>
      <c r="D69" s="468"/>
      <c r="E69" s="468"/>
      <c r="F69" s="468"/>
      <c r="G69" s="468"/>
      <c r="H69" s="468"/>
      <c r="I69" s="468"/>
      <c r="J69" s="468"/>
      <c r="K69" s="468"/>
    </row>
    <row r="70" spans="1:11" ht="12.75" customHeight="1" x14ac:dyDescent="0.2">
      <c r="A70" s="463" t="s">
        <v>1054</v>
      </c>
      <c r="B70" s="470">
        <v>1612</v>
      </c>
      <c r="C70" s="478">
        <v>1559</v>
      </c>
      <c r="D70" s="468"/>
      <c r="E70" s="468"/>
      <c r="F70" s="468"/>
      <c r="G70" s="468"/>
      <c r="H70" s="468"/>
      <c r="I70" s="468"/>
      <c r="J70" s="468"/>
      <c r="K70" s="468"/>
    </row>
    <row r="71" spans="1:11" ht="12.75" customHeight="1" x14ac:dyDescent="0.2">
      <c r="A71" s="463" t="s">
        <v>291</v>
      </c>
      <c r="B71" s="470">
        <v>1613</v>
      </c>
      <c r="C71" s="478">
        <v>42485</v>
      </c>
      <c r="D71" s="468"/>
      <c r="E71" s="468"/>
      <c r="F71" s="468"/>
      <c r="G71" s="468"/>
      <c r="H71" s="468"/>
      <c r="I71" s="468"/>
      <c r="J71" s="468"/>
      <c r="K71" s="468"/>
    </row>
    <row r="72" spans="1:11" ht="12.75" customHeight="1" x14ac:dyDescent="0.2">
      <c r="A72" s="463" t="s">
        <v>24</v>
      </c>
      <c r="B72" s="470">
        <v>1614</v>
      </c>
      <c r="C72" s="478">
        <v>0</v>
      </c>
      <c r="D72" s="468"/>
      <c r="E72" s="468"/>
      <c r="F72" s="468"/>
      <c r="G72" s="468"/>
      <c r="H72" s="468"/>
      <c r="I72" s="468"/>
      <c r="J72" s="468"/>
      <c r="K72" s="468"/>
    </row>
    <row r="73" spans="1:11" ht="12.75" customHeight="1" x14ac:dyDescent="0.2">
      <c r="A73" s="463" t="s">
        <v>1055</v>
      </c>
      <c r="B73" s="470">
        <v>1620</v>
      </c>
      <c r="C73" s="478">
        <v>0</v>
      </c>
      <c r="D73" s="468"/>
      <c r="E73" s="468"/>
      <c r="F73" s="468"/>
      <c r="G73" s="468"/>
      <c r="H73" s="468"/>
      <c r="I73" s="468"/>
      <c r="J73" s="468"/>
      <c r="K73" s="468"/>
    </row>
    <row r="74" spans="1:11" ht="12.75" customHeight="1" x14ac:dyDescent="0.2">
      <c r="A74" s="463" t="s">
        <v>25</v>
      </c>
      <c r="B74" s="470">
        <v>1690</v>
      </c>
      <c r="C74" s="478">
        <v>0</v>
      </c>
      <c r="D74" s="468"/>
      <c r="E74" s="468"/>
      <c r="F74" s="468"/>
      <c r="G74" s="468"/>
      <c r="H74" s="468"/>
      <c r="I74" s="468"/>
      <c r="J74" s="468"/>
      <c r="K74" s="468"/>
    </row>
    <row r="75" spans="1:11" ht="12.75" customHeight="1" thickBot="1" x14ac:dyDescent="0.25">
      <c r="A75" s="1719" t="s">
        <v>569</v>
      </c>
      <c r="B75" s="1720"/>
      <c r="C75" s="1699">
        <f>SUM(C69:C74)</f>
        <v>52213</v>
      </c>
      <c r="D75" s="468"/>
      <c r="E75" s="468"/>
      <c r="F75" s="468"/>
      <c r="G75" s="468"/>
      <c r="H75" s="468"/>
      <c r="I75" s="468"/>
      <c r="J75" s="468"/>
      <c r="K75" s="468"/>
    </row>
    <row r="76" spans="1:11" ht="15.75" customHeight="1" thickTop="1" x14ac:dyDescent="0.2">
      <c r="A76" s="1603" t="s">
        <v>936</v>
      </c>
      <c r="B76" s="1605">
        <v>1700</v>
      </c>
      <c r="C76" s="548"/>
      <c r="D76" s="468"/>
      <c r="E76" s="468"/>
      <c r="F76" s="468"/>
      <c r="G76" s="468"/>
      <c r="H76" s="468"/>
      <c r="I76" s="468"/>
      <c r="J76" s="468"/>
      <c r="K76" s="468"/>
    </row>
    <row r="77" spans="1:11" ht="12.75" customHeight="1" x14ac:dyDescent="0.2">
      <c r="A77" s="463" t="s">
        <v>570</v>
      </c>
      <c r="B77" s="470">
        <v>1711</v>
      </c>
      <c r="C77" s="478">
        <v>0</v>
      </c>
      <c r="D77" s="478">
        <v>0</v>
      </c>
      <c r="E77" s="468"/>
      <c r="F77" s="468"/>
      <c r="G77" s="468"/>
      <c r="H77" s="468"/>
      <c r="I77" s="468"/>
      <c r="J77" s="468"/>
      <c r="K77" s="468"/>
    </row>
    <row r="78" spans="1:11" ht="12.75" customHeight="1" x14ac:dyDescent="0.2">
      <c r="A78" s="463" t="s">
        <v>78</v>
      </c>
      <c r="B78" s="470">
        <v>1719</v>
      </c>
      <c r="C78" s="478">
        <v>0</v>
      </c>
      <c r="D78" s="478">
        <v>0</v>
      </c>
      <c r="E78" s="468"/>
      <c r="F78" s="468"/>
      <c r="G78" s="468"/>
      <c r="H78" s="468"/>
      <c r="I78" s="468"/>
      <c r="J78" s="468"/>
      <c r="K78" s="468"/>
    </row>
    <row r="79" spans="1:11" ht="12.75" customHeight="1" x14ac:dyDescent="0.2">
      <c r="A79" s="463" t="s">
        <v>571</v>
      </c>
      <c r="B79" s="470">
        <v>1720</v>
      </c>
      <c r="C79" s="478">
        <v>27845</v>
      </c>
      <c r="D79" s="478">
        <v>0</v>
      </c>
      <c r="E79" s="468"/>
      <c r="F79" s="468"/>
      <c r="G79" s="468"/>
      <c r="H79" s="468"/>
      <c r="I79" s="468"/>
      <c r="J79" s="468"/>
      <c r="K79" s="468"/>
    </row>
    <row r="80" spans="1:11" ht="12.75" customHeight="1" x14ac:dyDescent="0.2">
      <c r="A80" s="463" t="s">
        <v>572</v>
      </c>
      <c r="B80" s="470">
        <v>1730</v>
      </c>
      <c r="C80" s="478">
        <v>0</v>
      </c>
      <c r="D80" s="478">
        <v>0</v>
      </c>
      <c r="E80" s="468"/>
      <c r="F80" s="468"/>
      <c r="G80" s="468"/>
      <c r="H80" s="468"/>
      <c r="I80" s="468"/>
      <c r="J80" s="468"/>
      <c r="K80" s="468"/>
    </row>
    <row r="81" spans="1:11" ht="12.75" customHeight="1" x14ac:dyDescent="0.2">
      <c r="A81" s="463" t="s">
        <v>26</v>
      </c>
      <c r="B81" s="470">
        <v>1790</v>
      </c>
      <c r="C81" s="478">
        <v>0</v>
      </c>
      <c r="D81" s="478">
        <v>0</v>
      </c>
      <c r="E81" s="468"/>
      <c r="F81" s="468"/>
      <c r="G81" s="468"/>
      <c r="H81" s="468"/>
      <c r="I81" s="468"/>
      <c r="J81" s="468"/>
      <c r="K81" s="468"/>
    </row>
    <row r="82" spans="1:11" ht="12.75" customHeight="1" thickBot="1" x14ac:dyDescent="0.25">
      <c r="A82" s="1719" t="s">
        <v>259</v>
      </c>
      <c r="B82" s="1720"/>
      <c r="C82" s="1718">
        <f>SUM(C77:C81)</f>
        <v>27845</v>
      </c>
      <c r="D82" s="1699">
        <f>SUM(D77:D81)</f>
        <v>0</v>
      </c>
      <c r="E82" s="468"/>
      <c r="F82" s="468"/>
      <c r="G82" s="468"/>
      <c r="H82" s="468"/>
      <c r="I82" s="468"/>
      <c r="J82" s="468"/>
      <c r="K82" s="468"/>
    </row>
    <row r="83" spans="1:11" ht="15.75" customHeight="1" thickTop="1" x14ac:dyDescent="0.2">
      <c r="A83" s="1603" t="s">
        <v>260</v>
      </c>
      <c r="B83" s="1605">
        <v>1800</v>
      </c>
      <c r="C83" s="548"/>
      <c r="D83" s="468"/>
      <c r="E83" s="468"/>
      <c r="F83" s="468"/>
      <c r="G83" s="468"/>
      <c r="H83" s="468"/>
      <c r="I83" s="468"/>
      <c r="J83" s="468"/>
      <c r="K83" s="468"/>
    </row>
    <row r="84" spans="1:11" ht="12.75" customHeight="1" x14ac:dyDescent="0.2">
      <c r="A84" s="463" t="s">
        <v>573</v>
      </c>
      <c r="B84" s="470">
        <v>1811</v>
      </c>
      <c r="C84" s="478">
        <v>50954</v>
      </c>
      <c r="D84" s="468"/>
      <c r="E84" s="468"/>
      <c r="F84" s="468"/>
      <c r="G84" s="468"/>
      <c r="H84" s="468"/>
      <c r="I84" s="468"/>
      <c r="J84" s="468"/>
      <c r="K84" s="468"/>
    </row>
    <row r="85" spans="1:11" ht="12.75" customHeight="1" x14ac:dyDescent="0.2">
      <c r="A85" s="463" t="s">
        <v>574</v>
      </c>
      <c r="B85" s="470">
        <v>1812</v>
      </c>
      <c r="C85" s="478">
        <v>0</v>
      </c>
      <c r="D85" s="468"/>
      <c r="E85" s="468"/>
      <c r="F85" s="468"/>
      <c r="G85" s="468"/>
      <c r="H85" s="468"/>
      <c r="I85" s="468"/>
      <c r="J85" s="468"/>
      <c r="K85" s="468"/>
    </row>
    <row r="86" spans="1:11" ht="12.75" customHeight="1" x14ac:dyDescent="0.2">
      <c r="A86" s="463" t="s">
        <v>1056</v>
      </c>
      <c r="B86" s="470">
        <v>1813</v>
      </c>
      <c r="C86" s="478">
        <v>0</v>
      </c>
      <c r="D86" s="468"/>
      <c r="E86" s="468"/>
      <c r="F86" s="468"/>
      <c r="G86" s="468"/>
      <c r="H86" s="468"/>
      <c r="I86" s="468"/>
      <c r="J86" s="468"/>
      <c r="K86" s="468"/>
    </row>
    <row r="87" spans="1:11" ht="12.75" customHeight="1" x14ac:dyDescent="0.2">
      <c r="A87" s="463" t="s">
        <v>79</v>
      </c>
      <c r="B87" s="470">
        <v>1819</v>
      </c>
      <c r="C87" s="478">
        <v>0</v>
      </c>
      <c r="D87" s="468"/>
      <c r="E87" s="468"/>
      <c r="F87" s="468"/>
      <c r="G87" s="468"/>
      <c r="H87" s="468"/>
      <c r="I87" s="468"/>
      <c r="J87" s="468"/>
      <c r="K87" s="468"/>
    </row>
    <row r="88" spans="1:11" ht="12.75" customHeight="1" x14ac:dyDescent="0.2">
      <c r="A88" s="463" t="s">
        <v>575</v>
      </c>
      <c r="B88" s="470">
        <v>1821</v>
      </c>
      <c r="C88" s="478">
        <v>0</v>
      </c>
      <c r="D88" s="468"/>
      <c r="E88" s="468"/>
      <c r="F88" s="468"/>
      <c r="G88" s="468"/>
      <c r="H88" s="468"/>
      <c r="I88" s="468"/>
      <c r="J88" s="468"/>
      <c r="K88" s="468"/>
    </row>
    <row r="89" spans="1:11" ht="12.75" customHeight="1" x14ac:dyDescent="0.2">
      <c r="A89" s="463" t="s">
        <v>738</v>
      </c>
      <c r="B89" s="470">
        <v>1822</v>
      </c>
      <c r="C89" s="478">
        <v>0</v>
      </c>
      <c r="D89" s="468"/>
      <c r="E89" s="468"/>
      <c r="F89" s="468"/>
      <c r="G89" s="468"/>
      <c r="H89" s="468"/>
      <c r="I89" s="468"/>
      <c r="J89" s="468"/>
      <c r="K89" s="468"/>
    </row>
    <row r="90" spans="1:11" ht="12.75" customHeight="1" x14ac:dyDescent="0.2">
      <c r="A90" s="463" t="s">
        <v>141</v>
      </c>
      <c r="B90" s="470">
        <v>1823</v>
      </c>
      <c r="C90" s="478">
        <v>0</v>
      </c>
      <c r="D90" s="468"/>
      <c r="E90" s="468"/>
      <c r="F90" s="468"/>
      <c r="G90" s="468"/>
      <c r="H90" s="468"/>
      <c r="I90" s="468"/>
      <c r="J90" s="468"/>
      <c r="K90" s="468"/>
    </row>
    <row r="91" spans="1:11" ht="12.75" customHeight="1" x14ac:dyDescent="0.2">
      <c r="A91" s="463" t="s">
        <v>27</v>
      </c>
      <c r="B91" s="470">
        <v>1829</v>
      </c>
      <c r="C91" s="478">
        <v>0</v>
      </c>
      <c r="D91" s="468"/>
      <c r="E91" s="468"/>
      <c r="F91" s="468"/>
      <c r="G91" s="468"/>
      <c r="H91" s="468"/>
      <c r="I91" s="468"/>
      <c r="J91" s="468"/>
      <c r="K91" s="468"/>
    </row>
    <row r="92" spans="1:11" ht="12.75" customHeight="1" x14ac:dyDescent="0.2">
      <c r="A92" s="463" t="s">
        <v>786</v>
      </c>
      <c r="B92" s="470">
        <v>1890</v>
      </c>
      <c r="C92" s="478">
        <v>0</v>
      </c>
      <c r="D92" s="468"/>
      <c r="E92" s="468"/>
      <c r="F92" s="468"/>
      <c r="G92" s="468"/>
      <c r="H92" s="468"/>
      <c r="I92" s="468"/>
      <c r="J92" s="468"/>
      <c r="K92" s="468"/>
    </row>
    <row r="93" spans="1:11" ht="12.75" customHeight="1" thickBot="1" x14ac:dyDescent="0.25">
      <c r="A93" s="1719" t="s">
        <v>261</v>
      </c>
      <c r="B93" s="1720"/>
      <c r="C93" s="1699">
        <f>SUM(C84:C92)</f>
        <v>50954</v>
      </c>
      <c r="D93" s="468"/>
      <c r="E93" s="468"/>
      <c r="F93" s="468"/>
      <c r="G93" s="468"/>
      <c r="H93" s="468"/>
      <c r="I93" s="468"/>
      <c r="J93" s="468"/>
      <c r="K93" s="468"/>
    </row>
    <row r="94" spans="1:11" ht="15.75" customHeight="1" thickTop="1" x14ac:dyDescent="0.2">
      <c r="A94" s="1603" t="s">
        <v>1199</v>
      </c>
      <c r="B94" s="1605">
        <v>1900</v>
      </c>
      <c r="C94" s="548"/>
      <c r="D94" s="517"/>
      <c r="E94" s="468"/>
      <c r="F94" s="468"/>
      <c r="G94" s="468"/>
      <c r="H94" s="468"/>
      <c r="I94" s="468"/>
      <c r="J94" s="468"/>
      <c r="K94" s="468"/>
    </row>
    <row r="95" spans="1:11" ht="12.75" customHeight="1" x14ac:dyDescent="0.2">
      <c r="A95" s="463" t="s">
        <v>1124</v>
      </c>
      <c r="B95" s="470">
        <v>1910</v>
      </c>
      <c r="C95" s="478">
        <v>0</v>
      </c>
      <c r="D95" s="478">
        <v>61198</v>
      </c>
      <c r="E95" s="517"/>
      <c r="F95" s="517"/>
      <c r="G95" s="517"/>
      <c r="H95" s="517"/>
      <c r="I95" s="517"/>
      <c r="J95" s="517"/>
      <c r="K95" s="517"/>
    </row>
    <row r="96" spans="1:11" ht="12.75" customHeight="1" x14ac:dyDescent="0.2">
      <c r="A96" s="463" t="s">
        <v>409</v>
      </c>
      <c r="B96" s="470">
        <v>1920</v>
      </c>
      <c r="C96" s="478">
        <v>44441</v>
      </c>
      <c r="D96" s="478">
        <v>5000</v>
      </c>
      <c r="E96" s="478">
        <v>0</v>
      </c>
      <c r="F96" s="478">
        <v>0</v>
      </c>
      <c r="G96" s="478">
        <v>0</v>
      </c>
      <c r="H96" s="478">
        <v>0</v>
      </c>
      <c r="I96" s="478">
        <v>0</v>
      </c>
      <c r="J96" s="478">
        <v>0</v>
      </c>
      <c r="K96" s="478">
        <v>0</v>
      </c>
    </row>
    <row r="97" spans="1:12" ht="12.75" customHeight="1" x14ac:dyDescent="0.2">
      <c r="A97" s="1506" t="s">
        <v>262</v>
      </c>
      <c r="B97" s="554">
        <v>1930</v>
      </c>
      <c r="C97" s="478">
        <v>0</v>
      </c>
      <c r="D97" s="478">
        <v>0</v>
      </c>
      <c r="E97" s="478">
        <v>0</v>
      </c>
      <c r="F97" s="478">
        <v>0</v>
      </c>
      <c r="G97" s="478">
        <v>0</v>
      </c>
      <c r="H97" s="478">
        <v>0</v>
      </c>
      <c r="I97" s="478">
        <v>0</v>
      </c>
      <c r="J97" s="478">
        <v>0</v>
      </c>
      <c r="K97" s="478">
        <v>0</v>
      </c>
    </row>
    <row r="98" spans="1:12" ht="12.75" customHeight="1" x14ac:dyDescent="0.2">
      <c r="A98" s="463" t="s">
        <v>198</v>
      </c>
      <c r="B98" s="470">
        <v>1940</v>
      </c>
      <c r="C98" s="478">
        <v>0</v>
      </c>
      <c r="D98" s="478">
        <v>0</v>
      </c>
      <c r="E98" s="508"/>
      <c r="F98" s="478">
        <v>0</v>
      </c>
      <c r="G98" s="508"/>
      <c r="H98" s="508"/>
      <c r="I98" s="506"/>
      <c r="J98" s="508"/>
      <c r="K98" s="508"/>
    </row>
    <row r="99" spans="1:12" ht="12.75" customHeight="1" x14ac:dyDescent="0.2">
      <c r="A99" s="463" t="s">
        <v>875</v>
      </c>
      <c r="B99" s="470">
        <v>1950</v>
      </c>
      <c r="C99" s="478">
        <v>24524</v>
      </c>
      <c r="D99" s="478">
        <v>0</v>
      </c>
      <c r="E99" s="478">
        <v>0</v>
      </c>
      <c r="F99" s="478">
        <v>0</v>
      </c>
      <c r="G99" s="478">
        <v>0</v>
      </c>
      <c r="H99" s="478">
        <v>0</v>
      </c>
      <c r="I99" s="468"/>
      <c r="J99" s="478">
        <v>0</v>
      </c>
      <c r="K99" s="478">
        <v>0</v>
      </c>
    </row>
    <row r="100" spans="1:12" ht="12.75" customHeight="1" x14ac:dyDescent="0.2">
      <c r="A100" s="463" t="s">
        <v>263</v>
      </c>
      <c r="B100" s="470">
        <v>1960</v>
      </c>
      <c r="C100" s="478">
        <v>0</v>
      </c>
      <c r="D100" s="478">
        <v>0</v>
      </c>
      <c r="E100" s="478">
        <v>0</v>
      </c>
      <c r="F100" s="478">
        <v>0</v>
      </c>
      <c r="G100" s="478">
        <v>0</v>
      </c>
      <c r="H100" s="478">
        <v>0</v>
      </c>
      <c r="I100" s="478">
        <v>0</v>
      </c>
      <c r="J100" s="478">
        <v>0</v>
      </c>
      <c r="K100" s="478">
        <v>0</v>
      </c>
    </row>
    <row r="101" spans="1:12" ht="12.75" customHeight="1" x14ac:dyDescent="0.2">
      <c r="A101" s="463" t="s">
        <v>264</v>
      </c>
      <c r="B101" s="470">
        <v>1970</v>
      </c>
      <c r="C101" s="478">
        <v>0</v>
      </c>
      <c r="D101" s="522"/>
      <c r="E101" s="477"/>
      <c r="F101" s="522"/>
      <c r="G101" s="473"/>
      <c r="H101" s="522"/>
      <c r="I101" s="468"/>
      <c r="J101" s="473"/>
      <c r="K101" s="473"/>
    </row>
    <row r="102" spans="1:12" ht="12.75" customHeight="1" x14ac:dyDescent="0.2">
      <c r="A102" s="463" t="s">
        <v>265</v>
      </c>
      <c r="B102" s="470">
        <v>1980</v>
      </c>
      <c r="C102" s="478">
        <v>0</v>
      </c>
      <c r="D102" s="478">
        <v>0</v>
      </c>
      <c r="E102" s="478">
        <v>0</v>
      </c>
      <c r="F102" s="478">
        <v>0</v>
      </c>
      <c r="G102" s="478">
        <v>0</v>
      </c>
      <c r="H102" s="478">
        <v>0</v>
      </c>
      <c r="I102" s="478">
        <v>0</v>
      </c>
      <c r="J102" s="478">
        <v>0</v>
      </c>
      <c r="K102" s="478">
        <v>0</v>
      </c>
    </row>
    <row r="103" spans="1:12" ht="12.75" customHeight="1" x14ac:dyDescent="0.2">
      <c r="A103" s="463" t="s">
        <v>363</v>
      </c>
      <c r="B103" s="470">
        <v>1983</v>
      </c>
      <c r="C103" s="468"/>
      <c r="D103" s="468"/>
      <c r="E103" s="478">
        <v>0</v>
      </c>
      <c r="F103" s="468"/>
      <c r="G103" s="468"/>
      <c r="H103" s="478">
        <v>0</v>
      </c>
      <c r="I103" s="468"/>
      <c r="J103" s="506"/>
      <c r="K103" s="506"/>
    </row>
    <row r="104" spans="1:12" ht="12.75" customHeight="1" x14ac:dyDescent="0.2">
      <c r="A104" s="463" t="s">
        <v>885</v>
      </c>
      <c r="B104" s="470">
        <v>1991</v>
      </c>
      <c r="C104" s="478">
        <v>0</v>
      </c>
      <c r="D104" s="478">
        <v>0</v>
      </c>
      <c r="E104" s="478">
        <v>0</v>
      </c>
      <c r="F104" s="478">
        <v>0</v>
      </c>
      <c r="G104" s="478">
        <v>0</v>
      </c>
      <c r="H104" s="478">
        <v>0</v>
      </c>
      <c r="I104" s="468"/>
      <c r="J104" s="468"/>
      <c r="K104" s="468"/>
    </row>
    <row r="105" spans="1:12" ht="12.75" customHeight="1" x14ac:dyDescent="0.2">
      <c r="A105" s="463" t="s">
        <v>876</v>
      </c>
      <c r="B105" s="470">
        <v>1992</v>
      </c>
      <c r="C105" s="478">
        <v>0</v>
      </c>
      <c r="D105" s="555"/>
      <c r="E105" s="468"/>
      <c r="F105" s="468"/>
      <c r="G105" s="468"/>
      <c r="H105" s="506"/>
      <c r="I105" s="468"/>
      <c r="J105" s="468"/>
      <c r="K105" s="468"/>
    </row>
    <row r="106" spans="1:12" ht="12.75" customHeight="1" x14ac:dyDescent="0.2">
      <c r="A106" s="463" t="s">
        <v>1505</v>
      </c>
      <c r="B106" s="470">
        <v>1993</v>
      </c>
      <c r="C106" s="478">
        <v>38837</v>
      </c>
      <c r="D106" s="478">
        <v>0</v>
      </c>
      <c r="E106" s="478">
        <v>0</v>
      </c>
      <c r="F106" s="478">
        <v>0</v>
      </c>
      <c r="G106" s="478">
        <v>0</v>
      </c>
      <c r="H106" s="478">
        <v>0</v>
      </c>
      <c r="I106" s="517"/>
      <c r="J106" s="478">
        <v>0</v>
      </c>
      <c r="K106" s="478">
        <v>0</v>
      </c>
    </row>
    <row r="107" spans="1:12" ht="12.75" customHeight="1" x14ac:dyDescent="0.2">
      <c r="A107" s="463" t="s">
        <v>80</v>
      </c>
      <c r="B107" s="470">
        <v>1999</v>
      </c>
      <c r="C107" s="478">
        <v>74771</v>
      </c>
      <c r="D107" s="478">
        <v>0</v>
      </c>
      <c r="E107" s="478">
        <v>3742</v>
      </c>
      <c r="F107" s="478">
        <v>0</v>
      </c>
      <c r="G107" s="478">
        <v>0</v>
      </c>
      <c r="H107" s="478">
        <v>0</v>
      </c>
      <c r="I107" s="478">
        <v>0</v>
      </c>
      <c r="J107" s="478">
        <v>0</v>
      </c>
      <c r="K107" s="478">
        <v>0</v>
      </c>
    </row>
    <row r="108" spans="1:12" ht="12.75" customHeight="1" thickBot="1" x14ac:dyDescent="0.25">
      <c r="A108" s="1719" t="s">
        <v>508</v>
      </c>
      <c r="B108" s="1723"/>
      <c r="C108" s="1718">
        <f>SUM(C95:C107)</f>
        <v>182573</v>
      </c>
      <c r="D108" s="1718">
        <f t="shared" ref="D108:K108" si="3">SUM(D95:D107)</f>
        <v>66198</v>
      </c>
      <c r="E108" s="1718">
        <f t="shared" si="3"/>
        <v>3742</v>
      </c>
      <c r="F108" s="1718">
        <f t="shared" si="3"/>
        <v>0</v>
      </c>
      <c r="G108" s="1718">
        <f t="shared" si="3"/>
        <v>0</v>
      </c>
      <c r="H108" s="1718">
        <f t="shared" si="3"/>
        <v>0</v>
      </c>
      <c r="I108" s="1718">
        <f t="shared" si="3"/>
        <v>0</v>
      </c>
      <c r="J108" s="1718">
        <f t="shared" si="3"/>
        <v>0</v>
      </c>
      <c r="K108" s="1699">
        <f t="shared" si="3"/>
        <v>0</v>
      </c>
    </row>
    <row r="109" spans="1:12" ht="14.25" thickTop="1" thickBot="1" x14ac:dyDescent="0.25">
      <c r="A109" s="1724" t="s">
        <v>266</v>
      </c>
      <c r="B109" s="1725" t="s">
        <v>591</v>
      </c>
      <c r="C109" s="1726">
        <f t="shared" ref="C109:K109" si="4">SUM(C12,C18,C40,C63,C67,C75,C82,C93,C108,)</f>
        <v>8907303</v>
      </c>
      <c r="D109" s="1726">
        <f t="shared" si="4"/>
        <v>739703</v>
      </c>
      <c r="E109" s="1726">
        <f t="shared" si="4"/>
        <v>1241842</v>
      </c>
      <c r="F109" s="1726">
        <f t="shared" si="4"/>
        <v>393146</v>
      </c>
      <c r="G109" s="1726">
        <f t="shared" si="4"/>
        <v>439448</v>
      </c>
      <c r="H109" s="1726">
        <f t="shared" si="4"/>
        <v>0</v>
      </c>
      <c r="I109" s="1726">
        <f t="shared" si="4"/>
        <v>19669</v>
      </c>
      <c r="J109" s="1726">
        <f t="shared" si="4"/>
        <v>80979</v>
      </c>
      <c r="K109" s="1713">
        <f t="shared" si="4"/>
        <v>2415</v>
      </c>
    </row>
    <row r="110" spans="1:12" ht="30" customHeight="1" thickTop="1" x14ac:dyDescent="0.2">
      <c r="A110" s="1596" t="s">
        <v>364</v>
      </c>
      <c r="B110" s="1597"/>
      <c r="C110" s="1582"/>
      <c r="D110" s="1582"/>
      <c r="E110" s="1582"/>
      <c r="F110" s="1582"/>
      <c r="G110" s="1582"/>
      <c r="H110" s="1582"/>
      <c r="I110" s="1582"/>
      <c r="J110" s="1582"/>
      <c r="K110" s="1583"/>
    </row>
    <row r="111" spans="1:12" ht="12.75" customHeight="1" x14ac:dyDescent="0.2">
      <c r="A111" s="489" t="s">
        <v>877</v>
      </c>
      <c r="B111" s="487">
        <v>2100</v>
      </c>
      <c r="C111" s="478">
        <v>0</v>
      </c>
      <c r="D111" s="478">
        <v>0</v>
      </c>
      <c r="E111" s="555"/>
      <c r="F111" s="478">
        <v>0</v>
      </c>
      <c r="G111" s="478">
        <v>0</v>
      </c>
      <c r="H111" s="555"/>
      <c r="I111" s="468"/>
      <c r="J111" s="468"/>
      <c r="K111" s="468"/>
    </row>
    <row r="112" spans="1:12" ht="12.75" customHeight="1" x14ac:dyDescent="0.2">
      <c r="A112" s="463" t="s">
        <v>878</v>
      </c>
      <c r="B112" s="470">
        <v>2200</v>
      </c>
      <c r="C112" s="478">
        <v>0</v>
      </c>
      <c r="D112" s="478">
        <v>0</v>
      </c>
      <c r="E112" s="555"/>
      <c r="F112" s="478">
        <v>0</v>
      </c>
      <c r="G112" s="478">
        <v>0</v>
      </c>
      <c r="H112" s="555"/>
      <c r="I112" s="468"/>
      <c r="J112" s="468"/>
      <c r="K112" s="468"/>
      <c r="L112" s="547"/>
    </row>
    <row r="113" spans="1:11" ht="12.75" customHeight="1" x14ac:dyDescent="0.2">
      <c r="A113" s="463" t="s">
        <v>28</v>
      </c>
      <c r="B113" s="470">
        <v>2300</v>
      </c>
      <c r="C113" s="478">
        <v>0</v>
      </c>
      <c r="D113" s="478">
        <v>0</v>
      </c>
      <c r="E113" s="555"/>
      <c r="F113" s="478">
        <v>0</v>
      </c>
      <c r="G113" s="478">
        <v>0</v>
      </c>
      <c r="H113" s="555"/>
      <c r="I113" s="468"/>
      <c r="J113" s="468"/>
      <c r="K113" s="468"/>
    </row>
    <row r="114" spans="1:11" ht="13.5" thickBot="1" x14ac:dyDescent="0.25">
      <c r="A114" s="1727" t="s">
        <v>839</v>
      </c>
      <c r="B114" s="1728" t="s">
        <v>590</v>
      </c>
      <c r="C114" s="1729">
        <f>SUM(C111:C113)</f>
        <v>0</v>
      </c>
      <c r="D114" s="1729">
        <f>SUM(D111:D113)</f>
        <v>0</v>
      </c>
      <c r="E114" s="555" t="s">
        <v>1231</v>
      </c>
      <c r="F114" s="1729">
        <f>SUM(F111:F113)</f>
        <v>0</v>
      </c>
      <c r="G114" s="1729">
        <f>SUM(G111:G113)</f>
        <v>0</v>
      </c>
      <c r="H114" s="555"/>
      <c r="I114" s="468"/>
      <c r="J114" s="468"/>
      <c r="K114" s="468"/>
    </row>
    <row r="115" spans="1:11" ht="16.7" customHeight="1" thickTop="1" x14ac:dyDescent="0.2">
      <c r="A115" s="1598" t="s">
        <v>836</v>
      </c>
      <c r="B115" s="1599"/>
      <c r="C115" s="1581"/>
      <c r="D115" s="1582"/>
      <c r="E115" s="1582"/>
      <c r="F115" s="1582"/>
      <c r="G115" s="1582"/>
      <c r="H115" s="1582"/>
      <c r="I115" s="1582"/>
      <c r="J115" s="1582"/>
      <c r="K115" s="1583"/>
    </row>
    <row r="116" spans="1:11" ht="18" customHeight="1" x14ac:dyDescent="0.2">
      <c r="A116" s="1606" t="s">
        <v>1571</v>
      </c>
      <c r="B116" s="1607"/>
      <c r="C116" s="518"/>
      <c r="D116" s="517"/>
      <c r="E116" s="555"/>
      <c r="F116" s="517"/>
      <c r="G116" s="517"/>
      <c r="H116" s="555"/>
      <c r="I116" s="468"/>
      <c r="J116" s="517"/>
      <c r="K116" s="517"/>
    </row>
    <row r="117" spans="1:11" ht="12.75" customHeight="1" x14ac:dyDescent="0.2">
      <c r="A117" s="463" t="s">
        <v>1766</v>
      </c>
      <c r="B117" s="556">
        <v>3001</v>
      </c>
      <c r="C117" s="478">
        <v>567672</v>
      </c>
      <c r="D117" s="478">
        <v>0</v>
      </c>
      <c r="E117" s="478">
        <v>0</v>
      </c>
      <c r="F117" s="478">
        <v>0</v>
      </c>
      <c r="G117" s="478">
        <v>0</v>
      </c>
      <c r="H117" s="478">
        <v>0</v>
      </c>
      <c r="I117" s="468"/>
      <c r="J117" s="478">
        <v>0</v>
      </c>
      <c r="K117" s="478">
        <v>0</v>
      </c>
    </row>
    <row r="118" spans="1:11" ht="12.75" customHeight="1" x14ac:dyDescent="0.2">
      <c r="A118" s="463" t="s">
        <v>1902</v>
      </c>
      <c r="B118" s="556">
        <v>3002</v>
      </c>
      <c r="C118" s="478">
        <v>0</v>
      </c>
      <c r="D118" s="478">
        <v>0</v>
      </c>
      <c r="E118" s="478">
        <v>0</v>
      </c>
      <c r="F118" s="478">
        <v>0</v>
      </c>
      <c r="G118" s="478">
        <v>0</v>
      </c>
      <c r="H118" s="478">
        <v>0</v>
      </c>
      <c r="I118" s="468"/>
      <c r="J118" s="478">
        <v>0</v>
      </c>
      <c r="K118" s="478">
        <v>0</v>
      </c>
    </row>
    <row r="119" spans="1:11" ht="12.75" customHeight="1" x14ac:dyDescent="0.2">
      <c r="A119" s="463" t="s">
        <v>1903</v>
      </c>
      <c r="B119" s="556">
        <v>3005</v>
      </c>
      <c r="C119" s="478">
        <v>0</v>
      </c>
      <c r="D119" s="478">
        <v>0</v>
      </c>
      <c r="E119" s="478">
        <v>0</v>
      </c>
      <c r="F119" s="478">
        <v>0</v>
      </c>
      <c r="G119" s="478">
        <v>0</v>
      </c>
      <c r="H119" s="478">
        <v>0</v>
      </c>
      <c r="I119" s="468"/>
      <c r="J119" s="478">
        <v>0</v>
      </c>
      <c r="K119" s="478">
        <v>0</v>
      </c>
    </row>
    <row r="120" spans="1:11" x14ac:dyDescent="0.2">
      <c r="A120" s="1507" t="s">
        <v>1904</v>
      </c>
      <c r="B120" s="558">
        <v>3099</v>
      </c>
      <c r="C120" s="478">
        <v>0</v>
      </c>
      <c r="D120" s="478">
        <v>0</v>
      </c>
      <c r="E120" s="478">
        <v>0</v>
      </c>
      <c r="F120" s="478">
        <v>0</v>
      </c>
      <c r="G120" s="478">
        <v>0</v>
      </c>
      <c r="H120" s="478">
        <v>0</v>
      </c>
      <c r="I120" s="468"/>
      <c r="J120" s="478">
        <v>0</v>
      </c>
      <c r="K120" s="478">
        <v>0</v>
      </c>
    </row>
    <row r="121" spans="1:11" ht="12.6" customHeight="1" thickBot="1" x14ac:dyDescent="0.25">
      <c r="A121" s="1719" t="s">
        <v>509</v>
      </c>
      <c r="B121" s="1730"/>
      <c r="C121" s="1718">
        <f t="shared" ref="C121:H121" si="5">SUM(C117:C120)</f>
        <v>567672</v>
      </c>
      <c r="D121" s="1718">
        <f t="shared" si="5"/>
        <v>0</v>
      </c>
      <c r="E121" s="1718">
        <f t="shared" si="5"/>
        <v>0</v>
      </c>
      <c r="F121" s="1718">
        <f t="shared" si="5"/>
        <v>0</v>
      </c>
      <c r="G121" s="1718">
        <f t="shared" si="5"/>
        <v>0</v>
      </c>
      <c r="H121" s="1718">
        <f t="shared" si="5"/>
        <v>0</v>
      </c>
      <c r="I121" s="468"/>
      <c r="J121" s="1718">
        <f>SUM(J117:J120)</f>
        <v>0</v>
      </c>
      <c r="K121" s="1699">
        <f>SUM(K117:K120)</f>
        <v>0</v>
      </c>
    </row>
    <row r="122" spans="1:11" ht="15.75" customHeight="1" thickTop="1" x14ac:dyDescent="0.2">
      <c r="A122" s="1603" t="s">
        <v>1570</v>
      </c>
      <c r="B122" s="1608"/>
      <c r="C122" s="559"/>
      <c r="D122" s="505"/>
      <c r="E122" s="468"/>
      <c r="F122" s="560"/>
      <c r="G122" s="468"/>
      <c r="H122" s="468"/>
      <c r="I122" s="468"/>
      <c r="J122" s="468"/>
      <c r="K122" s="468"/>
    </row>
    <row r="123" spans="1:11" ht="15" customHeight="1" x14ac:dyDescent="0.2">
      <c r="A123" s="1609" t="s">
        <v>688</v>
      </c>
      <c r="B123" s="1610"/>
      <c r="C123" s="517"/>
      <c r="D123" s="505"/>
      <c r="E123" s="468"/>
      <c r="F123" s="517"/>
      <c r="G123" s="468"/>
      <c r="H123" s="468"/>
      <c r="I123" s="468"/>
      <c r="J123" s="468"/>
      <c r="K123" s="468"/>
    </row>
    <row r="124" spans="1:11" ht="12.75" customHeight="1" x14ac:dyDescent="0.2">
      <c r="A124" s="463" t="s">
        <v>921</v>
      </c>
      <c r="B124" s="561">
        <v>3100</v>
      </c>
      <c r="C124" s="478">
        <v>46075</v>
      </c>
      <c r="D124" s="555"/>
      <c r="E124" s="468"/>
      <c r="F124" s="478">
        <v>0</v>
      </c>
      <c r="G124" s="468"/>
      <c r="H124" s="468"/>
      <c r="I124" s="468"/>
      <c r="J124" s="468"/>
      <c r="K124" s="468"/>
    </row>
    <row r="125" spans="1:11" ht="12.75" customHeight="1" x14ac:dyDescent="0.2">
      <c r="A125" s="463" t="s">
        <v>1521</v>
      </c>
      <c r="B125" s="556">
        <v>3105</v>
      </c>
      <c r="C125" s="478">
        <v>40407</v>
      </c>
      <c r="D125" s="555"/>
      <c r="E125" s="468"/>
      <c r="F125" s="478">
        <v>0</v>
      </c>
      <c r="G125" s="468"/>
      <c r="H125" s="468"/>
      <c r="I125" s="468"/>
      <c r="J125" s="468"/>
      <c r="K125" s="468"/>
    </row>
    <row r="126" spans="1:11" ht="12.75" customHeight="1" x14ac:dyDescent="0.2">
      <c r="A126" s="463" t="s">
        <v>922</v>
      </c>
      <c r="B126" s="556">
        <v>3110</v>
      </c>
      <c r="C126" s="478">
        <v>85678</v>
      </c>
      <c r="D126" s="478">
        <v>0</v>
      </c>
      <c r="E126" s="468"/>
      <c r="F126" s="478">
        <v>0</v>
      </c>
      <c r="G126" s="468"/>
      <c r="H126" s="468"/>
      <c r="I126" s="468"/>
      <c r="J126" s="468"/>
      <c r="K126" s="468"/>
    </row>
    <row r="127" spans="1:11" ht="12.75" customHeight="1" x14ac:dyDescent="0.2">
      <c r="A127" s="463" t="s">
        <v>107</v>
      </c>
      <c r="B127" s="556">
        <v>3120</v>
      </c>
      <c r="C127" s="478">
        <v>0</v>
      </c>
      <c r="D127" s="555"/>
      <c r="E127" s="468"/>
      <c r="F127" s="478">
        <v>0</v>
      </c>
      <c r="G127" s="468"/>
      <c r="H127" s="468"/>
      <c r="I127" s="468"/>
      <c r="J127" s="468"/>
      <c r="K127" s="468"/>
    </row>
    <row r="128" spans="1:11" ht="12.75" customHeight="1" x14ac:dyDescent="0.2">
      <c r="A128" s="463" t="s">
        <v>1522</v>
      </c>
      <c r="B128" s="556">
        <v>3130</v>
      </c>
      <c r="C128" s="478">
        <v>0</v>
      </c>
      <c r="D128" s="555"/>
      <c r="E128" s="468"/>
      <c r="F128" s="478">
        <v>0</v>
      </c>
      <c r="G128" s="468"/>
      <c r="H128" s="468"/>
      <c r="I128" s="468"/>
      <c r="J128" s="468"/>
      <c r="K128" s="468"/>
    </row>
    <row r="129" spans="1:11" ht="12.75" customHeight="1" x14ac:dyDescent="0.2">
      <c r="A129" s="463" t="s">
        <v>139</v>
      </c>
      <c r="B129" s="556">
        <v>3145</v>
      </c>
      <c r="C129" s="478">
        <v>366</v>
      </c>
      <c r="D129" s="555"/>
      <c r="E129" s="468"/>
      <c r="F129" s="478">
        <v>0</v>
      </c>
      <c r="G129" s="468"/>
      <c r="H129" s="468"/>
      <c r="I129" s="468"/>
      <c r="J129" s="468"/>
      <c r="K129" s="468"/>
    </row>
    <row r="130" spans="1:11" ht="12.75" customHeight="1" x14ac:dyDescent="0.2">
      <c r="A130" s="463" t="s">
        <v>68</v>
      </c>
      <c r="B130" s="556">
        <v>3199</v>
      </c>
      <c r="C130" s="478">
        <v>0</v>
      </c>
      <c r="D130" s="478">
        <v>0</v>
      </c>
      <c r="E130" s="468"/>
      <c r="F130" s="478">
        <v>0</v>
      </c>
      <c r="G130" s="468"/>
      <c r="H130" s="468"/>
      <c r="I130" s="468"/>
      <c r="J130" s="468"/>
      <c r="K130" s="468"/>
    </row>
    <row r="131" spans="1:11" ht="12.75" customHeight="1" thickBot="1" x14ac:dyDescent="0.25">
      <c r="A131" s="1719" t="s">
        <v>1092</v>
      </c>
      <c r="B131" s="1731"/>
      <c r="C131" s="1718">
        <f>SUM(C124:C130)</f>
        <v>172526</v>
      </c>
      <c r="D131" s="1718">
        <f>SUM(D124:D130)</f>
        <v>0</v>
      </c>
      <c r="E131" s="469" t="s">
        <v>1231</v>
      </c>
      <c r="F131" s="1718">
        <f>SUM(F124:F130)</f>
        <v>0</v>
      </c>
      <c r="G131" s="468" t="s">
        <v>1231</v>
      </c>
      <c r="H131" s="468" t="s">
        <v>1231</v>
      </c>
      <c r="I131" s="468" t="s">
        <v>1231</v>
      </c>
      <c r="J131" s="468" t="s">
        <v>1231</v>
      </c>
      <c r="K131" s="468" t="s">
        <v>1231</v>
      </c>
    </row>
    <row r="132" spans="1:11" ht="15.75" customHeight="1" thickTop="1" x14ac:dyDescent="0.2">
      <c r="A132" s="1611" t="s">
        <v>268</v>
      </c>
      <c r="B132" s="1612"/>
      <c r="C132" s="548"/>
      <c r="D132" s="548"/>
      <c r="E132" s="505"/>
      <c r="F132" s="548"/>
      <c r="G132" s="468"/>
      <c r="H132" s="468"/>
      <c r="I132" s="468"/>
      <c r="J132" s="468"/>
      <c r="K132" s="468"/>
    </row>
    <row r="133" spans="1:11" x14ac:dyDescent="0.2">
      <c r="A133" s="463" t="s">
        <v>620</v>
      </c>
      <c r="B133" s="556">
        <v>3200</v>
      </c>
      <c r="C133" s="478">
        <v>0</v>
      </c>
      <c r="D133" s="478">
        <v>0</v>
      </c>
      <c r="E133" s="555"/>
      <c r="F133" s="468"/>
      <c r="G133" s="478">
        <v>0</v>
      </c>
      <c r="H133" s="468"/>
      <c r="I133" s="468"/>
      <c r="J133" s="468"/>
      <c r="K133" s="468"/>
    </row>
    <row r="134" spans="1:11" ht="12.75" customHeight="1" x14ac:dyDescent="0.2">
      <c r="A134" s="463" t="s">
        <v>690</v>
      </c>
      <c r="B134" s="556">
        <v>3220</v>
      </c>
      <c r="C134" s="478">
        <v>0</v>
      </c>
      <c r="D134" s="478">
        <v>0</v>
      </c>
      <c r="E134" s="555"/>
      <c r="F134" s="468"/>
      <c r="G134" s="478">
        <v>0</v>
      </c>
      <c r="H134" s="468"/>
      <c r="I134" s="468"/>
      <c r="J134" s="468"/>
      <c r="K134" s="468"/>
    </row>
    <row r="135" spans="1:11" ht="12.75" customHeight="1" x14ac:dyDescent="0.2">
      <c r="A135" s="463" t="s">
        <v>267</v>
      </c>
      <c r="B135" s="556">
        <v>3225</v>
      </c>
      <c r="C135" s="478">
        <v>0</v>
      </c>
      <c r="D135" s="478">
        <v>0</v>
      </c>
      <c r="E135" s="555"/>
      <c r="F135" s="468"/>
      <c r="G135" s="478">
        <v>0</v>
      </c>
      <c r="H135" s="468"/>
      <c r="I135" s="468"/>
      <c r="J135" s="468"/>
      <c r="K135" s="468"/>
    </row>
    <row r="136" spans="1:11" ht="12.75" customHeight="1" x14ac:dyDescent="0.2">
      <c r="A136" s="463" t="s">
        <v>621</v>
      </c>
      <c r="B136" s="556">
        <v>3235</v>
      </c>
      <c r="C136" s="478">
        <v>0</v>
      </c>
      <c r="D136" s="478">
        <v>0</v>
      </c>
      <c r="E136" s="555"/>
      <c r="F136" s="468"/>
      <c r="G136" s="478">
        <v>0</v>
      </c>
      <c r="H136" s="468"/>
      <c r="I136" s="468"/>
      <c r="J136" s="468"/>
      <c r="K136" s="468"/>
    </row>
    <row r="137" spans="1:11" ht="12.75" customHeight="1" x14ac:dyDescent="0.2">
      <c r="A137" s="463" t="s">
        <v>622</v>
      </c>
      <c r="B137" s="556">
        <v>3240</v>
      </c>
      <c r="C137" s="478">
        <v>0</v>
      </c>
      <c r="D137" s="478">
        <v>0</v>
      </c>
      <c r="E137" s="555"/>
      <c r="F137" s="468"/>
      <c r="G137" s="478">
        <v>0</v>
      </c>
      <c r="H137" s="468"/>
      <c r="I137" s="468"/>
      <c r="J137" s="468"/>
      <c r="K137" s="468"/>
    </row>
    <row r="138" spans="1:11" ht="12.75" customHeight="1" x14ac:dyDescent="0.2">
      <c r="A138" s="463" t="s">
        <v>623</v>
      </c>
      <c r="B138" s="556">
        <v>3270</v>
      </c>
      <c r="C138" s="478">
        <v>0</v>
      </c>
      <c r="D138" s="478">
        <v>0</v>
      </c>
      <c r="E138" s="555"/>
      <c r="F138" s="468"/>
      <c r="G138" s="478">
        <v>0</v>
      </c>
      <c r="H138" s="468"/>
      <c r="I138" s="468"/>
      <c r="J138" s="468"/>
      <c r="K138" s="468"/>
    </row>
    <row r="139" spans="1:11" ht="12.75" customHeight="1" x14ac:dyDescent="0.2">
      <c r="A139" s="463" t="s">
        <v>69</v>
      </c>
      <c r="B139" s="556">
        <v>3299</v>
      </c>
      <c r="C139" s="478">
        <v>0</v>
      </c>
      <c r="D139" s="478">
        <v>0</v>
      </c>
      <c r="E139" s="555"/>
      <c r="F139" s="474"/>
      <c r="G139" s="478">
        <v>0</v>
      </c>
      <c r="H139" s="468"/>
      <c r="I139" s="468"/>
      <c r="J139" s="468"/>
      <c r="K139" s="468"/>
    </row>
    <row r="140" spans="1:11" ht="12.75" customHeight="1" thickBot="1" x14ac:dyDescent="0.25">
      <c r="A140" s="1719" t="s">
        <v>624</v>
      </c>
      <c r="B140" s="1731"/>
      <c r="C140" s="1718">
        <f>SUM(C133:C139)</f>
        <v>0</v>
      </c>
      <c r="D140" s="1718">
        <f>SUM(D133:D139)</f>
        <v>0</v>
      </c>
      <c r="E140" s="555" t="s">
        <v>1231</v>
      </c>
      <c r="F140" s="474"/>
      <c r="G140" s="1718">
        <f>SUM(G133:G139)</f>
        <v>0</v>
      </c>
      <c r="H140" s="468" t="s">
        <v>1231</v>
      </c>
      <c r="I140" s="468" t="s">
        <v>1231</v>
      </c>
      <c r="J140" s="468" t="s">
        <v>1231</v>
      </c>
      <c r="K140" s="468" t="s">
        <v>1231</v>
      </c>
    </row>
    <row r="141" spans="1:11" ht="15.75" customHeight="1" thickTop="1" x14ac:dyDescent="0.2">
      <c r="A141" s="1611" t="s">
        <v>691</v>
      </c>
      <c r="B141" s="1612"/>
      <c r="C141" s="548"/>
      <c r="D141" s="560"/>
      <c r="E141" s="555"/>
      <c r="F141" s="548"/>
      <c r="G141" s="548"/>
      <c r="H141" s="468"/>
      <c r="I141" s="468"/>
      <c r="J141" s="468"/>
      <c r="K141" s="468"/>
    </row>
    <row r="142" spans="1:11" ht="12.75" customHeight="1" x14ac:dyDescent="0.2">
      <c r="A142" s="463" t="s">
        <v>625</v>
      </c>
      <c r="B142" s="556">
        <v>3305</v>
      </c>
      <c r="C142" s="478">
        <v>10197</v>
      </c>
      <c r="D142" s="468"/>
      <c r="E142" s="555"/>
      <c r="F142" s="468"/>
      <c r="G142" s="478">
        <v>0</v>
      </c>
      <c r="H142" s="468"/>
      <c r="I142" s="468"/>
      <c r="J142" s="468"/>
      <c r="K142" s="468"/>
    </row>
    <row r="143" spans="1:11" ht="12.75" customHeight="1" x14ac:dyDescent="0.2">
      <c r="A143" s="463" t="s">
        <v>365</v>
      </c>
      <c r="B143" s="556">
        <v>3310</v>
      </c>
      <c r="C143" s="478">
        <v>0</v>
      </c>
      <c r="D143" s="468"/>
      <c r="E143" s="555"/>
      <c r="F143" s="468"/>
      <c r="G143" s="478">
        <v>0</v>
      </c>
      <c r="H143" s="468"/>
      <c r="I143" s="468"/>
      <c r="J143" s="468"/>
      <c r="K143" s="468"/>
    </row>
    <row r="144" spans="1:11" s="202" customFormat="1" ht="13.5" thickBot="1" x14ac:dyDescent="0.25">
      <c r="A144" s="1719" t="s">
        <v>414</v>
      </c>
      <c r="B144" s="1731"/>
      <c r="C144" s="1699">
        <f>SUM(C142:C143)</f>
        <v>10197</v>
      </c>
      <c r="D144" s="468"/>
      <c r="E144" s="505"/>
      <c r="F144" s="468"/>
      <c r="G144" s="1732">
        <f>SUM(G142:G143)</f>
        <v>0</v>
      </c>
      <c r="H144" s="468"/>
      <c r="I144" s="468"/>
      <c r="J144" s="468"/>
      <c r="K144" s="468"/>
    </row>
    <row r="145" spans="1:11" s="202" customFormat="1" ht="12.75" customHeight="1" thickTop="1" x14ac:dyDescent="0.2">
      <c r="A145" s="1509" t="s">
        <v>1116</v>
      </c>
      <c r="B145" s="562">
        <v>3360</v>
      </c>
      <c r="C145" s="563">
        <v>0</v>
      </c>
      <c r="D145" s="564"/>
      <c r="E145" s="505"/>
      <c r="F145" s="468"/>
      <c r="G145" s="565"/>
      <c r="H145" s="468"/>
      <c r="I145" s="468"/>
      <c r="J145" s="468"/>
      <c r="K145" s="468"/>
    </row>
    <row r="146" spans="1:11" ht="12.75" customHeight="1" thickBot="1" x14ac:dyDescent="0.25">
      <c r="A146" s="1510" t="s">
        <v>979</v>
      </c>
      <c r="B146" s="566">
        <v>3365</v>
      </c>
      <c r="C146" s="567">
        <v>0</v>
      </c>
      <c r="D146" s="567">
        <v>0</v>
      </c>
      <c r="E146" s="555"/>
      <c r="F146" s="468"/>
      <c r="G146" s="567">
        <v>0</v>
      </c>
      <c r="H146" s="468"/>
      <c r="I146" s="468"/>
      <c r="J146" s="468"/>
      <c r="K146" s="468"/>
    </row>
    <row r="147" spans="1:11" ht="12.75" customHeight="1" thickTop="1" thickBot="1" x14ac:dyDescent="0.25">
      <c r="A147" s="1511" t="s">
        <v>140</v>
      </c>
      <c r="B147" s="568">
        <v>3370</v>
      </c>
      <c r="C147" s="567">
        <v>0</v>
      </c>
      <c r="D147" s="567">
        <v>0</v>
      </c>
      <c r="E147" s="505"/>
      <c r="F147" s="468"/>
      <c r="G147" s="468"/>
      <c r="H147" s="468"/>
      <c r="I147" s="468"/>
      <c r="J147" s="468"/>
      <c r="K147" s="468"/>
    </row>
    <row r="148" spans="1:11" ht="12.75" customHeight="1" thickTop="1" thickBot="1" x14ac:dyDescent="0.25">
      <c r="A148" s="1511" t="s">
        <v>791</v>
      </c>
      <c r="B148" s="568">
        <v>3410</v>
      </c>
      <c r="C148" s="569">
        <v>0</v>
      </c>
      <c r="D148" s="569">
        <v>0</v>
      </c>
      <c r="E148" s="571">
        <v>0</v>
      </c>
      <c r="F148" s="571">
        <v>0</v>
      </c>
      <c r="G148" s="571">
        <v>0</v>
      </c>
      <c r="H148" s="571">
        <v>0</v>
      </c>
      <c r="I148" s="571">
        <v>0</v>
      </c>
      <c r="J148" s="571">
        <v>0</v>
      </c>
      <c r="K148" s="571">
        <v>0</v>
      </c>
    </row>
    <row r="149" spans="1:11" ht="12.75" customHeight="1" thickTop="1" thickBot="1" x14ac:dyDescent="0.25">
      <c r="A149" s="1511" t="s">
        <v>70</v>
      </c>
      <c r="B149" s="568">
        <v>3499</v>
      </c>
      <c r="C149" s="569">
        <v>0</v>
      </c>
      <c r="D149" s="569">
        <v>0</v>
      </c>
      <c r="E149" s="569">
        <v>0</v>
      </c>
      <c r="F149" s="569">
        <v>0</v>
      </c>
      <c r="G149" s="569">
        <v>0</v>
      </c>
      <c r="H149" s="569">
        <v>0</v>
      </c>
      <c r="I149" s="569">
        <v>0</v>
      </c>
      <c r="J149" s="569">
        <v>0</v>
      </c>
      <c r="K149" s="569">
        <v>0</v>
      </c>
    </row>
    <row r="150" spans="1:11" ht="15.75" customHeight="1" thickTop="1" x14ac:dyDescent="0.2">
      <c r="A150" s="1611" t="s">
        <v>473</v>
      </c>
      <c r="B150" s="1613"/>
      <c r="C150" s="548"/>
      <c r="D150" s="468"/>
      <c r="E150" s="555"/>
      <c r="F150" s="468"/>
      <c r="G150" s="468"/>
      <c r="H150" s="468"/>
      <c r="I150" s="468"/>
      <c r="J150" s="468"/>
      <c r="K150" s="468"/>
    </row>
    <row r="151" spans="1:11" ht="12.75" customHeight="1" x14ac:dyDescent="0.2">
      <c r="A151" s="463" t="s">
        <v>1523</v>
      </c>
      <c r="B151" s="556">
        <v>3500</v>
      </c>
      <c r="C151" s="546">
        <v>0</v>
      </c>
      <c r="D151" s="546">
        <v>0</v>
      </c>
      <c r="E151" s="555"/>
      <c r="F151" s="546">
        <v>89663</v>
      </c>
      <c r="G151" s="546">
        <v>0</v>
      </c>
      <c r="H151" s="468"/>
      <c r="I151" s="468"/>
      <c r="J151" s="468"/>
      <c r="K151" s="468"/>
    </row>
    <row r="152" spans="1:11" ht="12.75" customHeight="1" x14ac:dyDescent="0.2">
      <c r="A152" s="463" t="s">
        <v>1117</v>
      </c>
      <c r="B152" s="556">
        <v>3510</v>
      </c>
      <c r="C152" s="546">
        <v>0</v>
      </c>
      <c r="D152" s="546">
        <v>0</v>
      </c>
      <c r="E152" s="555"/>
      <c r="F152" s="546">
        <v>146160</v>
      </c>
      <c r="G152" s="546">
        <v>0</v>
      </c>
      <c r="H152" s="468"/>
      <c r="I152" s="468"/>
      <c r="J152" s="468"/>
      <c r="K152" s="468"/>
    </row>
    <row r="153" spans="1:11" ht="12.75" customHeight="1" x14ac:dyDescent="0.2">
      <c r="A153" s="463" t="s">
        <v>71</v>
      </c>
      <c r="B153" s="556">
        <v>3599</v>
      </c>
      <c r="C153" s="546">
        <v>0</v>
      </c>
      <c r="D153" s="546">
        <v>0</v>
      </c>
      <c r="E153" s="555"/>
      <c r="F153" s="546">
        <v>0</v>
      </c>
      <c r="G153" s="546">
        <v>0</v>
      </c>
      <c r="H153" s="468"/>
      <c r="I153" s="468"/>
      <c r="J153" s="468"/>
      <c r="K153" s="468"/>
    </row>
    <row r="154" spans="1:11" ht="12.75" customHeight="1" thickBot="1" x14ac:dyDescent="0.25">
      <c r="A154" s="1719" t="s">
        <v>96</v>
      </c>
      <c r="B154" s="1731"/>
      <c r="C154" s="1718">
        <f>SUM(C151:C153)</f>
        <v>0</v>
      </c>
      <c r="D154" s="1718">
        <f>SUM(D151:D153)</f>
        <v>0</v>
      </c>
      <c r="E154" s="555"/>
      <c r="F154" s="1718">
        <f>SUM(F151:F153)</f>
        <v>235823</v>
      </c>
      <c r="G154" s="1718">
        <f>SUM(G151:G153)</f>
        <v>0</v>
      </c>
      <c r="H154" s="468"/>
      <c r="I154" s="468"/>
      <c r="J154" s="468"/>
      <c r="K154" s="468"/>
    </row>
    <row r="155" spans="1:11" ht="12.75" customHeight="1" thickTop="1" thickBot="1" x14ac:dyDescent="0.25">
      <c r="A155" s="1511" t="s">
        <v>398</v>
      </c>
      <c r="B155" s="568">
        <v>3610</v>
      </c>
      <c r="C155" s="570">
        <v>0</v>
      </c>
      <c r="D155" s="468"/>
      <c r="E155" s="505"/>
      <c r="F155" s="468"/>
      <c r="G155" s="468"/>
      <c r="H155" s="468"/>
      <c r="I155" s="468"/>
      <c r="J155" s="468"/>
      <c r="K155" s="468"/>
    </row>
    <row r="156" spans="1:11" ht="12.75" customHeight="1" thickTop="1" thickBot="1" x14ac:dyDescent="0.25">
      <c r="A156" s="1511" t="s">
        <v>52</v>
      </c>
      <c r="B156" s="568">
        <v>3660</v>
      </c>
      <c r="C156" s="570">
        <v>0</v>
      </c>
      <c r="D156" s="572">
        <v>0</v>
      </c>
      <c r="E156" s="555"/>
      <c r="F156" s="572">
        <v>0</v>
      </c>
      <c r="G156" s="572">
        <v>0</v>
      </c>
      <c r="H156" s="468"/>
      <c r="I156" s="468"/>
      <c r="J156" s="468"/>
      <c r="K156" s="468"/>
    </row>
    <row r="157" spans="1:11" ht="12.75" customHeight="1" thickTop="1" thickBot="1" x14ac:dyDescent="0.25">
      <c r="A157" s="1511" t="s">
        <v>1057</v>
      </c>
      <c r="B157" s="568">
        <v>3695</v>
      </c>
      <c r="C157" s="570">
        <v>0</v>
      </c>
      <c r="D157" s="468"/>
      <c r="E157" s="555"/>
      <c r="F157" s="570">
        <v>0</v>
      </c>
      <c r="G157" s="570">
        <v>0</v>
      </c>
      <c r="H157" s="468"/>
      <c r="I157" s="468"/>
      <c r="J157" s="468"/>
      <c r="K157" s="468"/>
    </row>
    <row r="158" spans="1:11" ht="12.75" customHeight="1" thickTop="1" thickBot="1" x14ac:dyDescent="0.25">
      <c r="A158" s="1511" t="s">
        <v>1111</v>
      </c>
      <c r="B158" s="568">
        <v>3705</v>
      </c>
      <c r="C158" s="570">
        <v>58283</v>
      </c>
      <c r="D158" s="572">
        <v>0</v>
      </c>
      <c r="E158" s="555"/>
      <c r="F158" s="570">
        <v>0</v>
      </c>
      <c r="G158" s="570">
        <v>0</v>
      </c>
      <c r="H158" s="468"/>
      <c r="I158" s="468"/>
      <c r="J158" s="468"/>
      <c r="K158" s="468"/>
    </row>
    <row r="159" spans="1:11" ht="12.75" customHeight="1" thickTop="1" thickBot="1" x14ac:dyDescent="0.25">
      <c r="A159" s="1511" t="s">
        <v>39</v>
      </c>
      <c r="B159" s="568">
        <v>3715</v>
      </c>
      <c r="C159" s="570">
        <v>0</v>
      </c>
      <c r="D159" s="468"/>
      <c r="E159" s="555"/>
      <c r="F159" s="570">
        <v>0</v>
      </c>
      <c r="G159" s="570">
        <v>0</v>
      </c>
      <c r="H159" s="468"/>
      <c r="I159" s="468"/>
      <c r="J159" s="468"/>
      <c r="K159" s="468"/>
    </row>
    <row r="160" spans="1:11" ht="12.75" customHeight="1" thickTop="1" thickBot="1" x14ac:dyDescent="0.25">
      <c r="A160" s="1511" t="s">
        <v>40</v>
      </c>
      <c r="B160" s="568">
        <v>3720</v>
      </c>
      <c r="C160" s="570">
        <v>0</v>
      </c>
      <c r="D160" s="468"/>
      <c r="E160" s="555"/>
      <c r="F160" s="570">
        <v>0</v>
      </c>
      <c r="G160" s="570">
        <v>0</v>
      </c>
      <c r="H160" s="468"/>
      <c r="I160" s="468"/>
      <c r="J160" s="468"/>
      <c r="K160" s="468"/>
    </row>
    <row r="161" spans="1:11" ht="12.75" customHeight="1" thickTop="1" thickBot="1" x14ac:dyDescent="0.25">
      <c r="A161" s="1511" t="s">
        <v>415</v>
      </c>
      <c r="B161" s="568">
        <v>3725</v>
      </c>
      <c r="C161" s="570">
        <v>0</v>
      </c>
      <c r="D161" s="468"/>
      <c r="E161" s="555"/>
      <c r="F161" s="570">
        <v>0</v>
      </c>
      <c r="G161" s="570">
        <v>0</v>
      </c>
      <c r="H161" s="468"/>
      <c r="I161" s="468"/>
      <c r="J161" s="468"/>
      <c r="K161" s="468"/>
    </row>
    <row r="162" spans="1:11" ht="12.75" customHeight="1" thickTop="1" thickBot="1" x14ac:dyDescent="0.25">
      <c r="A162" s="1511" t="s">
        <v>416</v>
      </c>
      <c r="B162" s="568">
        <v>3726</v>
      </c>
      <c r="C162" s="570">
        <v>0</v>
      </c>
      <c r="D162" s="468"/>
      <c r="E162" s="555"/>
      <c r="F162" s="570">
        <v>0</v>
      </c>
      <c r="G162" s="570">
        <v>0</v>
      </c>
      <c r="H162" s="468"/>
      <c r="I162" s="468"/>
      <c r="J162" s="468"/>
      <c r="K162" s="468"/>
    </row>
    <row r="163" spans="1:11" ht="12.75" customHeight="1" thickTop="1" thickBot="1" x14ac:dyDescent="0.25">
      <c r="A163" s="1511" t="s">
        <v>41</v>
      </c>
      <c r="B163" s="568">
        <v>3766</v>
      </c>
      <c r="C163" s="570">
        <v>0</v>
      </c>
      <c r="D163" s="572">
        <v>0</v>
      </c>
      <c r="E163" s="555"/>
      <c r="F163" s="570">
        <v>0</v>
      </c>
      <c r="G163" s="570">
        <v>0</v>
      </c>
      <c r="H163" s="468"/>
      <c r="I163" s="468"/>
      <c r="J163" s="468"/>
      <c r="K163" s="468"/>
    </row>
    <row r="164" spans="1:11" ht="12.75" customHeight="1" thickTop="1" thickBot="1" x14ac:dyDescent="0.25">
      <c r="A164" s="1511" t="s">
        <v>1042</v>
      </c>
      <c r="B164" s="568">
        <v>3767</v>
      </c>
      <c r="C164" s="570">
        <v>0</v>
      </c>
      <c r="D164" s="570">
        <v>0</v>
      </c>
      <c r="E164" s="555"/>
      <c r="F164" s="570">
        <v>0</v>
      </c>
      <c r="G164" s="570">
        <v>0</v>
      </c>
      <c r="H164" s="468"/>
      <c r="I164" s="468"/>
      <c r="J164" s="468"/>
      <c r="K164" s="468"/>
    </row>
    <row r="165" spans="1:11" ht="12.75" customHeight="1" thickTop="1" thickBot="1" x14ac:dyDescent="0.25">
      <c r="A165" s="1511" t="s">
        <v>1043</v>
      </c>
      <c r="B165" s="568">
        <v>3775</v>
      </c>
      <c r="C165" s="570">
        <v>0</v>
      </c>
      <c r="D165" s="570">
        <v>0</v>
      </c>
      <c r="E165" s="526">
        <v>0</v>
      </c>
      <c r="F165" s="570">
        <v>0</v>
      </c>
      <c r="G165" s="570">
        <v>0</v>
      </c>
      <c r="H165" s="526">
        <v>0</v>
      </c>
      <c r="I165" s="468"/>
      <c r="J165" s="468"/>
      <c r="K165" s="526">
        <v>0</v>
      </c>
    </row>
    <row r="166" spans="1:11" ht="12.75" customHeight="1" thickTop="1" thickBot="1" x14ac:dyDescent="0.25">
      <c r="A166" s="1511" t="s">
        <v>1524</v>
      </c>
      <c r="B166" s="568">
        <v>3780</v>
      </c>
      <c r="C166" s="570">
        <v>0</v>
      </c>
      <c r="D166" s="570">
        <v>0</v>
      </c>
      <c r="E166" s="570">
        <v>0</v>
      </c>
      <c r="F166" s="570">
        <v>0</v>
      </c>
      <c r="G166" s="570">
        <v>0</v>
      </c>
      <c r="H166" s="570">
        <v>0</v>
      </c>
      <c r="I166" s="468"/>
      <c r="J166" s="468"/>
      <c r="K166" s="570">
        <v>0</v>
      </c>
    </row>
    <row r="167" spans="1:11" ht="12.75" customHeight="1" thickTop="1" thickBot="1" x14ac:dyDescent="0.25">
      <c r="A167" s="1511" t="s">
        <v>913</v>
      </c>
      <c r="B167" s="568">
        <v>3815</v>
      </c>
      <c r="C167" s="570">
        <v>0</v>
      </c>
      <c r="D167" s="468"/>
      <c r="E167" s="555"/>
      <c r="F167" s="570">
        <v>0</v>
      </c>
      <c r="G167" s="468"/>
      <c r="H167" s="468"/>
      <c r="I167" s="468"/>
      <c r="J167" s="468"/>
      <c r="K167" s="468"/>
    </row>
    <row r="168" spans="1:11" ht="12.75" customHeight="1" thickTop="1" thickBot="1" x14ac:dyDescent="0.25">
      <c r="A168" s="1511" t="s">
        <v>417</v>
      </c>
      <c r="B168" s="568">
        <v>3825</v>
      </c>
      <c r="C168" s="570">
        <v>0</v>
      </c>
      <c r="D168" s="468"/>
      <c r="E168" s="555"/>
      <c r="F168" s="570">
        <v>0</v>
      </c>
      <c r="G168" s="468"/>
      <c r="H168" s="468"/>
      <c r="I168" s="468"/>
      <c r="J168" s="468"/>
      <c r="K168" s="468"/>
    </row>
    <row r="169" spans="1:11" ht="12.75" customHeight="1" thickTop="1" thickBot="1" x14ac:dyDescent="0.25">
      <c r="A169" s="1511" t="s">
        <v>366</v>
      </c>
      <c r="B169" s="568">
        <v>3920</v>
      </c>
      <c r="C169" s="560"/>
      <c r="D169" s="572">
        <v>0</v>
      </c>
      <c r="E169" s="468"/>
      <c r="F169" s="560"/>
      <c r="G169" s="468"/>
      <c r="H169" s="572">
        <v>0</v>
      </c>
      <c r="I169" s="468"/>
      <c r="J169" s="468"/>
      <c r="K169" s="468"/>
    </row>
    <row r="170" spans="1:11" ht="12.75" customHeight="1" thickTop="1" thickBot="1" x14ac:dyDescent="0.25">
      <c r="A170" s="1511" t="s">
        <v>367</v>
      </c>
      <c r="B170" s="568">
        <v>3925</v>
      </c>
      <c r="C170" s="517"/>
      <c r="D170" s="570">
        <v>0</v>
      </c>
      <c r="E170" s="517"/>
      <c r="F170" s="517"/>
      <c r="G170" s="468"/>
      <c r="H170" s="570">
        <v>0</v>
      </c>
      <c r="I170" s="468"/>
      <c r="J170" s="468"/>
      <c r="K170" s="526">
        <v>0</v>
      </c>
    </row>
    <row r="171" spans="1:11" ht="14.25" thickTop="1" thickBot="1" x14ac:dyDescent="0.25">
      <c r="A171" s="1511" t="s">
        <v>72</v>
      </c>
      <c r="B171" s="568">
        <v>3999</v>
      </c>
      <c r="C171" s="573">
        <v>750</v>
      </c>
      <c r="D171" s="573">
        <v>0</v>
      </c>
      <c r="E171" s="574">
        <v>0</v>
      </c>
      <c r="F171" s="574">
        <v>0</v>
      </c>
      <c r="G171" s="574">
        <v>0</v>
      </c>
      <c r="H171" s="573">
        <v>0</v>
      </c>
      <c r="I171" s="574">
        <v>0</v>
      </c>
      <c r="J171" s="574">
        <v>0</v>
      </c>
      <c r="K171" s="574">
        <v>0</v>
      </c>
    </row>
    <row r="172" spans="1:11" ht="12.75" customHeight="1" thickTop="1" thickBot="1" x14ac:dyDescent="0.25">
      <c r="A172" s="2151" t="s">
        <v>418</v>
      </c>
      <c r="B172" s="2152"/>
      <c r="C172" s="1733">
        <f t="shared" ref="C172:K172" si="6">SUM(C131,C140,C144,C145:C149,C154,C155:C170,C171)</f>
        <v>241756</v>
      </c>
      <c r="D172" s="1733">
        <f t="shared" si="6"/>
        <v>0</v>
      </c>
      <c r="E172" s="1733">
        <f t="shared" si="6"/>
        <v>0</v>
      </c>
      <c r="F172" s="1733">
        <f t="shared" si="6"/>
        <v>235823</v>
      </c>
      <c r="G172" s="1733">
        <f t="shared" si="6"/>
        <v>0</v>
      </c>
      <c r="H172" s="1733">
        <f t="shared" si="6"/>
        <v>0</v>
      </c>
      <c r="I172" s="1733">
        <f t="shared" si="6"/>
        <v>0</v>
      </c>
      <c r="J172" s="1733">
        <f t="shared" si="6"/>
        <v>0</v>
      </c>
      <c r="K172" s="1714">
        <f t="shared" si="6"/>
        <v>0</v>
      </c>
    </row>
    <row r="173" spans="1:11" ht="12.75" customHeight="1" thickTop="1" thickBot="1" x14ac:dyDescent="0.25">
      <c r="A173" s="1719" t="s">
        <v>419</v>
      </c>
      <c r="B173" s="1725" t="s">
        <v>596</v>
      </c>
      <c r="C173" s="1726">
        <f>SUM(C121,C172)</f>
        <v>809428</v>
      </c>
      <c r="D173" s="1726">
        <f>SUM(D121,D172)</f>
        <v>0</v>
      </c>
      <c r="E173" s="1726">
        <f>SUM(E121,E172)</f>
        <v>0</v>
      </c>
      <c r="F173" s="1726">
        <f t="shared" ref="F173:K173" si="7">SUM(F121,F172)</f>
        <v>235823</v>
      </c>
      <c r="G173" s="1726">
        <f t="shared" si="7"/>
        <v>0</v>
      </c>
      <c r="H173" s="1726">
        <f t="shared" si="7"/>
        <v>0</v>
      </c>
      <c r="I173" s="1726">
        <f t="shared" si="7"/>
        <v>0</v>
      </c>
      <c r="J173" s="1726">
        <f t="shared" si="7"/>
        <v>0</v>
      </c>
      <c r="K173" s="1713">
        <f t="shared" si="7"/>
        <v>0</v>
      </c>
    </row>
    <row r="174" spans="1:11" ht="16.7" customHeight="1" thickTop="1" x14ac:dyDescent="0.2">
      <c r="A174" s="1600" t="s">
        <v>837</v>
      </c>
      <c r="B174" s="1578"/>
      <c r="C174" s="1581"/>
      <c r="D174" s="1582"/>
      <c r="E174" s="1582"/>
      <c r="F174" s="1582"/>
      <c r="G174" s="1582"/>
      <c r="H174" s="1582"/>
      <c r="I174" s="1582"/>
      <c r="J174" s="1582"/>
      <c r="K174" s="1583"/>
    </row>
    <row r="175" spans="1:11" ht="15.75" customHeight="1" x14ac:dyDescent="0.2">
      <c r="A175" s="2153" t="s">
        <v>1572</v>
      </c>
      <c r="B175" s="2154"/>
      <c r="C175" s="516"/>
      <c r="D175" s="516"/>
      <c r="E175" s="505"/>
      <c r="F175" s="468"/>
      <c r="G175" s="468"/>
      <c r="H175" s="468"/>
      <c r="I175" s="468"/>
      <c r="J175" s="468"/>
      <c r="K175" s="468"/>
    </row>
    <row r="176" spans="1:11" ht="12.6" customHeight="1" x14ac:dyDescent="0.2">
      <c r="A176" s="489" t="s">
        <v>1104</v>
      </c>
      <c r="B176" s="487">
        <v>4001</v>
      </c>
      <c r="C176" s="478">
        <v>0</v>
      </c>
      <c r="D176" s="478">
        <v>0</v>
      </c>
      <c r="E176" s="478">
        <v>0</v>
      </c>
      <c r="F176" s="478">
        <v>0</v>
      </c>
      <c r="G176" s="478">
        <v>0</v>
      </c>
      <c r="H176" s="478">
        <v>0</v>
      </c>
      <c r="I176" s="478">
        <v>0</v>
      </c>
      <c r="J176" s="478">
        <v>0</v>
      </c>
      <c r="K176" s="478">
        <v>0</v>
      </c>
    </row>
    <row r="177" spans="1:11" ht="22.5" x14ac:dyDescent="0.2">
      <c r="A177" s="557" t="s">
        <v>838</v>
      </c>
      <c r="B177" s="576">
        <v>4009</v>
      </c>
      <c r="C177" s="478">
        <v>0</v>
      </c>
      <c r="D177" s="478">
        <v>0</v>
      </c>
      <c r="E177" s="478">
        <v>0</v>
      </c>
      <c r="F177" s="478">
        <v>0</v>
      </c>
      <c r="G177" s="478">
        <v>0</v>
      </c>
      <c r="H177" s="478">
        <v>0</v>
      </c>
      <c r="I177" s="478">
        <v>0</v>
      </c>
      <c r="J177" s="478">
        <v>0</v>
      </c>
      <c r="K177" s="478">
        <v>0</v>
      </c>
    </row>
    <row r="178" spans="1:11" ht="13.5" thickBot="1" x14ac:dyDescent="0.25">
      <c r="A178" s="2157" t="s">
        <v>1764</v>
      </c>
      <c r="B178" s="2158"/>
      <c r="C178" s="1718">
        <f>SUM(C176:C177)</f>
        <v>0</v>
      </c>
      <c r="D178" s="1718">
        <f t="shared" ref="D178:K178" si="8">SUM(D176:D177)</f>
        <v>0</v>
      </c>
      <c r="E178" s="1718">
        <f t="shared" si="8"/>
        <v>0</v>
      </c>
      <c r="F178" s="1718">
        <f t="shared" si="8"/>
        <v>0</v>
      </c>
      <c r="G178" s="1718">
        <f t="shared" si="8"/>
        <v>0</v>
      </c>
      <c r="H178" s="1718">
        <f t="shared" si="8"/>
        <v>0</v>
      </c>
      <c r="I178" s="1718">
        <f t="shared" si="8"/>
        <v>0</v>
      </c>
      <c r="J178" s="1718">
        <f t="shared" si="8"/>
        <v>0</v>
      </c>
      <c r="K178" s="1699">
        <f t="shared" si="8"/>
        <v>0</v>
      </c>
    </row>
    <row r="179" spans="1:11" s="457" customFormat="1" ht="15.75" customHeight="1" thickTop="1" x14ac:dyDescent="0.2">
      <c r="A179" s="2161" t="s">
        <v>1763</v>
      </c>
      <c r="B179" s="2162"/>
      <c r="C179" s="590"/>
      <c r="D179" s="591"/>
      <c r="E179" s="592"/>
      <c r="F179" s="593"/>
      <c r="G179" s="593"/>
      <c r="H179" s="593"/>
      <c r="I179" s="593"/>
      <c r="J179" s="593"/>
      <c r="K179" s="593"/>
    </row>
    <row r="180" spans="1:11" ht="12.75" customHeight="1" x14ac:dyDescent="0.2">
      <c r="A180" s="463" t="s">
        <v>1105</v>
      </c>
      <c r="B180" s="470">
        <v>4045</v>
      </c>
      <c r="C180" s="478">
        <v>0</v>
      </c>
      <c r="D180" s="468"/>
      <c r="E180" s="555"/>
      <c r="F180" s="468"/>
      <c r="G180" s="468"/>
      <c r="H180" s="468"/>
      <c r="I180" s="468"/>
      <c r="J180" s="468"/>
      <c r="K180" s="468"/>
    </row>
    <row r="181" spans="1:11" ht="12.75" customHeight="1" x14ac:dyDescent="0.2">
      <c r="A181" s="463" t="s">
        <v>1106</v>
      </c>
      <c r="B181" s="470">
        <v>4050</v>
      </c>
      <c r="C181" s="478">
        <v>0</v>
      </c>
      <c r="D181" s="478">
        <v>0</v>
      </c>
      <c r="E181" s="555"/>
      <c r="F181" s="468"/>
      <c r="G181" s="468"/>
      <c r="H181" s="478">
        <v>0</v>
      </c>
      <c r="I181" s="468"/>
      <c r="J181" s="468"/>
      <c r="K181" s="468"/>
    </row>
    <row r="182" spans="1:11" ht="12.75" customHeight="1" x14ac:dyDescent="0.2">
      <c r="A182" s="463" t="s">
        <v>278</v>
      </c>
      <c r="B182" s="470">
        <v>4060</v>
      </c>
      <c r="C182" s="478">
        <v>0</v>
      </c>
      <c r="D182" s="478">
        <v>0</v>
      </c>
      <c r="E182" s="468"/>
      <c r="F182" s="478">
        <v>0</v>
      </c>
      <c r="G182" s="478">
        <v>0</v>
      </c>
      <c r="H182" s="478">
        <v>0</v>
      </c>
      <c r="I182" s="468"/>
      <c r="J182" s="468"/>
      <c r="K182" s="517"/>
    </row>
    <row r="183" spans="1:11" ht="22.5" x14ac:dyDescent="0.2">
      <c r="A183" s="557" t="s">
        <v>819</v>
      </c>
      <c r="B183" s="576">
        <v>4090</v>
      </c>
      <c r="C183" s="478">
        <v>0</v>
      </c>
      <c r="D183" s="478">
        <v>0</v>
      </c>
      <c r="E183" s="468"/>
      <c r="F183" s="478">
        <v>0</v>
      </c>
      <c r="G183" s="478">
        <v>0</v>
      </c>
      <c r="H183" s="478">
        <v>0</v>
      </c>
      <c r="I183" s="468"/>
      <c r="J183" s="468"/>
      <c r="K183" s="478">
        <v>0</v>
      </c>
    </row>
    <row r="184" spans="1:11" ht="13.5" thickBot="1" x14ac:dyDescent="0.25">
      <c r="A184" s="2159" t="s">
        <v>818</v>
      </c>
      <c r="B184" s="2160"/>
      <c r="C184" s="1718">
        <f>SUM(C180:C183)</f>
        <v>0</v>
      </c>
      <c r="D184" s="1718">
        <f>SUM(D180:D183)</f>
        <v>0</v>
      </c>
      <c r="E184" s="468"/>
      <c r="F184" s="1718">
        <f>SUM(F180:F183)</f>
        <v>0</v>
      </c>
      <c r="G184" s="1718">
        <f>SUM(G180:G183)</f>
        <v>0</v>
      </c>
      <c r="H184" s="1718">
        <f>SUM(H180:H183)</f>
        <v>0</v>
      </c>
      <c r="I184" s="468"/>
      <c r="J184" s="468"/>
      <c r="K184" s="1699">
        <f>SUM(K180:K183)</f>
        <v>0</v>
      </c>
    </row>
    <row r="185" spans="1:11" ht="22.5" customHeight="1" thickTop="1" x14ac:dyDescent="0.2">
      <c r="A185" s="2155" t="s">
        <v>1906</v>
      </c>
      <c r="B185" s="2156"/>
      <c r="C185" s="577"/>
      <c r="D185" s="560"/>
      <c r="E185" s="505"/>
      <c r="F185" s="560"/>
      <c r="G185" s="560"/>
      <c r="H185" s="468"/>
      <c r="I185" s="468"/>
      <c r="J185" s="468"/>
      <c r="K185" s="468"/>
    </row>
    <row r="186" spans="1:11" ht="15.75" customHeight="1" x14ac:dyDescent="0.2">
      <c r="A186" s="1614" t="s">
        <v>1692</v>
      </c>
      <c r="B186" s="1615"/>
      <c r="C186" s="518"/>
      <c r="D186" s="517"/>
      <c r="E186" s="505"/>
      <c r="F186" s="517"/>
      <c r="G186" s="517"/>
      <c r="H186" s="468"/>
      <c r="I186" s="468"/>
      <c r="J186" s="468"/>
      <c r="K186" s="468"/>
    </row>
    <row r="187" spans="1:11" ht="12.75" customHeight="1" x14ac:dyDescent="0.2">
      <c r="A187" s="463" t="s">
        <v>1693</v>
      </c>
      <c r="B187" s="470">
        <v>4100</v>
      </c>
      <c r="C187" s="478">
        <v>0</v>
      </c>
      <c r="D187" s="478">
        <v>0</v>
      </c>
      <c r="E187" s="555"/>
      <c r="F187" s="478">
        <v>0</v>
      </c>
      <c r="G187" s="478">
        <v>0</v>
      </c>
      <c r="H187" s="468"/>
      <c r="I187" s="468"/>
      <c r="J187" s="468"/>
      <c r="K187" s="468"/>
    </row>
    <row r="188" spans="1:11" ht="12.75" customHeight="1" x14ac:dyDescent="0.2">
      <c r="A188" s="463" t="s">
        <v>1694</v>
      </c>
      <c r="B188" s="470">
        <v>4105</v>
      </c>
      <c r="C188" s="478">
        <v>0</v>
      </c>
      <c r="D188" s="478">
        <v>0</v>
      </c>
      <c r="E188" s="555"/>
      <c r="F188" s="478">
        <v>0</v>
      </c>
      <c r="G188" s="478">
        <v>0</v>
      </c>
      <c r="H188" s="468"/>
      <c r="I188" s="468"/>
      <c r="J188" s="468"/>
      <c r="K188" s="468"/>
    </row>
    <row r="189" spans="1:11" ht="12.75" customHeight="1" x14ac:dyDescent="0.2">
      <c r="A189" s="463" t="s">
        <v>1696</v>
      </c>
      <c r="B189" s="470">
        <v>4107</v>
      </c>
      <c r="C189" s="478">
        <v>0</v>
      </c>
      <c r="D189" s="478">
        <v>0</v>
      </c>
      <c r="E189" s="555"/>
      <c r="F189" s="478">
        <v>0</v>
      </c>
      <c r="G189" s="478">
        <v>0</v>
      </c>
      <c r="H189" s="468"/>
      <c r="I189" s="468"/>
      <c r="J189" s="468"/>
      <c r="K189" s="468"/>
    </row>
    <row r="190" spans="1:11" ht="12.75" customHeight="1" x14ac:dyDescent="0.2">
      <c r="A190" s="463" t="s">
        <v>1695</v>
      </c>
      <c r="B190" s="470">
        <v>4199</v>
      </c>
      <c r="C190" s="478">
        <v>0</v>
      </c>
      <c r="D190" s="478">
        <v>0</v>
      </c>
      <c r="E190" s="555"/>
      <c r="F190" s="478">
        <v>0</v>
      </c>
      <c r="G190" s="478">
        <v>0</v>
      </c>
      <c r="H190" s="468"/>
      <c r="I190" s="468"/>
      <c r="J190" s="468"/>
      <c r="K190" s="468"/>
    </row>
    <row r="191" spans="1:11" ht="12.75" customHeight="1" thickBot="1" x14ac:dyDescent="0.25">
      <c r="A191" s="1719" t="s">
        <v>1697</v>
      </c>
      <c r="B191" s="1720"/>
      <c r="C191" s="1718">
        <f>SUM(C187:C190)</f>
        <v>0</v>
      </c>
      <c r="D191" s="1718">
        <f>SUM(D187:D190)</f>
        <v>0</v>
      </c>
      <c r="E191" s="555"/>
      <c r="F191" s="1718">
        <f>SUM(F187:F190)</f>
        <v>0</v>
      </c>
      <c r="G191" s="1718">
        <f>SUM(G187:G190)</f>
        <v>0</v>
      </c>
      <c r="H191" s="468"/>
      <c r="I191" s="468"/>
      <c r="J191" s="468"/>
      <c r="K191" s="468"/>
    </row>
    <row r="192" spans="1:11" ht="15.75" customHeight="1" thickTop="1" x14ac:dyDescent="0.2">
      <c r="A192" s="1611" t="s">
        <v>475</v>
      </c>
      <c r="B192" s="1616"/>
      <c r="C192" s="548"/>
      <c r="D192" s="560"/>
      <c r="E192" s="555"/>
      <c r="F192" s="548"/>
      <c r="G192" s="548"/>
      <c r="H192" s="468"/>
      <c r="I192" s="468"/>
      <c r="J192" s="468"/>
      <c r="K192" s="468"/>
    </row>
    <row r="193" spans="1:11" x14ac:dyDescent="0.2">
      <c r="A193" s="463" t="s">
        <v>1525</v>
      </c>
      <c r="B193" s="470">
        <v>4200</v>
      </c>
      <c r="C193" s="478">
        <v>0</v>
      </c>
      <c r="D193" s="468"/>
      <c r="E193" s="555"/>
      <c r="F193" s="548"/>
      <c r="G193" s="478">
        <v>0</v>
      </c>
      <c r="H193" s="468"/>
      <c r="I193" s="468"/>
      <c r="J193" s="468"/>
      <c r="K193" s="468"/>
    </row>
    <row r="194" spans="1:11" ht="12.75" customHeight="1" x14ac:dyDescent="0.2">
      <c r="A194" s="463" t="s">
        <v>1118</v>
      </c>
      <c r="B194" s="470">
        <v>4210</v>
      </c>
      <c r="C194" s="478">
        <v>0</v>
      </c>
      <c r="D194" s="468"/>
      <c r="E194" s="555"/>
      <c r="F194" s="468"/>
      <c r="G194" s="478">
        <v>0</v>
      </c>
      <c r="H194" s="468"/>
      <c r="I194" s="468"/>
      <c r="J194" s="468"/>
      <c r="K194" s="468"/>
    </row>
    <row r="195" spans="1:11" ht="12.75" customHeight="1" x14ac:dyDescent="0.2">
      <c r="A195" s="463" t="s">
        <v>1107</v>
      </c>
      <c r="B195" s="470">
        <v>4215</v>
      </c>
      <c r="C195" s="478">
        <v>9663</v>
      </c>
      <c r="D195" s="468"/>
      <c r="E195" s="555"/>
      <c r="F195" s="468"/>
      <c r="G195" s="478">
        <v>0</v>
      </c>
      <c r="H195" s="468"/>
      <c r="I195" s="468"/>
      <c r="J195" s="468"/>
      <c r="K195" s="468"/>
    </row>
    <row r="196" spans="1:11" ht="12.75" customHeight="1" x14ac:dyDescent="0.2">
      <c r="A196" s="463" t="s">
        <v>1119</v>
      </c>
      <c r="B196" s="470">
        <v>4220</v>
      </c>
      <c r="C196" s="478">
        <v>0</v>
      </c>
      <c r="D196" s="468"/>
      <c r="E196" s="555"/>
      <c r="F196" s="468"/>
      <c r="G196" s="478">
        <v>0</v>
      </c>
      <c r="H196" s="468"/>
      <c r="I196" s="468"/>
      <c r="J196" s="468"/>
      <c r="K196" s="468"/>
    </row>
    <row r="197" spans="1:11" ht="12.75" customHeight="1" x14ac:dyDescent="0.2">
      <c r="A197" s="463" t="s">
        <v>1526</v>
      </c>
      <c r="B197" s="470">
        <v>4225</v>
      </c>
      <c r="C197" s="478">
        <v>0</v>
      </c>
      <c r="D197" s="468"/>
      <c r="E197" s="555"/>
      <c r="F197" s="468"/>
      <c r="G197" s="478">
        <v>0</v>
      </c>
      <c r="H197" s="468"/>
      <c r="I197" s="468"/>
      <c r="J197" s="468"/>
      <c r="K197" s="468"/>
    </row>
    <row r="198" spans="1:11" ht="12.75" customHeight="1" x14ac:dyDescent="0.2">
      <c r="A198" s="463" t="s">
        <v>1527</v>
      </c>
      <c r="B198" s="470">
        <v>4226</v>
      </c>
      <c r="C198" s="478">
        <v>0</v>
      </c>
      <c r="D198" s="468"/>
      <c r="E198" s="555"/>
      <c r="F198" s="468"/>
      <c r="G198" s="478">
        <v>0</v>
      </c>
      <c r="H198" s="468"/>
      <c r="I198" s="468"/>
      <c r="J198" s="468"/>
      <c r="K198" s="468"/>
    </row>
    <row r="199" spans="1:11" ht="12.75" customHeight="1" x14ac:dyDescent="0.2">
      <c r="A199" s="463" t="s">
        <v>825</v>
      </c>
      <c r="B199" s="470">
        <v>4240</v>
      </c>
      <c r="C199" s="478">
        <v>0</v>
      </c>
      <c r="D199" s="468"/>
      <c r="E199" s="555"/>
      <c r="F199" s="468"/>
      <c r="G199" s="579"/>
      <c r="H199" s="468"/>
      <c r="I199" s="468"/>
      <c r="J199" s="468"/>
      <c r="K199" s="468"/>
    </row>
    <row r="200" spans="1:11" ht="12.75" customHeight="1" x14ac:dyDescent="0.2">
      <c r="A200" s="463" t="s">
        <v>73</v>
      </c>
      <c r="B200" s="470">
        <v>4299</v>
      </c>
      <c r="C200" s="478">
        <v>0</v>
      </c>
      <c r="D200" s="468"/>
      <c r="E200" s="555"/>
      <c r="F200" s="468"/>
      <c r="G200" s="478">
        <v>0</v>
      </c>
      <c r="H200" s="468"/>
      <c r="I200" s="468"/>
      <c r="J200" s="468"/>
      <c r="K200" s="468"/>
    </row>
    <row r="201" spans="1:11" ht="12.75" customHeight="1" thickBot="1" x14ac:dyDescent="0.25">
      <c r="A201" s="1719" t="s">
        <v>569</v>
      </c>
      <c r="B201" s="1720"/>
      <c r="C201" s="1699">
        <f>SUM(C193:C200)</f>
        <v>9663</v>
      </c>
      <c r="D201" s="468"/>
      <c r="E201" s="468"/>
      <c r="F201" s="468"/>
      <c r="G201" s="1699">
        <f>SUM(G193:G200)</f>
        <v>0</v>
      </c>
      <c r="H201" s="468"/>
      <c r="I201" s="468"/>
      <c r="J201" s="468"/>
      <c r="K201" s="468"/>
    </row>
    <row r="202" spans="1:11" ht="15.75" customHeight="1" thickTop="1" x14ac:dyDescent="0.2">
      <c r="A202" s="1611" t="s">
        <v>1200</v>
      </c>
      <c r="B202" s="1616"/>
      <c r="C202" s="548"/>
      <c r="D202" s="468"/>
      <c r="E202" s="468"/>
      <c r="F202" s="468"/>
      <c r="G202" s="468"/>
      <c r="H202" s="468"/>
      <c r="I202" s="468"/>
      <c r="J202" s="468"/>
      <c r="K202" s="468"/>
    </row>
    <row r="203" spans="1:11" ht="12.75" customHeight="1" x14ac:dyDescent="0.2">
      <c r="A203" s="463" t="s">
        <v>974</v>
      </c>
      <c r="B203" s="470">
        <v>4300</v>
      </c>
      <c r="C203" s="478">
        <v>40486</v>
      </c>
      <c r="D203" s="478">
        <v>0</v>
      </c>
      <c r="E203" s="468"/>
      <c r="F203" s="478">
        <v>0</v>
      </c>
      <c r="G203" s="478">
        <v>0</v>
      </c>
      <c r="H203" s="468"/>
      <c r="I203" s="468"/>
      <c r="J203" s="468"/>
      <c r="K203" s="468"/>
    </row>
    <row r="204" spans="1:11" ht="12.75" customHeight="1" x14ac:dyDescent="0.2">
      <c r="A204" s="463" t="s">
        <v>975</v>
      </c>
      <c r="B204" s="470">
        <v>4305</v>
      </c>
      <c r="C204" s="478">
        <v>0</v>
      </c>
      <c r="D204" s="478">
        <v>0</v>
      </c>
      <c r="E204" s="468"/>
      <c r="F204" s="478">
        <v>0</v>
      </c>
      <c r="G204" s="478">
        <v>0</v>
      </c>
      <c r="H204" s="468"/>
      <c r="I204" s="468"/>
      <c r="J204" s="468"/>
      <c r="K204" s="468"/>
    </row>
    <row r="205" spans="1:11" ht="12.75" customHeight="1" x14ac:dyDescent="0.2">
      <c r="A205" s="463" t="s">
        <v>976</v>
      </c>
      <c r="B205" s="470">
        <v>4332</v>
      </c>
      <c r="C205" s="478">
        <v>0</v>
      </c>
      <c r="D205" s="478">
        <v>0</v>
      </c>
      <c r="E205" s="468"/>
      <c r="F205" s="478">
        <v>0</v>
      </c>
      <c r="G205" s="478">
        <v>0</v>
      </c>
      <c r="H205" s="468"/>
      <c r="I205" s="468"/>
      <c r="J205" s="468"/>
      <c r="K205" s="468"/>
    </row>
    <row r="206" spans="1:11" ht="12.75" customHeight="1" x14ac:dyDescent="0.2">
      <c r="A206" s="463" t="s">
        <v>1089</v>
      </c>
      <c r="B206" s="470">
        <v>4334</v>
      </c>
      <c r="C206" s="478">
        <v>0</v>
      </c>
      <c r="D206" s="478">
        <v>0</v>
      </c>
      <c r="E206" s="468"/>
      <c r="F206" s="478">
        <v>0</v>
      </c>
      <c r="G206" s="478">
        <v>0</v>
      </c>
      <c r="H206" s="468"/>
      <c r="I206" s="468"/>
      <c r="J206" s="468"/>
      <c r="K206" s="468"/>
    </row>
    <row r="207" spans="1:11" ht="12.75" customHeight="1" x14ac:dyDescent="0.2">
      <c r="A207" s="463" t="s">
        <v>1090</v>
      </c>
      <c r="B207" s="470">
        <v>4335</v>
      </c>
      <c r="C207" s="478">
        <v>0</v>
      </c>
      <c r="D207" s="478">
        <v>0</v>
      </c>
      <c r="E207" s="468"/>
      <c r="F207" s="478">
        <v>0</v>
      </c>
      <c r="G207" s="478">
        <v>0</v>
      </c>
      <c r="H207" s="468"/>
      <c r="I207" s="468"/>
      <c r="J207" s="468"/>
      <c r="K207" s="468"/>
    </row>
    <row r="208" spans="1:11" ht="12.75" customHeight="1" x14ac:dyDescent="0.2">
      <c r="A208" s="463" t="s">
        <v>1153</v>
      </c>
      <c r="B208" s="470">
        <v>4337</v>
      </c>
      <c r="C208" s="478">
        <v>0</v>
      </c>
      <c r="D208" s="478">
        <v>0</v>
      </c>
      <c r="E208" s="468"/>
      <c r="F208" s="478">
        <v>0</v>
      </c>
      <c r="G208" s="478">
        <v>0</v>
      </c>
      <c r="H208" s="468"/>
      <c r="I208" s="468"/>
      <c r="J208" s="468"/>
      <c r="K208" s="468"/>
    </row>
    <row r="209" spans="1:11" ht="12.75" customHeight="1" x14ac:dyDescent="0.2">
      <c r="A209" s="463" t="s">
        <v>1091</v>
      </c>
      <c r="B209" s="470">
        <v>4340</v>
      </c>
      <c r="C209" s="478">
        <v>0</v>
      </c>
      <c r="D209" s="478">
        <v>0</v>
      </c>
      <c r="E209" s="468"/>
      <c r="F209" s="478">
        <v>0</v>
      </c>
      <c r="G209" s="478">
        <v>0</v>
      </c>
      <c r="H209" s="468"/>
      <c r="I209" s="468"/>
      <c r="J209" s="468"/>
      <c r="K209" s="468"/>
    </row>
    <row r="210" spans="1:11" ht="12.75" customHeight="1" x14ac:dyDescent="0.2">
      <c r="A210" s="463" t="s">
        <v>74</v>
      </c>
      <c r="B210" s="470">
        <v>4399</v>
      </c>
      <c r="C210" s="478">
        <v>0</v>
      </c>
      <c r="D210" s="478">
        <v>0</v>
      </c>
      <c r="E210" s="468"/>
      <c r="F210" s="478">
        <v>0</v>
      </c>
      <c r="G210" s="478">
        <v>0</v>
      </c>
      <c r="H210" s="468"/>
      <c r="I210" s="468"/>
      <c r="J210" s="468"/>
      <c r="K210" s="468"/>
    </row>
    <row r="211" spans="1:11" ht="12.75" customHeight="1" thickBot="1" x14ac:dyDescent="0.25">
      <c r="A211" s="1719" t="s">
        <v>420</v>
      </c>
      <c r="B211" s="1720"/>
      <c r="C211" s="1718">
        <f>SUM(C203:C210)</f>
        <v>40486</v>
      </c>
      <c r="D211" s="1718">
        <f>SUM(D203:D210)</f>
        <v>0</v>
      </c>
      <c r="E211" s="468"/>
      <c r="F211" s="1718">
        <f>SUM(F203:F210)</f>
        <v>0</v>
      </c>
      <c r="G211" s="1718">
        <f>SUM(G203:G210)</f>
        <v>0</v>
      </c>
      <c r="H211" s="468"/>
      <c r="I211" s="468"/>
      <c r="J211" s="468"/>
      <c r="K211" s="468"/>
    </row>
    <row r="212" spans="1:11" ht="15.75" customHeight="1" thickTop="1" x14ac:dyDescent="0.2">
      <c r="A212" s="1611" t="s">
        <v>1201</v>
      </c>
      <c r="B212" s="1616"/>
      <c r="C212" s="548"/>
      <c r="D212" s="548"/>
      <c r="E212" s="468"/>
      <c r="F212" s="548"/>
      <c r="G212" s="548"/>
      <c r="H212" s="468"/>
      <c r="I212" s="468"/>
      <c r="J212" s="468"/>
      <c r="K212" s="468"/>
    </row>
    <row r="213" spans="1:11" ht="12.75" customHeight="1" x14ac:dyDescent="0.2">
      <c r="A213" s="463" t="s">
        <v>783</v>
      </c>
      <c r="B213" s="470">
        <v>4400</v>
      </c>
      <c r="C213" s="478">
        <v>8362</v>
      </c>
      <c r="D213" s="478">
        <v>0</v>
      </c>
      <c r="E213" s="468"/>
      <c r="F213" s="478">
        <v>0</v>
      </c>
      <c r="G213" s="478">
        <v>0</v>
      </c>
      <c r="H213" s="468"/>
      <c r="I213" s="468"/>
      <c r="J213" s="468"/>
      <c r="K213" s="468"/>
    </row>
    <row r="214" spans="1:11" ht="12.75" customHeight="1" x14ac:dyDescent="0.2">
      <c r="A214" s="463" t="s">
        <v>1528</v>
      </c>
      <c r="B214" s="470">
        <v>4421</v>
      </c>
      <c r="C214" s="478">
        <v>0</v>
      </c>
      <c r="D214" s="478">
        <v>0</v>
      </c>
      <c r="E214" s="468"/>
      <c r="F214" s="478">
        <v>0</v>
      </c>
      <c r="G214" s="478">
        <v>0</v>
      </c>
      <c r="H214" s="468"/>
      <c r="I214" s="468"/>
      <c r="J214" s="468"/>
      <c r="K214" s="468"/>
    </row>
    <row r="215" spans="1:11" ht="12.75" customHeight="1" x14ac:dyDescent="0.2">
      <c r="A215" s="463" t="s">
        <v>75</v>
      </c>
      <c r="B215" s="470">
        <v>4499</v>
      </c>
      <c r="C215" s="478">
        <v>0</v>
      </c>
      <c r="D215" s="478">
        <v>0</v>
      </c>
      <c r="E215" s="468"/>
      <c r="F215" s="478">
        <v>0</v>
      </c>
      <c r="G215" s="478">
        <v>0</v>
      </c>
      <c r="H215" s="468"/>
      <c r="I215" s="468"/>
      <c r="J215" s="468"/>
      <c r="K215" s="468"/>
    </row>
    <row r="216" spans="1:11" ht="12.75" customHeight="1" thickBot="1" x14ac:dyDescent="0.25">
      <c r="A216" s="1719" t="s">
        <v>944</v>
      </c>
      <c r="B216" s="1720"/>
      <c r="C216" s="1718">
        <f>SUM(C213:C215)</f>
        <v>8362</v>
      </c>
      <c r="D216" s="1718">
        <f>SUM(D213:D215)</f>
        <v>0</v>
      </c>
      <c r="E216" s="468" t="s">
        <v>1231</v>
      </c>
      <c r="F216" s="1718">
        <f>SUM(F213:F215)</f>
        <v>0</v>
      </c>
      <c r="G216" s="1718">
        <f>SUM(G213:G215)</f>
        <v>0</v>
      </c>
      <c r="H216" s="468"/>
      <c r="I216" s="468"/>
      <c r="J216" s="468"/>
      <c r="K216" s="468"/>
    </row>
    <row r="217" spans="1:11" ht="15.75" customHeight="1" thickTop="1" x14ac:dyDescent="0.2">
      <c r="A217" s="1611" t="s">
        <v>1154</v>
      </c>
      <c r="B217" s="1616"/>
      <c r="C217" s="548"/>
      <c r="D217" s="548"/>
      <c r="E217" s="468"/>
      <c r="F217" s="548"/>
      <c r="G217" s="548"/>
      <c r="H217" s="468"/>
      <c r="I217" s="468"/>
      <c r="J217" s="468"/>
      <c r="K217" s="468"/>
    </row>
    <row r="218" spans="1:11" ht="12.75" customHeight="1" x14ac:dyDescent="0.2">
      <c r="A218" s="463" t="s">
        <v>1112</v>
      </c>
      <c r="B218" s="470">
        <v>4600</v>
      </c>
      <c r="C218" s="478">
        <v>13058</v>
      </c>
      <c r="D218" s="478">
        <v>0</v>
      </c>
      <c r="E218" s="468"/>
      <c r="F218" s="478">
        <v>0</v>
      </c>
      <c r="G218" s="478">
        <v>0</v>
      </c>
      <c r="H218" s="468"/>
      <c r="I218" s="468"/>
      <c r="J218" s="468"/>
      <c r="K218" s="468"/>
    </row>
    <row r="219" spans="1:11" ht="12.75" customHeight="1" x14ac:dyDescent="0.2">
      <c r="A219" s="463" t="s">
        <v>1113</v>
      </c>
      <c r="B219" s="470">
        <v>4605</v>
      </c>
      <c r="C219" s="478">
        <v>0</v>
      </c>
      <c r="D219" s="478">
        <v>0</v>
      </c>
      <c r="E219" s="468"/>
      <c r="F219" s="478">
        <v>0</v>
      </c>
      <c r="G219" s="478">
        <v>0</v>
      </c>
      <c r="H219" s="468"/>
      <c r="I219" s="468"/>
      <c r="J219" s="468"/>
      <c r="K219" s="468"/>
    </row>
    <row r="220" spans="1:11" ht="12.75" customHeight="1" x14ac:dyDescent="0.2">
      <c r="A220" s="463" t="s">
        <v>1529</v>
      </c>
      <c r="B220" s="552">
        <v>4620</v>
      </c>
      <c r="C220" s="478">
        <v>259252</v>
      </c>
      <c r="D220" s="478">
        <v>0</v>
      </c>
      <c r="E220" s="468"/>
      <c r="F220" s="478">
        <v>0</v>
      </c>
      <c r="G220" s="478">
        <v>0</v>
      </c>
      <c r="H220" s="468"/>
      <c r="I220" s="468"/>
      <c r="J220" s="468"/>
      <c r="K220" s="468"/>
    </row>
    <row r="221" spans="1:11" ht="12.75" customHeight="1" x14ac:dyDescent="0.2">
      <c r="A221" s="463" t="s">
        <v>1114</v>
      </c>
      <c r="B221" s="470">
        <v>4625</v>
      </c>
      <c r="C221" s="478">
        <v>1839</v>
      </c>
      <c r="D221" s="478">
        <v>0</v>
      </c>
      <c r="E221" s="468"/>
      <c r="F221" s="478">
        <v>0</v>
      </c>
      <c r="G221" s="478">
        <v>0</v>
      </c>
      <c r="H221" s="468"/>
      <c r="I221" s="468"/>
      <c r="J221" s="468"/>
      <c r="K221" s="468"/>
    </row>
    <row r="222" spans="1:11" ht="12.75" customHeight="1" x14ac:dyDescent="0.2">
      <c r="A222" s="463" t="s">
        <v>1115</v>
      </c>
      <c r="B222" s="470">
        <v>4630</v>
      </c>
      <c r="C222" s="478">
        <v>0</v>
      </c>
      <c r="D222" s="478">
        <v>0</v>
      </c>
      <c r="E222" s="468"/>
      <c r="F222" s="478">
        <v>0</v>
      </c>
      <c r="G222" s="478">
        <v>0</v>
      </c>
      <c r="H222" s="468"/>
      <c r="I222" s="468"/>
      <c r="J222" s="468"/>
      <c r="K222" s="468"/>
    </row>
    <row r="223" spans="1:11" ht="12.75" customHeight="1" x14ac:dyDescent="0.2">
      <c r="A223" s="1512" t="s">
        <v>76</v>
      </c>
      <c r="B223" s="552">
        <v>4699</v>
      </c>
      <c r="C223" s="478">
        <v>0</v>
      </c>
      <c r="D223" s="478">
        <v>0</v>
      </c>
      <c r="E223" s="468"/>
      <c r="F223" s="478">
        <v>0</v>
      </c>
      <c r="G223" s="478">
        <v>0</v>
      </c>
      <c r="H223" s="468"/>
      <c r="I223" s="468"/>
      <c r="J223" s="468"/>
      <c r="K223" s="468"/>
    </row>
    <row r="224" spans="1:11" ht="12.75" customHeight="1" thickBot="1" x14ac:dyDescent="0.25">
      <c r="A224" s="1719" t="s">
        <v>467</v>
      </c>
      <c r="B224" s="1720"/>
      <c r="C224" s="1718">
        <f>SUM(C218:C223)</f>
        <v>274149</v>
      </c>
      <c r="D224" s="1718">
        <f>SUM(D218:D223)</f>
        <v>0</v>
      </c>
      <c r="E224" s="468"/>
      <c r="F224" s="1718">
        <f>SUM(F218:F223)</f>
        <v>0</v>
      </c>
      <c r="G224" s="1718">
        <f>SUM(G218:G223)</f>
        <v>0</v>
      </c>
      <c r="H224" s="468"/>
      <c r="I224" s="468"/>
      <c r="J224" s="468"/>
      <c r="K224" s="468"/>
    </row>
    <row r="225" spans="1:11" ht="15.75" customHeight="1" thickTop="1" x14ac:dyDescent="0.2">
      <c r="A225" s="1611" t="s">
        <v>1155</v>
      </c>
      <c r="B225" s="1616"/>
      <c r="C225" s="548"/>
      <c r="D225" s="548"/>
      <c r="E225" s="468"/>
      <c r="F225" s="548"/>
      <c r="G225" s="548"/>
      <c r="H225" s="468"/>
      <c r="I225" s="468"/>
      <c r="J225" s="468"/>
      <c r="K225" s="468"/>
    </row>
    <row r="226" spans="1:11" ht="12.75" customHeight="1" x14ac:dyDescent="0.2">
      <c r="A226" s="463" t="s">
        <v>820</v>
      </c>
      <c r="B226" s="470">
        <v>4770</v>
      </c>
      <c r="C226" s="478">
        <v>0</v>
      </c>
      <c r="D226" s="478">
        <v>0</v>
      </c>
      <c r="E226" s="468"/>
      <c r="F226" s="468"/>
      <c r="G226" s="478">
        <v>0</v>
      </c>
      <c r="H226" s="468"/>
      <c r="I226" s="468"/>
      <c r="J226" s="468"/>
      <c r="K226" s="468"/>
    </row>
    <row r="227" spans="1:11" ht="12.75" customHeight="1" x14ac:dyDescent="0.2">
      <c r="A227" s="463" t="s">
        <v>69</v>
      </c>
      <c r="B227" s="470">
        <v>4799</v>
      </c>
      <c r="C227" s="478">
        <v>0</v>
      </c>
      <c r="D227" s="478">
        <v>0</v>
      </c>
      <c r="E227" s="468"/>
      <c r="F227" s="468"/>
      <c r="G227" s="478">
        <v>0</v>
      </c>
      <c r="H227" s="468"/>
      <c r="I227" s="468"/>
      <c r="J227" s="468"/>
      <c r="K227" s="468"/>
    </row>
    <row r="228" spans="1:11" ht="12.75" customHeight="1" thickBot="1" x14ac:dyDescent="0.25">
      <c r="A228" s="1734" t="s">
        <v>1145</v>
      </c>
      <c r="B228" s="1735"/>
      <c r="C228" s="1718">
        <f>SUM(C226:C227)</f>
        <v>0</v>
      </c>
      <c r="D228" s="1718">
        <f>SUM(D226:D227)</f>
        <v>0</v>
      </c>
      <c r="E228" s="468"/>
      <c r="F228" s="468"/>
      <c r="G228" s="1718">
        <f>SUM(G226:G227)</f>
        <v>0</v>
      </c>
      <c r="H228" s="468"/>
      <c r="I228" s="468"/>
      <c r="J228" s="468"/>
      <c r="K228" s="468"/>
    </row>
    <row r="229" spans="1:11" ht="12.75" customHeight="1" thickTop="1" thickBot="1" x14ac:dyDescent="0.25">
      <c r="A229" s="489" t="s">
        <v>781</v>
      </c>
      <c r="B229" s="487">
        <v>4810</v>
      </c>
      <c r="C229" s="569">
        <v>0</v>
      </c>
      <c r="D229" s="569">
        <v>0</v>
      </c>
      <c r="E229" s="468"/>
      <c r="F229" s="468"/>
      <c r="G229" s="569">
        <v>0</v>
      </c>
      <c r="H229" s="468"/>
      <c r="I229" s="468"/>
      <c r="J229" s="468"/>
      <c r="K229" s="468"/>
    </row>
    <row r="230" spans="1:11" ht="12.75" customHeight="1" thickTop="1" x14ac:dyDescent="0.2">
      <c r="A230" s="489" t="s">
        <v>368</v>
      </c>
      <c r="B230" s="487">
        <v>4850</v>
      </c>
      <c r="C230" s="485">
        <v>0</v>
      </c>
      <c r="D230" s="485">
        <v>0</v>
      </c>
      <c r="E230" s="485">
        <v>0</v>
      </c>
      <c r="F230" s="485">
        <v>0</v>
      </c>
      <c r="G230" s="485">
        <v>0</v>
      </c>
      <c r="H230" s="485">
        <v>0</v>
      </c>
      <c r="I230" s="468"/>
      <c r="J230" s="485">
        <v>0</v>
      </c>
      <c r="K230" s="485">
        <v>0</v>
      </c>
    </row>
    <row r="231" spans="1:11" ht="12.75" customHeight="1" x14ac:dyDescent="0.2">
      <c r="A231" s="489" t="s">
        <v>369</v>
      </c>
      <c r="B231" s="487">
        <v>4851</v>
      </c>
      <c r="C231" s="485">
        <v>0</v>
      </c>
      <c r="D231" s="485">
        <v>0</v>
      </c>
      <c r="E231" s="468"/>
      <c r="F231" s="485">
        <v>0</v>
      </c>
      <c r="G231" s="485">
        <v>0</v>
      </c>
      <c r="H231" s="468"/>
      <c r="I231" s="468"/>
      <c r="J231" s="468"/>
      <c r="K231" s="468"/>
    </row>
    <row r="232" spans="1:11" ht="12.75" customHeight="1" x14ac:dyDescent="0.2">
      <c r="A232" s="489" t="s">
        <v>370</v>
      </c>
      <c r="B232" s="487">
        <v>4852</v>
      </c>
      <c r="C232" s="485">
        <v>0</v>
      </c>
      <c r="D232" s="485">
        <v>0</v>
      </c>
      <c r="E232" s="485">
        <v>0</v>
      </c>
      <c r="F232" s="485">
        <v>0</v>
      </c>
      <c r="G232" s="485">
        <v>0</v>
      </c>
      <c r="H232" s="485">
        <v>0</v>
      </c>
      <c r="I232" s="468"/>
      <c r="J232" s="485">
        <v>0</v>
      </c>
      <c r="K232" s="485">
        <v>0</v>
      </c>
    </row>
    <row r="233" spans="1:11" ht="12.75" customHeight="1" x14ac:dyDescent="0.2">
      <c r="A233" s="489" t="s">
        <v>371</v>
      </c>
      <c r="B233" s="487">
        <v>4853</v>
      </c>
      <c r="C233" s="485">
        <v>0</v>
      </c>
      <c r="D233" s="485">
        <v>0</v>
      </c>
      <c r="E233" s="485">
        <v>0</v>
      </c>
      <c r="F233" s="485">
        <v>0</v>
      </c>
      <c r="G233" s="485">
        <v>0</v>
      </c>
      <c r="H233" s="485">
        <v>0</v>
      </c>
      <c r="I233" s="468"/>
      <c r="J233" s="485">
        <v>0</v>
      </c>
      <c r="K233" s="485">
        <v>0</v>
      </c>
    </row>
    <row r="234" spans="1:11" ht="12.75" customHeight="1" x14ac:dyDescent="0.2">
      <c r="A234" s="489" t="s">
        <v>372</v>
      </c>
      <c r="B234" s="487">
        <v>4854</v>
      </c>
      <c r="C234" s="485">
        <v>0</v>
      </c>
      <c r="D234" s="485">
        <v>0</v>
      </c>
      <c r="E234" s="485">
        <v>0</v>
      </c>
      <c r="F234" s="485">
        <v>0</v>
      </c>
      <c r="G234" s="485">
        <v>0</v>
      </c>
      <c r="H234" s="485">
        <v>0</v>
      </c>
      <c r="I234" s="468"/>
      <c r="J234" s="485">
        <v>0</v>
      </c>
      <c r="K234" s="485">
        <v>0</v>
      </c>
    </row>
    <row r="235" spans="1:11" ht="12.75" customHeight="1" x14ac:dyDescent="0.2">
      <c r="A235" s="489" t="s">
        <v>484</v>
      </c>
      <c r="B235" s="487">
        <v>4855</v>
      </c>
      <c r="C235" s="485">
        <v>0</v>
      </c>
      <c r="D235" s="485">
        <v>0</v>
      </c>
      <c r="E235" s="485">
        <v>0</v>
      </c>
      <c r="F235" s="485">
        <v>0</v>
      </c>
      <c r="G235" s="485">
        <v>0</v>
      </c>
      <c r="H235" s="485">
        <v>0</v>
      </c>
      <c r="I235" s="468"/>
      <c r="J235" s="485">
        <v>0</v>
      </c>
      <c r="K235" s="485">
        <v>0</v>
      </c>
    </row>
    <row r="236" spans="1:11" ht="12.75" customHeight="1" x14ac:dyDescent="0.2">
      <c r="A236" s="489" t="s">
        <v>373</v>
      </c>
      <c r="B236" s="487">
        <v>4856</v>
      </c>
      <c r="C236" s="485">
        <v>0</v>
      </c>
      <c r="D236" s="485">
        <v>0</v>
      </c>
      <c r="E236" s="485">
        <v>0</v>
      </c>
      <c r="F236" s="485">
        <v>0</v>
      </c>
      <c r="G236" s="485">
        <v>0</v>
      </c>
      <c r="H236" s="485">
        <v>0</v>
      </c>
      <c r="I236" s="468"/>
      <c r="J236" s="485">
        <v>0</v>
      </c>
      <c r="K236" s="485">
        <v>0</v>
      </c>
    </row>
    <row r="237" spans="1:11" ht="12.75" customHeight="1" x14ac:dyDescent="0.2">
      <c r="A237" s="489" t="s">
        <v>374</v>
      </c>
      <c r="B237" s="487">
        <v>4857</v>
      </c>
      <c r="C237" s="485">
        <v>0</v>
      </c>
      <c r="D237" s="485">
        <v>0</v>
      </c>
      <c r="E237" s="485">
        <v>0</v>
      </c>
      <c r="F237" s="485">
        <v>0</v>
      </c>
      <c r="G237" s="485">
        <v>0</v>
      </c>
      <c r="H237" s="485">
        <v>0</v>
      </c>
      <c r="I237" s="468"/>
      <c r="J237" s="485">
        <v>0</v>
      </c>
      <c r="K237" s="485">
        <v>0</v>
      </c>
    </row>
    <row r="238" spans="1:11" ht="12.75" customHeight="1" x14ac:dyDescent="0.2">
      <c r="A238" s="489" t="s">
        <v>375</v>
      </c>
      <c r="B238" s="487">
        <v>4860</v>
      </c>
      <c r="C238" s="485">
        <v>0</v>
      </c>
      <c r="D238" s="485">
        <v>0</v>
      </c>
      <c r="E238" s="485">
        <v>0</v>
      </c>
      <c r="F238" s="485">
        <v>0</v>
      </c>
      <c r="G238" s="485">
        <v>0</v>
      </c>
      <c r="H238" s="485">
        <v>0</v>
      </c>
      <c r="I238" s="468"/>
      <c r="J238" s="485">
        <v>0</v>
      </c>
      <c r="K238" s="485">
        <v>0</v>
      </c>
    </row>
    <row r="239" spans="1:11" ht="12.75" customHeight="1" x14ac:dyDescent="0.2">
      <c r="A239" s="489" t="s">
        <v>376</v>
      </c>
      <c r="B239" s="487">
        <v>4861</v>
      </c>
      <c r="C239" s="485">
        <v>0</v>
      </c>
      <c r="D239" s="485">
        <v>0</v>
      </c>
      <c r="E239" s="485">
        <v>0</v>
      </c>
      <c r="F239" s="485">
        <v>0</v>
      </c>
      <c r="G239" s="485">
        <v>0</v>
      </c>
      <c r="H239" s="485">
        <v>0</v>
      </c>
      <c r="I239" s="468"/>
      <c r="J239" s="485">
        <v>0</v>
      </c>
      <c r="K239" s="485">
        <v>0</v>
      </c>
    </row>
    <row r="240" spans="1:11" ht="12.75" customHeight="1" x14ac:dyDescent="0.2">
      <c r="A240" s="489" t="s">
        <v>377</v>
      </c>
      <c r="B240" s="487">
        <v>4862</v>
      </c>
      <c r="C240" s="485">
        <v>0</v>
      </c>
      <c r="D240" s="485">
        <v>0</v>
      </c>
      <c r="E240" s="473"/>
      <c r="F240" s="485">
        <v>0</v>
      </c>
      <c r="G240" s="485">
        <v>0</v>
      </c>
      <c r="H240" s="473"/>
      <c r="I240" s="468"/>
      <c r="J240" s="473"/>
      <c r="K240" s="473"/>
    </row>
    <row r="241" spans="1:11" ht="12.75" customHeight="1" x14ac:dyDescent="0.2">
      <c r="A241" s="489" t="s">
        <v>378</v>
      </c>
      <c r="B241" s="487">
        <v>4863</v>
      </c>
      <c r="C241" s="485">
        <v>0</v>
      </c>
      <c r="D241" s="485">
        <v>0</v>
      </c>
      <c r="E241" s="468"/>
      <c r="F241" s="473"/>
      <c r="G241" s="522"/>
      <c r="H241" s="468"/>
      <c r="I241" s="468"/>
      <c r="J241" s="468"/>
      <c r="K241" s="468"/>
    </row>
    <row r="242" spans="1:11" ht="12.75" customHeight="1" x14ac:dyDescent="0.2">
      <c r="A242" s="489" t="s">
        <v>489</v>
      </c>
      <c r="B242" s="487">
        <v>4864</v>
      </c>
      <c r="C242" s="485">
        <v>0</v>
      </c>
      <c r="D242" s="485">
        <v>0</v>
      </c>
      <c r="E242" s="485">
        <v>0</v>
      </c>
      <c r="F242" s="485">
        <v>0</v>
      </c>
      <c r="G242" s="485">
        <v>0</v>
      </c>
      <c r="H242" s="485">
        <v>0</v>
      </c>
      <c r="I242" s="468"/>
      <c r="J242" s="485">
        <v>0</v>
      </c>
      <c r="K242" s="485">
        <v>0</v>
      </c>
    </row>
    <row r="243" spans="1:11" ht="12.75" customHeight="1" x14ac:dyDescent="0.2">
      <c r="A243" s="489" t="s">
        <v>490</v>
      </c>
      <c r="B243" s="487">
        <v>4865</v>
      </c>
      <c r="C243" s="485">
        <v>0</v>
      </c>
      <c r="D243" s="485">
        <v>0</v>
      </c>
      <c r="E243" s="485">
        <v>0</v>
      </c>
      <c r="F243" s="485">
        <v>0</v>
      </c>
      <c r="G243" s="485">
        <v>0</v>
      </c>
      <c r="H243" s="485">
        <v>0</v>
      </c>
      <c r="I243" s="468"/>
      <c r="J243" s="485">
        <v>0</v>
      </c>
      <c r="K243" s="485">
        <v>0</v>
      </c>
    </row>
    <row r="244" spans="1:11" ht="12.75" customHeight="1" x14ac:dyDescent="0.2">
      <c r="A244" s="489" t="s">
        <v>488</v>
      </c>
      <c r="B244" s="487">
        <v>4866</v>
      </c>
      <c r="C244" s="485">
        <v>0</v>
      </c>
      <c r="D244" s="485">
        <v>0</v>
      </c>
      <c r="E244" s="485">
        <v>0</v>
      </c>
      <c r="F244" s="485">
        <v>0</v>
      </c>
      <c r="G244" s="485">
        <v>0</v>
      </c>
      <c r="H244" s="485">
        <v>0</v>
      </c>
      <c r="I244" s="468"/>
      <c r="J244" s="485">
        <v>0</v>
      </c>
      <c r="K244" s="485">
        <v>0</v>
      </c>
    </row>
    <row r="245" spans="1:11" ht="12.75" customHeight="1" x14ac:dyDescent="0.2">
      <c r="A245" s="489" t="s">
        <v>487</v>
      </c>
      <c r="B245" s="487">
        <v>4867</v>
      </c>
      <c r="C245" s="485">
        <v>0</v>
      </c>
      <c r="D245" s="485">
        <v>0</v>
      </c>
      <c r="E245" s="485">
        <v>0</v>
      </c>
      <c r="F245" s="485">
        <v>0</v>
      </c>
      <c r="G245" s="485">
        <v>0</v>
      </c>
      <c r="H245" s="485">
        <v>0</v>
      </c>
      <c r="I245" s="468"/>
      <c r="J245" s="485">
        <v>0</v>
      </c>
      <c r="K245" s="485">
        <v>0</v>
      </c>
    </row>
    <row r="246" spans="1:11" ht="12.75" customHeight="1" x14ac:dyDescent="0.2">
      <c r="A246" s="489" t="s">
        <v>486</v>
      </c>
      <c r="B246" s="487">
        <v>4868</v>
      </c>
      <c r="C246" s="485">
        <v>0</v>
      </c>
      <c r="D246" s="485">
        <v>0</v>
      </c>
      <c r="E246" s="485">
        <v>0</v>
      </c>
      <c r="F246" s="485">
        <v>0</v>
      </c>
      <c r="G246" s="485">
        <v>0</v>
      </c>
      <c r="H246" s="485">
        <v>0</v>
      </c>
      <c r="I246" s="468"/>
      <c r="J246" s="485">
        <v>0</v>
      </c>
      <c r="K246" s="485">
        <v>0</v>
      </c>
    </row>
    <row r="247" spans="1:11" ht="12.75" customHeight="1" x14ac:dyDescent="0.2">
      <c r="A247" s="489" t="s">
        <v>485</v>
      </c>
      <c r="B247" s="487">
        <v>4869</v>
      </c>
      <c r="C247" s="485">
        <v>0</v>
      </c>
      <c r="D247" s="485">
        <v>0</v>
      </c>
      <c r="E247" s="485">
        <v>0</v>
      </c>
      <c r="F247" s="485">
        <v>0</v>
      </c>
      <c r="G247" s="485">
        <v>0</v>
      </c>
      <c r="H247" s="485">
        <v>0</v>
      </c>
      <c r="I247" s="468"/>
      <c r="J247" s="485">
        <v>0</v>
      </c>
      <c r="K247" s="485">
        <v>0</v>
      </c>
    </row>
    <row r="248" spans="1:11" ht="12.75" customHeight="1" x14ac:dyDescent="0.2">
      <c r="A248" s="489" t="s">
        <v>1190</v>
      </c>
      <c r="B248" s="487">
        <v>4870</v>
      </c>
      <c r="C248" s="485">
        <v>0</v>
      </c>
      <c r="D248" s="485">
        <v>0</v>
      </c>
      <c r="E248" s="485">
        <v>0</v>
      </c>
      <c r="F248" s="485">
        <v>0</v>
      </c>
      <c r="G248" s="485">
        <v>0</v>
      </c>
      <c r="H248" s="485">
        <v>0</v>
      </c>
      <c r="I248" s="468"/>
      <c r="J248" s="485">
        <v>0</v>
      </c>
      <c r="K248" s="485">
        <v>0</v>
      </c>
    </row>
    <row r="249" spans="1:11" ht="12.75" customHeight="1" x14ac:dyDescent="0.2">
      <c r="A249" s="489" t="s">
        <v>821</v>
      </c>
      <c r="B249" s="487">
        <v>4871</v>
      </c>
      <c r="C249" s="485">
        <v>0</v>
      </c>
      <c r="D249" s="485">
        <v>0</v>
      </c>
      <c r="E249" s="485">
        <v>0</v>
      </c>
      <c r="F249" s="485">
        <v>0</v>
      </c>
      <c r="G249" s="485">
        <v>0</v>
      </c>
      <c r="H249" s="485">
        <v>0</v>
      </c>
      <c r="I249" s="468"/>
      <c r="J249" s="485">
        <v>0</v>
      </c>
      <c r="K249" s="485">
        <v>0</v>
      </c>
    </row>
    <row r="250" spans="1:11" ht="12.75" customHeight="1" x14ac:dyDescent="0.2">
      <c r="A250" s="489" t="s">
        <v>822</v>
      </c>
      <c r="B250" s="487">
        <v>4872</v>
      </c>
      <c r="C250" s="485">
        <v>0</v>
      </c>
      <c r="D250" s="485">
        <v>0</v>
      </c>
      <c r="E250" s="485">
        <v>0</v>
      </c>
      <c r="F250" s="485">
        <v>0</v>
      </c>
      <c r="G250" s="485">
        <v>0</v>
      </c>
      <c r="H250" s="485">
        <v>0</v>
      </c>
      <c r="I250" s="468"/>
      <c r="J250" s="485">
        <v>0</v>
      </c>
      <c r="K250" s="485">
        <v>0</v>
      </c>
    </row>
    <row r="251" spans="1:11" ht="12.75" customHeight="1" x14ac:dyDescent="0.2">
      <c r="A251" s="489" t="s">
        <v>823</v>
      </c>
      <c r="B251" s="487">
        <v>4873</v>
      </c>
      <c r="C251" s="485">
        <v>0</v>
      </c>
      <c r="D251" s="485">
        <v>0</v>
      </c>
      <c r="E251" s="485">
        <v>0</v>
      </c>
      <c r="F251" s="485">
        <v>0</v>
      </c>
      <c r="G251" s="485">
        <v>0</v>
      </c>
      <c r="H251" s="485">
        <v>0</v>
      </c>
      <c r="I251" s="468"/>
      <c r="J251" s="485">
        <v>0</v>
      </c>
      <c r="K251" s="485">
        <v>0</v>
      </c>
    </row>
    <row r="252" spans="1:11" ht="12.75" customHeight="1" x14ac:dyDescent="0.2">
      <c r="A252" s="489" t="s">
        <v>824</v>
      </c>
      <c r="B252" s="487">
        <v>4874</v>
      </c>
      <c r="C252" s="485">
        <v>0</v>
      </c>
      <c r="D252" s="485">
        <v>0</v>
      </c>
      <c r="E252" s="485">
        <v>0</v>
      </c>
      <c r="F252" s="485">
        <v>0</v>
      </c>
      <c r="G252" s="485">
        <v>0</v>
      </c>
      <c r="H252" s="485">
        <v>0</v>
      </c>
      <c r="I252" s="468"/>
      <c r="J252" s="485">
        <v>0</v>
      </c>
      <c r="K252" s="485">
        <v>0</v>
      </c>
    </row>
    <row r="253" spans="1:11" ht="12.75" customHeight="1" x14ac:dyDescent="0.2">
      <c r="A253" s="489" t="s">
        <v>491</v>
      </c>
      <c r="B253" s="487">
        <v>4875</v>
      </c>
      <c r="C253" s="485">
        <v>0</v>
      </c>
      <c r="D253" s="485">
        <v>0</v>
      </c>
      <c r="E253" s="485">
        <v>0</v>
      </c>
      <c r="F253" s="485">
        <v>0</v>
      </c>
      <c r="G253" s="485">
        <v>0</v>
      </c>
      <c r="H253" s="485">
        <v>0</v>
      </c>
      <c r="I253" s="468"/>
      <c r="J253" s="485">
        <v>0</v>
      </c>
      <c r="K253" s="485">
        <v>0</v>
      </c>
    </row>
    <row r="254" spans="1:11" ht="12.75" customHeight="1" x14ac:dyDescent="0.2">
      <c r="A254" s="489" t="s">
        <v>794</v>
      </c>
      <c r="B254" s="487">
        <v>4876</v>
      </c>
      <c r="C254" s="485">
        <v>0</v>
      </c>
      <c r="D254" s="485">
        <v>0</v>
      </c>
      <c r="E254" s="485">
        <v>0</v>
      </c>
      <c r="F254" s="485">
        <v>0</v>
      </c>
      <c r="G254" s="485">
        <v>0</v>
      </c>
      <c r="H254" s="485">
        <v>0</v>
      </c>
      <c r="I254" s="468"/>
      <c r="J254" s="485">
        <v>0</v>
      </c>
      <c r="K254" s="485">
        <v>0</v>
      </c>
    </row>
    <row r="255" spans="1:11" ht="12.75" customHeight="1" x14ac:dyDescent="0.2">
      <c r="A255" s="489" t="s">
        <v>795</v>
      </c>
      <c r="B255" s="487">
        <v>4877</v>
      </c>
      <c r="C255" s="485">
        <v>0</v>
      </c>
      <c r="D255" s="485">
        <v>0</v>
      </c>
      <c r="E255" s="485">
        <v>0</v>
      </c>
      <c r="F255" s="485">
        <v>0</v>
      </c>
      <c r="G255" s="485">
        <v>0</v>
      </c>
      <c r="H255" s="485">
        <v>0</v>
      </c>
      <c r="I255" s="468"/>
      <c r="J255" s="485">
        <v>0</v>
      </c>
      <c r="K255" s="485">
        <v>0</v>
      </c>
    </row>
    <row r="256" spans="1:11" ht="12.75" customHeight="1" x14ac:dyDescent="0.2">
      <c r="A256" s="489" t="s">
        <v>796</v>
      </c>
      <c r="B256" s="487">
        <v>4878</v>
      </c>
      <c r="C256" s="485">
        <v>0</v>
      </c>
      <c r="D256" s="485">
        <v>0</v>
      </c>
      <c r="E256" s="485">
        <v>0</v>
      </c>
      <c r="F256" s="485">
        <v>0</v>
      </c>
      <c r="G256" s="485">
        <v>0</v>
      </c>
      <c r="H256" s="485">
        <v>0</v>
      </c>
      <c r="I256" s="468"/>
      <c r="J256" s="485">
        <v>0</v>
      </c>
      <c r="K256" s="485">
        <v>0</v>
      </c>
    </row>
    <row r="257" spans="1:11" ht="12.75" customHeight="1" x14ac:dyDescent="0.2">
      <c r="A257" s="489" t="s">
        <v>797</v>
      </c>
      <c r="B257" s="487">
        <v>4879</v>
      </c>
      <c r="C257" s="485">
        <v>0</v>
      </c>
      <c r="D257" s="485">
        <v>0</v>
      </c>
      <c r="E257" s="485">
        <v>0</v>
      </c>
      <c r="F257" s="485">
        <v>0</v>
      </c>
      <c r="G257" s="485">
        <v>0</v>
      </c>
      <c r="H257" s="485">
        <v>0</v>
      </c>
      <c r="I257" s="468"/>
      <c r="J257" s="485">
        <v>0</v>
      </c>
      <c r="K257" s="485">
        <v>0</v>
      </c>
    </row>
    <row r="258" spans="1:11" ht="12.75" customHeight="1" x14ac:dyDescent="0.2">
      <c r="A258" s="225" t="s">
        <v>1530</v>
      </c>
      <c r="B258" s="580">
        <v>4880</v>
      </c>
      <c r="C258" s="485">
        <v>0</v>
      </c>
      <c r="D258" s="485">
        <v>0</v>
      </c>
      <c r="E258" s="485">
        <v>0</v>
      </c>
      <c r="F258" s="485">
        <v>0</v>
      </c>
      <c r="G258" s="485">
        <v>0</v>
      </c>
      <c r="H258" s="485">
        <v>0</v>
      </c>
      <c r="I258" s="468"/>
      <c r="J258" s="485">
        <v>0</v>
      </c>
      <c r="K258" s="485">
        <v>0</v>
      </c>
    </row>
    <row r="259" spans="1:11" ht="12.75" customHeight="1" thickBot="1" x14ac:dyDescent="0.25">
      <c r="A259" s="1736" t="s">
        <v>798</v>
      </c>
      <c r="B259" s="1737"/>
      <c r="C259" s="1729">
        <f t="shared" ref="C259:H259" si="9">SUM(C230:C258)</f>
        <v>0</v>
      </c>
      <c r="D259" s="1718">
        <f t="shared" si="9"/>
        <v>0</v>
      </c>
      <c r="E259" s="1718">
        <f t="shared" si="9"/>
        <v>0</v>
      </c>
      <c r="F259" s="1718">
        <f t="shared" si="9"/>
        <v>0</v>
      </c>
      <c r="G259" s="1718">
        <f t="shared" si="9"/>
        <v>0</v>
      </c>
      <c r="H259" s="1718">
        <f t="shared" si="9"/>
        <v>0</v>
      </c>
      <c r="I259" s="548"/>
      <c r="J259" s="1718">
        <f>SUM(J230:J258)</f>
        <v>0</v>
      </c>
      <c r="K259" s="1699">
        <f>SUM(K230:K258)</f>
        <v>0</v>
      </c>
    </row>
    <row r="260" spans="1:11" ht="12.75" customHeight="1" thickTop="1" thickBot="1" x14ac:dyDescent="0.25">
      <c r="A260" s="1513" t="s">
        <v>1493</v>
      </c>
      <c r="B260" s="581">
        <v>4901</v>
      </c>
      <c r="C260" s="582">
        <v>0</v>
      </c>
      <c r="D260" s="469"/>
      <c r="E260" s="468"/>
      <c r="F260" s="468"/>
      <c r="G260" s="468"/>
      <c r="H260" s="468"/>
      <c r="I260" s="468"/>
      <c r="J260" s="468"/>
      <c r="K260" s="468"/>
    </row>
    <row r="261" spans="1:11" ht="12.75" customHeight="1" thickTop="1" thickBot="1" x14ac:dyDescent="0.25">
      <c r="A261" s="1514" t="s">
        <v>1538</v>
      </c>
      <c r="B261" s="583">
        <v>4902</v>
      </c>
      <c r="C261" s="582">
        <v>0</v>
      </c>
      <c r="D261" s="584">
        <v>0</v>
      </c>
      <c r="E261" s="469"/>
      <c r="F261" s="584">
        <v>0</v>
      </c>
      <c r="G261" s="584">
        <v>0</v>
      </c>
      <c r="H261" s="469"/>
      <c r="I261" s="468"/>
      <c r="J261" s="469"/>
      <c r="K261" s="469"/>
    </row>
    <row r="262" spans="1:11" ht="12.75" customHeight="1" thickTop="1" thickBot="1" x14ac:dyDescent="0.25">
      <c r="A262" s="489" t="s">
        <v>1146</v>
      </c>
      <c r="B262" s="487">
        <v>4904</v>
      </c>
      <c r="C262" s="582">
        <v>0</v>
      </c>
      <c r="D262" s="582">
        <v>0</v>
      </c>
      <c r="E262" s="469"/>
      <c r="F262" s="548"/>
      <c r="G262" s="582">
        <v>0</v>
      </c>
      <c r="H262" s="469"/>
      <c r="I262" s="468"/>
      <c r="J262" s="468"/>
      <c r="K262" s="468"/>
    </row>
    <row r="263" spans="1:11" ht="12.75" customHeight="1" thickTop="1" thickBot="1" x14ac:dyDescent="0.25">
      <c r="A263" s="463" t="s">
        <v>1531</v>
      </c>
      <c r="B263" s="470">
        <v>4905</v>
      </c>
      <c r="C263" s="582">
        <v>0</v>
      </c>
      <c r="D263" s="468"/>
      <c r="E263" s="468"/>
      <c r="F263" s="572">
        <v>0</v>
      </c>
      <c r="G263" s="582">
        <v>0</v>
      </c>
      <c r="H263" s="468"/>
      <c r="I263" s="468"/>
      <c r="J263" s="468"/>
      <c r="K263" s="468"/>
    </row>
    <row r="264" spans="1:11" ht="12.75" customHeight="1" thickTop="1" thickBot="1" x14ac:dyDescent="0.25">
      <c r="A264" s="463" t="s">
        <v>1532</v>
      </c>
      <c r="B264" s="470">
        <v>4909</v>
      </c>
      <c r="C264" s="582">
        <v>0</v>
      </c>
      <c r="D264" s="468"/>
      <c r="E264" s="468"/>
      <c r="F264" s="582">
        <v>0</v>
      </c>
      <c r="G264" s="582">
        <v>0</v>
      </c>
      <c r="H264" s="468"/>
      <c r="I264" s="468"/>
      <c r="J264" s="468"/>
      <c r="K264" s="468"/>
    </row>
    <row r="265" spans="1:11" ht="12.75" customHeight="1" thickTop="1" thickBot="1" x14ac:dyDescent="0.25">
      <c r="A265" s="463" t="s">
        <v>945</v>
      </c>
      <c r="B265" s="470">
        <v>4910</v>
      </c>
      <c r="C265" s="582">
        <v>0</v>
      </c>
      <c r="D265" s="468"/>
      <c r="E265" s="468"/>
      <c r="F265" s="582">
        <v>0</v>
      </c>
      <c r="G265" s="582">
        <v>0</v>
      </c>
      <c r="H265" s="468"/>
      <c r="I265" s="468"/>
      <c r="J265" s="468"/>
      <c r="K265" s="468"/>
    </row>
    <row r="266" spans="1:11" ht="12.75" customHeight="1" thickTop="1" thickBot="1" x14ac:dyDescent="0.25">
      <c r="A266" s="463" t="s">
        <v>202</v>
      </c>
      <c r="B266" s="470">
        <v>4920</v>
      </c>
      <c r="C266" s="582">
        <v>0</v>
      </c>
      <c r="D266" s="572">
        <v>0</v>
      </c>
      <c r="E266" s="468"/>
      <c r="F266" s="582">
        <v>0</v>
      </c>
      <c r="G266" s="582">
        <v>0</v>
      </c>
      <c r="H266" s="468"/>
      <c r="I266" s="468"/>
      <c r="J266" s="468"/>
      <c r="K266" s="468"/>
    </row>
    <row r="267" spans="1:11" ht="12.75" customHeight="1" thickTop="1" thickBot="1" x14ac:dyDescent="0.25">
      <c r="A267" s="463" t="s">
        <v>441</v>
      </c>
      <c r="B267" s="470">
        <v>4930</v>
      </c>
      <c r="C267" s="582">
        <v>0</v>
      </c>
      <c r="D267" s="582">
        <v>0</v>
      </c>
      <c r="E267" s="468"/>
      <c r="F267" s="582">
        <v>0</v>
      </c>
      <c r="G267" s="582">
        <v>0</v>
      </c>
      <c r="H267" s="468"/>
      <c r="I267" s="468"/>
      <c r="J267" s="468"/>
      <c r="K267" s="468"/>
    </row>
    <row r="268" spans="1:11" ht="12.75" customHeight="1" thickTop="1" thickBot="1" x14ac:dyDescent="0.25">
      <c r="A268" s="463" t="s">
        <v>782</v>
      </c>
      <c r="B268" s="470">
        <v>4932</v>
      </c>
      <c r="C268" s="582">
        <v>21807</v>
      </c>
      <c r="D268" s="582">
        <v>0</v>
      </c>
      <c r="E268" s="468"/>
      <c r="F268" s="582">
        <v>0</v>
      </c>
      <c r="G268" s="582">
        <v>0</v>
      </c>
      <c r="H268" s="468"/>
      <c r="I268" s="468"/>
      <c r="J268" s="468"/>
      <c r="K268" s="468"/>
    </row>
    <row r="269" spans="1:11" ht="12.75" customHeight="1" thickTop="1" thickBot="1" x14ac:dyDescent="0.25">
      <c r="A269" s="463" t="s">
        <v>946</v>
      </c>
      <c r="B269" s="470">
        <v>4960</v>
      </c>
      <c r="C269" s="582">
        <v>0</v>
      </c>
      <c r="D269" s="582">
        <v>0</v>
      </c>
      <c r="E269" s="468"/>
      <c r="F269" s="582">
        <v>0</v>
      </c>
      <c r="G269" s="582">
        <v>0</v>
      </c>
      <c r="H269" s="468"/>
      <c r="I269" s="468"/>
      <c r="J269" s="468"/>
      <c r="K269" s="468"/>
    </row>
    <row r="270" spans="1:11" ht="12.75" customHeight="1" thickTop="1" thickBot="1" x14ac:dyDescent="0.25">
      <c r="A270" s="463" t="s">
        <v>589</v>
      </c>
      <c r="B270" s="470">
        <v>4991</v>
      </c>
      <c r="C270" s="582">
        <v>14188</v>
      </c>
      <c r="D270" s="582">
        <v>0</v>
      </c>
      <c r="E270" s="468"/>
      <c r="F270" s="582">
        <v>0</v>
      </c>
      <c r="G270" s="582">
        <v>0</v>
      </c>
      <c r="H270" s="468"/>
      <c r="I270" s="468"/>
      <c r="J270" s="468"/>
      <c r="K270" s="468"/>
    </row>
    <row r="271" spans="1:11" ht="12.75" customHeight="1" thickTop="1" thickBot="1" x14ac:dyDescent="0.25">
      <c r="A271" s="463" t="s">
        <v>395</v>
      </c>
      <c r="B271" s="470">
        <v>4992</v>
      </c>
      <c r="C271" s="582">
        <v>22943</v>
      </c>
      <c r="D271" s="582">
        <v>0</v>
      </c>
      <c r="E271" s="468"/>
      <c r="F271" s="582">
        <v>0</v>
      </c>
      <c r="G271" s="582">
        <v>0</v>
      </c>
      <c r="H271" s="468"/>
      <c r="I271" s="468"/>
      <c r="J271" s="468"/>
      <c r="K271" s="468"/>
    </row>
    <row r="272" spans="1:11" s="585" customFormat="1" ht="12.75" customHeight="1" thickTop="1" thickBot="1" x14ac:dyDescent="0.25">
      <c r="A272" s="557" t="s">
        <v>77</v>
      </c>
      <c r="B272" s="552">
        <v>4999</v>
      </c>
      <c r="C272" s="582">
        <v>0</v>
      </c>
      <c r="D272" s="582">
        <v>0</v>
      </c>
      <c r="E272" s="468"/>
      <c r="F272" s="582">
        <v>0</v>
      </c>
      <c r="G272" s="582">
        <v>0</v>
      </c>
      <c r="H272" s="526">
        <v>0</v>
      </c>
      <c r="I272" s="468"/>
      <c r="J272" s="468"/>
      <c r="K272" s="526">
        <v>0</v>
      </c>
    </row>
    <row r="273" spans="1:11" ht="14.25" thickTop="1" thickBot="1" x14ac:dyDescent="0.25">
      <c r="A273" s="1719" t="s">
        <v>1765</v>
      </c>
      <c r="B273" s="1738"/>
      <c r="C273" s="1726">
        <f t="shared" ref="C273:H273" si="10">SUM(C191,C201,C211,C216,C224,C228,C229,C259:C272)</f>
        <v>391598</v>
      </c>
      <c r="D273" s="1726">
        <f t="shared" si="10"/>
        <v>0</v>
      </c>
      <c r="E273" s="1726">
        <f t="shared" si="10"/>
        <v>0</v>
      </c>
      <c r="F273" s="1726">
        <f t="shared" si="10"/>
        <v>0</v>
      </c>
      <c r="G273" s="1726">
        <f t="shared" si="10"/>
        <v>0</v>
      </c>
      <c r="H273" s="1726">
        <f t="shared" si="10"/>
        <v>0</v>
      </c>
      <c r="I273" s="468"/>
      <c r="J273" s="1726">
        <f>SUM(J191,J201,J211,J216,J224,J228,J229,J259:J272)</f>
        <v>0</v>
      </c>
      <c r="K273" s="1713">
        <f>SUM(K191,K201,K211,K216,K224,K228,K229,K259:K272)</f>
        <v>0</v>
      </c>
    </row>
    <row r="274" spans="1:11" ht="14.25" thickTop="1" thickBot="1" x14ac:dyDescent="0.25">
      <c r="A274" s="1739" t="s">
        <v>1147</v>
      </c>
      <c r="B274" s="1740" t="s">
        <v>915</v>
      </c>
      <c r="C274" s="1726">
        <f>SUM(C178,C184,C273)</f>
        <v>391598</v>
      </c>
      <c r="D274" s="1726">
        <f>SUM(D178,D184,D273)</f>
        <v>0</v>
      </c>
      <c r="E274" s="1726">
        <f>SUM(E178,E273)</f>
        <v>0</v>
      </c>
      <c r="F274" s="1726">
        <f t="shared" ref="F274:K274" si="11">SUM(F178,F184,F273)</f>
        <v>0</v>
      </c>
      <c r="G274" s="1726">
        <f t="shared" si="11"/>
        <v>0</v>
      </c>
      <c r="H274" s="1726">
        <f t="shared" si="11"/>
        <v>0</v>
      </c>
      <c r="I274" s="1726">
        <f t="shared" si="11"/>
        <v>0</v>
      </c>
      <c r="J274" s="1726">
        <f t="shared" si="11"/>
        <v>0</v>
      </c>
      <c r="K274" s="1713">
        <f t="shared" si="11"/>
        <v>0</v>
      </c>
    </row>
    <row r="275" spans="1:11" ht="14.25" thickTop="1" thickBot="1" x14ac:dyDescent="0.25">
      <c r="A275" s="1741" t="s">
        <v>269</v>
      </c>
      <c r="B275" s="1742"/>
      <c r="C275" s="1726">
        <f t="shared" ref="C275:K275" si="12">SUM(C109,C114,C173,C274)</f>
        <v>10108329</v>
      </c>
      <c r="D275" s="1726">
        <f t="shared" si="12"/>
        <v>739703</v>
      </c>
      <c r="E275" s="1726">
        <f t="shared" si="12"/>
        <v>1241842</v>
      </c>
      <c r="F275" s="1726">
        <f t="shared" si="12"/>
        <v>628969</v>
      </c>
      <c r="G275" s="1726">
        <f t="shared" si="12"/>
        <v>439448</v>
      </c>
      <c r="H275" s="1726">
        <f t="shared" si="12"/>
        <v>0</v>
      </c>
      <c r="I275" s="1726">
        <f t="shared" si="12"/>
        <v>19669</v>
      </c>
      <c r="J275" s="1726">
        <f t="shared" si="12"/>
        <v>80979</v>
      </c>
      <c r="K275" s="1713">
        <f t="shared" si="12"/>
        <v>2415</v>
      </c>
    </row>
    <row r="276" spans="1:11" ht="13.5" thickTop="1" x14ac:dyDescent="0.2">
      <c r="C276" s="588"/>
      <c r="D276" s="588"/>
      <c r="E276" s="588"/>
      <c r="F276" s="588"/>
      <c r="G276" s="588"/>
      <c r="H276" s="588"/>
      <c r="I276" s="588"/>
      <c r="J276" s="588"/>
      <c r="K276" s="588"/>
    </row>
    <row r="277" spans="1:11" x14ac:dyDescent="0.2">
      <c r="C277" s="588"/>
      <c r="D277" s="588"/>
      <c r="E277" s="588"/>
      <c r="F277" s="588"/>
      <c r="G277" s="588"/>
      <c r="H277" s="588"/>
      <c r="I277" s="588"/>
      <c r="J277" s="588"/>
      <c r="K277" s="588"/>
    </row>
    <row r="278" spans="1:11" x14ac:dyDescent="0.2">
      <c r="C278" s="588"/>
      <c r="D278" s="588"/>
      <c r="E278" s="588"/>
      <c r="F278" s="588"/>
      <c r="G278" s="588"/>
      <c r="H278" s="588"/>
      <c r="I278" s="588"/>
      <c r="J278" s="588"/>
      <c r="K278" s="588"/>
    </row>
    <row r="279" spans="1:11" x14ac:dyDescent="0.2">
      <c r="C279" s="588"/>
      <c r="D279" s="588"/>
      <c r="E279" s="588"/>
      <c r="F279" s="588"/>
      <c r="G279" s="588"/>
      <c r="H279" s="588"/>
      <c r="I279" s="588"/>
      <c r="J279" s="588"/>
      <c r="K279" s="588"/>
    </row>
    <row r="280" spans="1:11" x14ac:dyDescent="0.2">
      <c r="C280" s="588"/>
      <c r="D280" s="588"/>
      <c r="E280" s="588"/>
      <c r="F280" s="588"/>
      <c r="G280" s="588"/>
      <c r="H280" s="588"/>
      <c r="I280" s="588"/>
      <c r="J280" s="588"/>
      <c r="K280" s="588"/>
    </row>
    <row r="281" spans="1:11" x14ac:dyDescent="0.2">
      <c r="C281" s="588"/>
      <c r="D281" s="588"/>
      <c r="E281" s="588"/>
      <c r="F281" s="588"/>
      <c r="G281" s="588"/>
      <c r="H281" s="588"/>
      <c r="I281" s="588"/>
      <c r="J281" s="588"/>
      <c r="K281" s="588"/>
    </row>
    <row r="282" spans="1:11" s="329" customFormat="1" x14ac:dyDescent="0.2">
      <c r="A282" s="586"/>
      <c r="B282" s="587"/>
      <c r="C282" s="588"/>
      <c r="D282" s="588"/>
      <c r="E282" s="588"/>
      <c r="F282" s="588"/>
      <c r="G282" s="588"/>
      <c r="H282" s="588"/>
      <c r="I282" s="588"/>
      <c r="J282" s="588"/>
      <c r="K282" s="588"/>
    </row>
    <row r="283" spans="1:11" s="329" customFormat="1" x14ac:dyDescent="0.2">
      <c r="A283" s="586"/>
    </row>
    <row r="284" spans="1:11" s="329" customFormat="1" x14ac:dyDescent="0.2">
      <c r="A284" s="589"/>
    </row>
    <row r="285" spans="1:11" s="329" customFormat="1" x14ac:dyDescent="0.2">
      <c r="A285" s="589"/>
    </row>
    <row r="286" spans="1:11" s="329" customFormat="1" x14ac:dyDescent="0.2">
      <c r="A286" s="589"/>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zoomScaleSheetLayoutView="100" workbookViewId="0">
      <pane ySplit="2" topLeftCell="A243" activePane="bottomLeft" state="frozen"/>
      <selection pane="bottomLeft"/>
    </sheetView>
  </sheetViews>
  <sheetFormatPr defaultColWidth="9.140625" defaultRowHeight="12.75" x14ac:dyDescent="0.2"/>
  <cols>
    <col min="1" max="1" width="48.5703125" style="699" customWidth="1"/>
    <col min="2" max="2" width="5" style="700" customWidth="1"/>
    <col min="3" max="8" width="13.28515625" style="601" customWidth="1"/>
    <col min="9" max="10" width="13.28515625" style="343" customWidth="1"/>
    <col min="11" max="11" width="13.28515625" style="701" customWidth="1"/>
    <col min="12" max="12" width="11.85546875" style="343" customWidth="1"/>
    <col min="13" max="13" width="1.5703125" style="210" customWidth="1"/>
    <col min="14" max="14" width="9.140625" style="210"/>
    <col min="15" max="16384" width="9.140625" style="329"/>
  </cols>
  <sheetData>
    <row r="1" spans="1:14" x14ac:dyDescent="0.2">
      <c r="A1" s="2131" t="s">
        <v>1905</v>
      </c>
      <c r="B1" s="594"/>
      <c r="C1" s="595" t="s">
        <v>799</v>
      </c>
      <c r="D1" s="595" t="s">
        <v>1138</v>
      </c>
      <c r="E1" s="595" t="s">
        <v>1139</v>
      </c>
      <c r="F1" s="595" t="s">
        <v>1140</v>
      </c>
      <c r="G1" s="595" t="s">
        <v>1141</v>
      </c>
      <c r="H1" s="595" t="s">
        <v>1142</v>
      </c>
      <c r="I1" s="595" t="s">
        <v>1143</v>
      </c>
      <c r="J1" s="595" t="s">
        <v>1144</v>
      </c>
      <c r="K1" s="595" t="s">
        <v>270</v>
      </c>
      <c r="L1" s="596"/>
    </row>
    <row r="2" spans="1:14" s="600" customFormat="1" ht="28.5" customHeight="1" x14ac:dyDescent="0.2">
      <c r="A2" s="2165"/>
      <c r="B2" s="597" t="s">
        <v>47</v>
      </c>
      <c r="C2" s="598" t="s">
        <v>203</v>
      </c>
      <c r="D2" s="599" t="s">
        <v>51</v>
      </c>
      <c r="E2" s="599" t="s">
        <v>1162</v>
      </c>
      <c r="F2" s="599" t="s">
        <v>1156</v>
      </c>
      <c r="G2" s="598" t="s">
        <v>1157</v>
      </c>
      <c r="H2" s="598" t="s">
        <v>1158</v>
      </c>
      <c r="I2" s="599" t="s">
        <v>309</v>
      </c>
      <c r="J2" s="599" t="s">
        <v>310</v>
      </c>
      <c r="K2" s="598" t="s">
        <v>158</v>
      </c>
      <c r="L2" s="598" t="s">
        <v>30</v>
      </c>
      <c r="M2" s="257"/>
      <c r="N2" s="257"/>
    </row>
    <row r="3" spans="1:14" s="343" customFormat="1" ht="16.7" customHeight="1" x14ac:dyDescent="0.2">
      <c r="A3" s="2171" t="s">
        <v>315</v>
      </c>
      <c r="B3" s="2172"/>
      <c r="C3" s="1559"/>
      <c r="D3" s="1559"/>
      <c r="E3" s="1559"/>
      <c r="F3" s="1559"/>
      <c r="G3" s="1559"/>
      <c r="H3" s="1559"/>
      <c r="I3" s="1559"/>
      <c r="J3" s="1559"/>
      <c r="K3" s="1560"/>
      <c r="L3" s="1561"/>
      <c r="M3" s="601"/>
      <c r="N3" s="601"/>
    </row>
    <row r="4" spans="1:14" s="259" customFormat="1" ht="15.75" customHeight="1" x14ac:dyDescent="0.2">
      <c r="A4" s="1617" t="s">
        <v>46</v>
      </c>
      <c r="B4" s="1618" t="s">
        <v>591</v>
      </c>
      <c r="C4" s="602"/>
      <c r="D4" s="602"/>
      <c r="E4" s="602"/>
      <c r="F4" s="602"/>
      <c r="G4" s="602"/>
      <c r="H4" s="602"/>
      <c r="I4" s="603"/>
      <c r="J4" s="602"/>
      <c r="K4" s="604"/>
      <c r="L4" s="602"/>
      <c r="M4" s="605"/>
      <c r="N4" s="605"/>
    </row>
    <row r="5" spans="1:14" x14ac:dyDescent="0.2">
      <c r="A5" s="1515" t="s">
        <v>1018</v>
      </c>
      <c r="B5" s="606">
        <v>1100</v>
      </c>
      <c r="C5" s="466">
        <v>3554452</v>
      </c>
      <c r="D5" s="466">
        <v>532280</v>
      </c>
      <c r="E5" s="466">
        <v>0</v>
      </c>
      <c r="F5" s="466">
        <v>125226</v>
      </c>
      <c r="G5" s="466">
        <v>3200</v>
      </c>
      <c r="H5" s="466">
        <v>0</v>
      </c>
      <c r="I5" s="466">
        <v>0</v>
      </c>
      <c r="J5" s="466">
        <v>0</v>
      </c>
      <c r="K5" s="1682">
        <f>SUM(C5:J5)</f>
        <v>4215158</v>
      </c>
      <c r="L5" s="466">
        <v>4720876</v>
      </c>
    </row>
    <row r="6" spans="1:14" x14ac:dyDescent="0.2">
      <c r="A6" s="1515" t="s">
        <v>1508</v>
      </c>
      <c r="B6" s="606" t="s">
        <v>1506</v>
      </c>
      <c r="C6" s="474"/>
      <c r="D6" s="474"/>
      <c r="E6" s="466">
        <v>0</v>
      </c>
      <c r="F6" s="474"/>
      <c r="G6" s="474"/>
      <c r="H6" s="474"/>
      <c r="I6" s="474"/>
      <c r="J6" s="474"/>
      <c r="K6" s="1682">
        <f>SUM(C6,E6)</f>
        <v>0</v>
      </c>
      <c r="L6" s="466">
        <v>0</v>
      </c>
    </row>
    <row r="7" spans="1:14" x14ac:dyDescent="0.2">
      <c r="A7" s="1515" t="s">
        <v>165</v>
      </c>
      <c r="B7" s="606" t="s">
        <v>1024</v>
      </c>
      <c r="C7" s="466">
        <v>0</v>
      </c>
      <c r="D7" s="466">
        <v>0</v>
      </c>
      <c r="E7" s="466">
        <v>0</v>
      </c>
      <c r="F7" s="466">
        <v>0</v>
      </c>
      <c r="G7" s="466">
        <v>0</v>
      </c>
      <c r="H7" s="466">
        <v>0</v>
      </c>
      <c r="I7" s="466">
        <v>0</v>
      </c>
      <c r="J7" s="466">
        <v>0</v>
      </c>
      <c r="K7" s="1682">
        <f t="shared" ref="K7:K32" si="0">SUM(C7:J7)</f>
        <v>0</v>
      </c>
      <c r="L7" s="466">
        <v>0</v>
      </c>
    </row>
    <row r="8" spans="1:14" x14ac:dyDescent="0.2">
      <c r="A8" s="1515" t="s">
        <v>166</v>
      </c>
      <c r="B8" s="606">
        <v>1200</v>
      </c>
      <c r="C8" s="466">
        <v>963702</v>
      </c>
      <c r="D8" s="466">
        <v>277541</v>
      </c>
      <c r="E8" s="466">
        <v>0</v>
      </c>
      <c r="F8" s="466">
        <v>2888</v>
      </c>
      <c r="G8" s="466">
        <v>0</v>
      </c>
      <c r="H8" s="466">
        <v>0</v>
      </c>
      <c r="I8" s="466">
        <v>0</v>
      </c>
      <c r="J8" s="466">
        <v>0</v>
      </c>
      <c r="K8" s="1682">
        <f t="shared" si="0"/>
        <v>1244131</v>
      </c>
      <c r="L8" s="466">
        <v>1264954</v>
      </c>
    </row>
    <row r="9" spans="1:14" x14ac:dyDescent="0.2">
      <c r="A9" s="1515" t="s">
        <v>745</v>
      </c>
      <c r="B9" s="606" t="s">
        <v>1025</v>
      </c>
      <c r="C9" s="466">
        <v>0</v>
      </c>
      <c r="D9" s="466">
        <v>0</v>
      </c>
      <c r="E9" s="466">
        <v>0</v>
      </c>
      <c r="F9" s="466">
        <v>0</v>
      </c>
      <c r="G9" s="466">
        <v>0</v>
      </c>
      <c r="H9" s="466">
        <v>0</v>
      </c>
      <c r="I9" s="466">
        <v>0</v>
      </c>
      <c r="J9" s="466">
        <v>0</v>
      </c>
      <c r="K9" s="1682">
        <f t="shared" si="0"/>
        <v>0</v>
      </c>
      <c r="L9" s="466">
        <v>13210</v>
      </c>
    </row>
    <row r="10" spans="1:14" x14ac:dyDescent="0.2">
      <c r="A10" s="1515" t="s">
        <v>746</v>
      </c>
      <c r="B10" s="606">
        <v>1250</v>
      </c>
      <c r="C10" s="466">
        <v>69978</v>
      </c>
      <c r="D10" s="466">
        <v>20091</v>
      </c>
      <c r="E10" s="466">
        <v>0</v>
      </c>
      <c r="F10" s="466">
        <v>804</v>
      </c>
      <c r="G10" s="466">
        <v>0</v>
      </c>
      <c r="H10" s="466">
        <v>0</v>
      </c>
      <c r="I10" s="466">
        <v>0</v>
      </c>
      <c r="J10" s="466">
        <v>0</v>
      </c>
      <c r="K10" s="1682">
        <f t="shared" si="0"/>
        <v>90873</v>
      </c>
      <c r="L10" s="466">
        <v>82810</v>
      </c>
    </row>
    <row r="11" spans="1:14" x14ac:dyDescent="0.2">
      <c r="A11" s="1515" t="s">
        <v>1192</v>
      </c>
      <c r="B11" s="606" t="s">
        <v>163</v>
      </c>
      <c r="C11" s="466">
        <v>0</v>
      </c>
      <c r="D11" s="466">
        <v>0</v>
      </c>
      <c r="E11" s="466">
        <v>0</v>
      </c>
      <c r="F11" s="466">
        <v>0</v>
      </c>
      <c r="G11" s="466">
        <v>0</v>
      </c>
      <c r="H11" s="466">
        <v>0</v>
      </c>
      <c r="I11" s="466">
        <v>0</v>
      </c>
      <c r="J11" s="466">
        <v>0</v>
      </c>
      <c r="K11" s="1682">
        <f t="shared" si="0"/>
        <v>0</v>
      </c>
      <c r="L11" s="466">
        <v>0</v>
      </c>
    </row>
    <row r="12" spans="1:14" x14ac:dyDescent="0.2">
      <c r="A12" s="1515" t="s">
        <v>1019</v>
      </c>
      <c r="B12" s="606">
        <v>1300</v>
      </c>
      <c r="C12" s="466">
        <v>0</v>
      </c>
      <c r="D12" s="466">
        <v>0</v>
      </c>
      <c r="E12" s="466">
        <v>0</v>
      </c>
      <c r="F12" s="466">
        <v>0</v>
      </c>
      <c r="G12" s="466">
        <v>0</v>
      </c>
      <c r="H12" s="466">
        <v>0</v>
      </c>
      <c r="I12" s="466">
        <v>0</v>
      </c>
      <c r="J12" s="466">
        <v>0</v>
      </c>
      <c r="K12" s="1682">
        <f t="shared" si="0"/>
        <v>0</v>
      </c>
      <c r="L12" s="466">
        <v>0</v>
      </c>
    </row>
    <row r="13" spans="1:14" x14ac:dyDescent="0.2">
      <c r="A13" s="1515" t="s">
        <v>747</v>
      </c>
      <c r="B13" s="606">
        <v>1400</v>
      </c>
      <c r="C13" s="466">
        <v>0</v>
      </c>
      <c r="D13" s="466">
        <v>0</v>
      </c>
      <c r="E13" s="466">
        <v>0</v>
      </c>
      <c r="F13" s="466">
        <v>0</v>
      </c>
      <c r="G13" s="466">
        <v>0</v>
      </c>
      <c r="H13" s="466">
        <v>0</v>
      </c>
      <c r="I13" s="466">
        <v>0</v>
      </c>
      <c r="J13" s="466">
        <v>0</v>
      </c>
      <c r="K13" s="1682">
        <f t="shared" si="0"/>
        <v>0</v>
      </c>
      <c r="L13" s="466">
        <v>0</v>
      </c>
    </row>
    <row r="14" spans="1:14" x14ac:dyDescent="0.2">
      <c r="A14" s="1515" t="s">
        <v>1020</v>
      </c>
      <c r="B14" s="606">
        <v>1500</v>
      </c>
      <c r="C14" s="466">
        <v>0</v>
      </c>
      <c r="D14" s="466">
        <v>0</v>
      </c>
      <c r="E14" s="466">
        <v>5319</v>
      </c>
      <c r="F14" s="466">
        <v>0</v>
      </c>
      <c r="G14" s="466">
        <v>0</v>
      </c>
      <c r="H14" s="466">
        <v>0</v>
      </c>
      <c r="I14" s="466">
        <v>0</v>
      </c>
      <c r="J14" s="466">
        <v>0</v>
      </c>
      <c r="K14" s="1682">
        <f t="shared" si="0"/>
        <v>5319</v>
      </c>
      <c r="L14" s="466">
        <v>6750</v>
      </c>
    </row>
    <row r="15" spans="1:14" x14ac:dyDescent="0.2">
      <c r="A15" s="1515" t="s">
        <v>1021</v>
      </c>
      <c r="B15" s="606">
        <v>1600</v>
      </c>
      <c r="C15" s="466">
        <v>33214</v>
      </c>
      <c r="D15" s="466">
        <v>24</v>
      </c>
      <c r="E15" s="466">
        <v>0</v>
      </c>
      <c r="F15" s="466">
        <v>0</v>
      </c>
      <c r="G15" s="466">
        <v>0</v>
      </c>
      <c r="H15" s="466">
        <v>0</v>
      </c>
      <c r="I15" s="466">
        <v>0</v>
      </c>
      <c r="J15" s="466">
        <v>0</v>
      </c>
      <c r="K15" s="1682">
        <f t="shared" si="0"/>
        <v>33238</v>
      </c>
      <c r="L15" s="466">
        <v>22045</v>
      </c>
    </row>
    <row r="16" spans="1:14" x14ac:dyDescent="0.2">
      <c r="A16" s="1515" t="s">
        <v>1044</v>
      </c>
      <c r="B16" s="606" t="s">
        <v>444</v>
      </c>
      <c r="C16" s="466">
        <v>0</v>
      </c>
      <c r="D16" s="466">
        <v>0</v>
      </c>
      <c r="E16" s="466">
        <v>0</v>
      </c>
      <c r="F16" s="466">
        <v>3013</v>
      </c>
      <c r="G16" s="466">
        <v>0</v>
      </c>
      <c r="H16" s="466">
        <v>0</v>
      </c>
      <c r="I16" s="466">
        <v>0</v>
      </c>
      <c r="J16" s="466">
        <v>0</v>
      </c>
      <c r="K16" s="1682">
        <f t="shared" si="0"/>
        <v>3013</v>
      </c>
      <c r="L16" s="466">
        <v>3285</v>
      </c>
    </row>
    <row r="17" spans="1:12" x14ac:dyDescent="0.2">
      <c r="A17" s="1515" t="s">
        <v>748</v>
      </c>
      <c r="B17" s="606" t="s">
        <v>164</v>
      </c>
      <c r="C17" s="466">
        <v>0</v>
      </c>
      <c r="D17" s="466">
        <v>0</v>
      </c>
      <c r="E17" s="466">
        <v>0</v>
      </c>
      <c r="F17" s="466">
        <v>0</v>
      </c>
      <c r="G17" s="466">
        <v>0</v>
      </c>
      <c r="H17" s="466">
        <v>0</v>
      </c>
      <c r="I17" s="466">
        <v>0</v>
      </c>
      <c r="J17" s="466">
        <v>0</v>
      </c>
      <c r="K17" s="1682">
        <f t="shared" si="0"/>
        <v>0</v>
      </c>
      <c r="L17" s="466">
        <v>0</v>
      </c>
    </row>
    <row r="18" spans="1:12" x14ac:dyDescent="0.2">
      <c r="A18" s="1515" t="s">
        <v>1148</v>
      </c>
      <c r="B18" s="606">
        <v>1800</v>
      </c>
      <c r="C18" s="466">
        <v>73128</v>
      </c>
      <c r="D18" s="466">
        <v>14632</v>
      </c>
      <c r="E18" s="466">
        <v>0</v>
      </c>
      <c r="F18" s="466">
        <v>0</v>
      </c>
      <c r="G18" s="466">
        <v>0</v>
      </c>
      <c r="H18" s="466">
        <v>0</v>
      </c>
      <c r="I18" s="466">
        <v>0</v>
      </c>
      <c r="J18" s="466">
        <v>0</v>
      </c>
      <c r="K18" s="1682">
        <f t="shared" si="0"/>
        <v>87760</v>
      </c>
      <c r="L18" s="466">
        <v>65829</v>
      </c>
    </row>
    <row r="19" spans="1:12" x14ac:dyDescent="0.2">
      <c r="A19" s="1515" t="s">
        <v>136</v>
      </c>
      <c r="B19" s="606">
        <v>1900</v>
      </c>
      <c r="C19" s="466">
        <v>0</v>
      </c>
      <c r="D19" s="466">
        <v>0</v>
      </c>
      <c r="E19" s="466">
        <v>0</v>
      </c>
      <c r="F19" s="466">
        <v>0</v>
      </c>
      <c r="G19" s="466">
        <v>0</v>
      </c>
      <c r="H19" s="466">
        <v>0</v>
      </c>
      <c r="I19" s="466">
        <v>0</v>
      </c>
      <c r="J19" s="466">
        <v>0</v>
      </c>
      <c r="K19" s="1682">
        <f t="shared" si="0"/>
        <v>0</v>
      </c>
      <c r="L19" s="466">
        <v>0</v>
      </c>
    </row>
    <row r="20" spans="1:12" x14ac:dyDescent="0.2">
      <c r="A20" s="1516" t="s">
        <v>762</v>
      </c>
      <c r="B20" s="594" t="s">
        <v>749</v>
      </c>
      <c r="C20" s="474"/>
      <c r="D20" s="474"/>
      <c r="E20" s="474"/>
      <c r="F20" s="474"/>
      <c r="G20" s="474"/>
      <c r="H20" s="466">
        <v>0</v>
      </c>
      <c r="I20" s="608"/>
      <c r="J20" s="473"/>
      <c r="K20" s="1682">
        <f t="shared" si="0"/>
        <v>0</v>
      </c>
      <c r="L20" s="466">
        <v>0</v>
      </c>
    </row>
    <row r="21" spans="1:12" x14ac:dyDescent="0.2">
      <c r="A21" s="1516" t="s">
        <v>763</v>
      </c>
      <c r="B21" s="594" t="s">
        <v>750</v>
      </c>
      <c r="C21" s="474"/>
      <c r="D21" s="474"/>
      <c r="E21" s="474"/>
      <c r="F21" s="474"/>
      <c r="G21" s="474"/>
      <c r="H21" s="466">
        <v>0</v>
      </c>
      <c r="I21" s="608"/>
      <c r="J21" s="474"/>
      <c r="K21" s="1682">
        <f t="shared" si="0"/>
        <v>0</v>
      </c>
      <c r="L21" s="466">
        <v>0</v>
      </c>
    </row>
    <row r="22" spans="1:12" x14ac:dyDescent="0.2">
      <c r="A22" s="1516" t="s">
        <v>764</v>
      </c>
      <c r="B22" s="594" t="s">
        <v>751</v>
      </c>
      <c r="C22" s="474"/>
      <c r="D22" s="474"/>
      <c r="E22" s="474"/>
      <c r="F22" s="474"/>
      <c r="G22" s="474"/>
      <c r="H22" s="466">
        <v>66395</v>
      </c>
      <c r="I22" s="608"/>
      <c r="J22" s="474"/>
      <c r="K22" s="1682">
        <f t="shared" si="0"/>
        <v>66395</v>
      </c>
      <c r="L22" s="466">
        <v>140000</v>
      </c>
    </row>
    <row r="23" spans="1:12" x14ac:dyDescent="0.2">
      <c r="A23" s="1516" t="s">
        <v>765</v>
      </c>
      <c r="B23" s="594" t="s">
        <v>752</v>
      </c>
      <c r="C23" s="474"/>
      <c r="D23" s="474"/>
      <c r="E23" s="474"/>
      <c r="F23" s="474"/>
      <c r="G23" s="474"/>
      <c r="H23" s="466">
        <v>0</v>
      </c>
      <c r="I23" s="608"/>
      <c r="J23" s="474"/>
      <c r="K23" s="1682">
        <f t="shared" si="0"/>
        <v>0</v>
      </c>
      <c r="L23" s="466">
        <v>0</v>
      </c>
    </row>
    <row r="24" spans="1:12" ht="12.75" customHeight="1" x14ac:dyDescent="0.2">
      <c r="A24" s="1516" t="s">
        <v>766</v>
      </c>
      <c r="B24" s="594" t="s">
        <v>753</v>
      </c>
      <c r="C24" s="474"/>
      <c r="D24" s="474"/>
      <c r="E24" s="474"/>
      <c r="F24" s="474"/>
      <c r="G24" s="474"/>
      <c r="H24" s="466">
        <v>0</v>
      </c>
      <c r="I24" s="608"/>
      <c r="J24" s="474"/>
      <c r="K24" s="1682">
        <f t="shared" si="0"/>
        <v>0</v>
      </c>
      <c r="L24" s="466">
        <v>0</v>
      </c>
    </row>
    <row r="25" spans="1:12" ht="12.75" customHeight="1" x14ac:dyDescent="0.2">
      <c r="A25" s="1516" t="s">
        <v>835</v>
      </c>
      <c r="B25" s="594" t="s">
        <v>754</v>
      </c>
      <c r="C25" s="474"/>
      <c r="D25" s="474"/>
      <c r="E25" s="474"/>
      <c r="F25" s="474"/>
      <c r="G25" s="474"/>
      <c r="H25" s="466">
        <v>0</v>
      </c>
      <c r="I25" s="608"/>
      <c r="J25" s="474"/>
      <c r="K25" s="1682">
        <f t="shared" si="0"/>
        <v>0</v>
      </c>
      <c r="L25" s="466">
        <v>0</v>
      </c>
    </row>
    <row r="26" spans="1:12" x14ac:dyDescent="0.2">
      <c r="A26" s="1516" t="s">
        <v>643</v>
      </c>
      <c r="B26" s="594" t="s">
        <v>755</v>
      </c>
      <c r="C26" s="474"/>
      <c r="D26" s="474"/>
      <c r="E26" s="474"/>
      <c r="F26" s="474"/>
      <c r="G26" s="474"/>
      <c r="H26" s="466">
        <v>0</v>
      </c>
      <c r="I26" s="608"/>
      <c r="J26" s="474"/>
      <c r="K26" s="1682">
        <f t="shared" si="0"/>
        <v>0</v>
      </c>
      <c r="L26" s="466">
        <v>0</v>
      </c>
    </row>
    <row r="27" spans="1:12" x14ac:dyDescent="0.2">
      <c r="A27" s="1516" t="s">
        <v>644</v>
      </c>
      <c r="B27" s="594" t="s">
        <v>756</v>
      </c>
      <c r="C27" s="474"/>
      <c r="D27" s="474"/>
      <c r="E27" s="474"/>
      <c r="F27" s="474"/>
      <c r="G27" s="474"/>
      <c r="H27" s="466">
        <v>0</v>
      </c>
      <c r="I27" s="608"/>
      <c r="J27" s="474"/>
      <c r="K27" s="1682">
        <f t="shared" si="0"/>
        <v>0</v>
      </c>
      <c r="L27" s="466">
        <v>0</v>
      </c>
    </row>
    <row r="28" spans="1:12" x14ac:dyDescent="0.2">
      <c r="A28" s="1516" t="s">
        <v>152</v>
      </c>
      <c r="B28" s="594" t="s">
        <v>757</v>
      </c>
      <c r="C28" s="474"/>
      <c r="D28" s="474"/>
      <c r="E28" s="474"/>
      <c r="F28" s="474"/>
      <c r="G28" s="474"/>
      <c r="H28" s="466">
        <v>0</v>
      </c>
      <c r="I28" s="608"/>
      <c r="J28" s="474"/>
      <c r="K28" s="1682">
        <f t="shared" si="0"/>
        <v>0</v>
      </c>
      <c r="L28" s="466">
        <v>0</v>
      </c>
    </row>
    <row r="29" spans="1:12" x14ac:dyDescent="0.2">
      <c r="A29" s="1516" t="s">
        <v>153</v>
      </c>
      <c r="B29" s="594" t="s">
        <v>758</v>
      </c>
      <c r="C29" s="474"/>
      <c r="D29" s="474"/>
      <c r="E29" s="474"/>
      <c r="F29" s="474"/>
      <c r="G29" s="474"/>
      <c r="H29" s="466">
        <v>0</v>
      </c>
      <c r="I29" s="608"/>
      <c r="J29" s="474"/>
      <c r="K29" s="1682">
        <f t="shared" si="0"/>
        <v>0</v>
      </c>
      <c r="L29" s="466">
        <v>0</v>
      </c>
    </row>
    <row r="30" spans="1:12" x14ac:dyDescent="0.2">
      <c r="A30" s="1516" t="s">
        <v>154</v>
      </c>
      <c r="B30" s="594" t="s">
        <v>759</v>
      </c>
      <c r="C30" s="474"/>
      <c r="D30" s="474"/>
      <c r="E30" s="474"/>
      <c r="F30" s="474"/>
      <c r="G30" s="474"/>
      <c r="H30" s="466">
        <v>0</v>
      </c>
      <c r="I30" s="608"/>
      <c r="J30" s="474"/>
      <c r="K30" s="1682">
        <f t="shared" si="0"/>
        <v>0</v>
      </c>
      <c r="L30" s="466">
        <v>0</v>
      </c>
    </row>
    <row r="31" spans="1:12" x14ac:dyDescent="0.2">
      <c r="A31" s="1516" t="s">
        <v>155</v>
      </c>
      <c r="B31" s="594" t="s">
        <v>760</v>
      </c>
      <c r="C31" s="474"/>
      <c r="D31" s="474"/>
      <c r="E31" s="474"/>
      <c r="F31" s="474"/>
      <c r="G31" s="474"/>
      <c r="H31" s="466">
        <v>0</v>
      </c>
      <c r="I31" s="608"/>
      <c r="J31" s="474"/>
      <c r="K31" s="1682">
        <f t="shared" si="0"/>
        <v>0</v>
      </c>
      <c r="L31" s="466">
        <v>0</v>
      </c>
    </row>
    <row r="32" spans="1:12" x14ac:dyDescent="0.2">
      <c r="A32" s="1517" t="s">
        <v>1191</v>
      </c>
      <c r="B32" s="606" t="s">
        <v>761</v>
      </c>
      <c r="C32" s="474"/>
      <c r="D32" s="474"/>
      <c r="E32" s="474"/>
      <c r="F32" s="474"/>
      <c r="G32" s="474"/>
      <c r="H32" s="466">
        <v>0</v>
      </c>
      <c r="I32" s="608"/>
      <c r="J32" s="477"/>
      <c r="K32" s="1682">
        <f t="shared" si="0"/>
        <v>0</v>
      </c>
      <c r="L32" s="466">
        <v>0</v>
      </c>
    </row>
    <row r="33" spans="1:14" ht="12.75" customHeight="1" thickBot="1" x14ac:dyDescent="0.25">
      <c r="A33" s="1679" t="s">
        <v>1767</v>
      </c>
      <c r="B33" s="1680" t="s">
        <v>591</v>
      </c>
      <c r="C33" s="1681">
        <f>SUM(C5:C32)</f>
        <v>4694474</v>
      </c>
      <c r="D33" s="1681">
        <f t="shared" ref="D33:L33" si="1">SUM(D5:D32)</f>
        <v>844568</v>
      </c>
      <c r="E33" s="1681">
        <f t="shared" si="1"/>
        <v>5319</v>
      </c>
      <c r="F33" s="1681">
        <f t="shared" si="1"/>
        <v>131931</v>
      </c>
      <c r="G33" s="1681">
        <f t="shared" si="1"/>
        <v>3200</v>
      </c>
      <c r="H33" s="1681">
        <f t="shared" si="1"/>
        <v>66395</v>
      </c>
      <c r="I33" s="1681">
        <f t="shared" si="1"/>
        <v>0</v>
      </c>
      <c r="J33" s="1681">
        <f t="shared" si="1"/>
        <v>0</v>
      </c>
      <c r="K33" s="1681">
        <f t="shared" si="1"/>
        <v>5745887</v>
      </c>
      <c r="L33" s="1681">
        <f t="shared" si="1"/>
        <v>6319759</v>
      </c>
    </row>
    <row r="34" spans="1:14" s="612" customFormat="1" ht="15.75" customHeight="1" thickTop="1" x14ac:dyDescent="0.2">
      <c r="A34" s="1619" t="s">
        <v>48</v>
      </c>
      <c r="B34" s="1620" t="s">
        <v>590</v>
      </c>
      <c r="C34" s="610"/>
      <c r="D34" s="610"/>
      <c r="E34" s="610"/>
      <c r="F34" s="610"/>
      <c r="G34" s="610"/>
      <c r="H34" s="610"/>
      <c r="I34" s="608"/>
      <c r="J34" s="608"/>
      <c r="K34" s="608"/>
      <c r="L34" s="608"/>
      <c r="M34" s="611"/>
      <c r="N34" s="611"/>
    </row>
    <row r="35" spans="1:14" s="612" customFormat="1" ht="15.75" customHeight="1" x14ac:dyDescent="0.2">
      <c r="A35" s="613" t="s">
        <v>612</v>
      </c>
      <c r="B35" s="614"/>
      <c r="C35" s="615"/>
      <c r="D35" s="615"/>
      <c r="E35" s="615"/>
      <c r="F35" s="615"/>
      <c r="G35" s="615"/>
      <c r="H35" s="615"/>
      <c r="I35" s="608"/>
      <c r="J35" s="608"/>
      <c r="K35" s="608"/>
      <c r="L35" s="608"/>
      <c r="M35" s="611"/>
      <c r="N35" s="611"/>
    </row>
    <row r="36" spans="1:14" x14ac:dyDescent="0.2">
      <c r="A36" s="1515" t="s">
        <v>1150</v>
      </c>
      <c r="B36" s="606">
        <v>2110</v>
      </c>
      <c r="C36" s="466">
        <v>104124</v>
      </c>
      <c r="D36" s="466">
        <v>2141</v>
      </c>
      <c r="E36" s="466">
        <v>101</v>
      </c>
      <c r="F36" s="466">
        <v>32</v>
      </c>
      <c r="G36" s="466">
        <v>0</v>
      </c>
      <c r="H36" s="466">
        <v>0</v>
      </c>
      <c r="I36" s="466">
        <v>0</v>
      </c>
      <c r="J36" s="466">
        <v>0</v>
      </c>
      <c r="K36" s="1682">
        <f t="shared" ref="K36:K41" si="2">SUM(C36:J36)</f>
        <v>106398</v>
      </c>
      <c r="L36" s="466">
        <v>109569</v>
      </c>
    </row>
    <row r="37" spans="1:14" x14ac:dyDescent="0.2">
      <c r="A37" s="1515" t="s">
        <v>1151</v>
      </c>
      <c r="B37" s="606">
        <v>2120</v>
      </c>
      <c r="C37" s="466">
        <v>0</v>
      </c>
      <c r="D37" s="466">
        <v>0</v>
      </c>
      <c r="E37" s="466">
        <v>0</v>
      </c>
      <c r="F37" s="466">
        <v>0</v>
      </c>
      <c r="G37" s="466">
        <v>0</v>
      </c>
      <c r="H37" s="466">
        <v>0</v>
      </c>
      <c r="I37" s="466">
        <v>0</v>
      </c>
      <c r="J37" s="466">
        <v>0</v>
      </c>
      <c r="K37" s="1682">
        <f t="shared" si="2"/>
        <v>0</v>
      </c>
      <c r="L37" s="466">
        <v>0</v>
      </c>
    </row>
    <row r="38" spans="1:14" x14ac:dyDescent="0.2">
      <c r="A38" s="1515" t="s">
        <v>207</v>
      </c>
      <c r="B38" s="606">
        <v>2130</v>
      </c>
      <c r="C38" s="466">
        <v>96010</v>
      </c>
      <c r="D38" s="466">
        <v>28752</v>
      </c>
      <c r="E38" s="466">
        <v>0</v>
      </c>
      <c r="F38" s="466">
        <v>1432</v>
      </c>
      <c r="G38" s="466">
        <v>0</v>
      </c>
      <c r="H38" s="466">
        <v>0</v>
      </c>
      <c r="I38" s="466">
        <v>0</v>
      </c>
      <c r="J38" s="466">
        <v>0</v>
      </c>
      <c r="K38" s="1682">
        <f t="shared" si="2"/>
        <v>126194</v>
      </c>
      <c r="L38" s="466">
        <v>126635</v>
      </c>
    </row>
    <row r="39" spans="1:14" x14ac:dyDescent="0.2">
      <c r="A39" s="1515" t="s">
        <v>208</v>
      </c>
      <c r="B39" s="606">
        <v>2140</v>
      </c>
      <c r="C39" s="466">
        <v>97865</v>
      </c>
      <c r="D39" s="466">
        <v>10938</v>
      </c>
      <c r="E39" s="466">
        <v>1355</v>
      </c>
      <c r="F39" s="466">
        <v>0</v>
      </c>
      <c r="G39" s="466">
        <v>0</v>
      </c>
      <c r="H39" s="466">
        <v>0</v>
      </c>
      <c r="I39" s="466">
        <v>0</v>
      </c>
      <c r="J39" s="466">
        <v>0</v>
      </c>
      <c r="K39" s="1682">
        <f t="shared" si="2"/>
        <v>110158</v>
      </c>
      <c r="L39" s="466">
        <v>126542</v>
      </c>
    </row>
    <row r="40" spans="1:14" x14ac:dyDescent="0.2">
      <c r="A40" s="1515" t="s">
        <v>209</v>
      </c>
      <c r="B40" s="606">
        <v>2150</v>
      </c>
      <c r="C40" s="466">
        <v>187720</v>
      </c>
      <c r="D40" s="466">
        <v>26310</v>
      </c>
      <c r="E40" s="466">
        <v>111</v>
      </c>
      <c r="F40" s="466">
        <v>0</v>
      </c>
      <c r="G40" s="466">
        <v>0</v>
      </c>
      <c r="H40" s="466">
        <v>0</v>
      </c>
      <c r="I40" s="466">
        <v>0</v>
      </c>
      <c r="J40" s="466">
        <v>0</v>
      </c>
      <c r="K40" s="1682">
        <f t="shared" si="2"/>
        <v>214141</v>
      </c>
      <c r="L40" s="466">
        <v>233974</v>
      </c>
    </row>
    <row r="41" spans="1:14" x14ac:dyDescent="0.2">
      <c r="A41" s="1515" t="s">
        <v>1768</v>
      </c>
      <c r="B41" s="606">
        <v>2190</v>
      </c>
      <c r="C41" s="466">
        <v>0</v>
      </c>
      <c r="D41" s="466">
        <v>0</v>
      </c>
      <c r="E41" s="466">
        <v>0</v>
      </c>
      <c r="F41" s="466">
        <v>0</v>
      </c>
      <c r="G41" s="466">
        <v>0</v>
      </c>
      <c r="H41" s="466">
        <v>0</v>
      </c>
      <c r="I41" s="466">
        <v>0</v>
      </c>
      <c r="J41" s="466">
        <v>0</v>
      </c>
      <c r="K41" s="1682">
        <f t="shared" si="2"/>
        <v>0</v>
      </c>
      <c r="L41" s="466">
        <v>0</v>
      </c>
    </row>
    <row r="42" spans="1:14" ht="12.75" customHeight="1" thickBot="1" x14ac:dyDescent="0.25">
      <c r="A42" s="1679" t="s">
        <v>581</v>
      </c>
      <c r="B42" s="1680" t="s">
        <v>740</v>
      </c>
      <c r="C42" s="1681">
        <f>SUM(C36:C41)</f>
        <v>485719</v>
      </c>
      <c r="D42" s="1681">
        <f t="shared" ref="D42:L42" si="3">SUM(D36:D41)</f>
        <v>68141</v>
      </c>
      <c r="E42" s="1681">
        <f t="shared" si="3"/>
        <v>1567</v>
      </c>
      <c r="F42" s="1681">
        <f t="shared" si="3"/>
        <v>1464</v>
      </c>
      <c r="G42" s="1681">
        <f t="shared" si="3"/>
        <v>0</v>
      </c>
      <c r="H42" s="1681">
        <f t="shared" si="3"/>
        <v>0</v>
      </c>
      <c r="I42" s="1681">
        <f t="shared" si="3"/>
        <v>0</v>
      </c>
      <c r="J42" s="1681">
        <f t="shared" si="3"/>
        <v>0</v>
      </c>
      <c r="K42" s="1681">
        <f t="shared" si="3"/>
        <v>556891</v>
      </c>
      <c r="L42" s="1681">
        <f t="shared" si="3"/>
        <v>596720</v>
      </c>
    </row>
    <row r="43" spans="1:14" ht="15.75" customHeight="1" thickTop="1" x14ac:dyDescent="0.2">
      <c r="A43" s="616" t="s">
        <v>613</v>
      </c>
      <c r="B43" s="617"/>
      <c r="C43" s="618"/>
      <c r="D43" s="618"/>
      <c r="E43" s="618"/>
      <c r="F43" s="618"/>
      <c r="G43" s="618"/>
      <c r="H43" s="618"/>
      <c r="I43" s="608"/>
      <c r="J43" s="608"/>
      <c r="K43" s="618"/>
      <c r="L43" s="618"/>
    </row>
    <row r="44" spans="1:14" x14ac:dyDescent="0.2">
      <c r="A44" s="1515" t="s">
        <v>868</v>
      </c>
      <c r="B44" s="606">
        <v>2210</v>
      </c>
      <c r="C44" s="466">
        <v>0</v>
      </c>
      <c r="D44" s="466">
        <v>0</v>
      </c>
      <c r="E44" s="466">
        <v>38540</v>
      </c>
      <c r="F44" s="466">
        <v>6453</v>
      </c>
      <c r="G44" s="466">
        <v>0</v>
      </c>
      <c r="H44" s="466">
        <v>0</v>
      </c>
      <c r="I44" s="466">
        <v>0</v>
      </c>
      <c r="J44" s="466">
        <v>0</v>
      </c>
      <c r="K44" s="1683">
        <f>SUM(C44:J44)</f>
        <v>44993</v>
      </c>
      <c r="L44" s="466">
        <v>30726</v>
      </c>
    </row>
    <row r="45" spans="1:14" x14ac:dyDescent="0.2">
      <c r="A45" s="1515" t="s">
        <v>869</v>
      </c>
      <c r="B45" s="606">
        <v>2220</v>
      </c>
      <c r="C45" s="466">
        <v>248378</v>
      </c>
      <c r="D45" s="466">
        <v>45830</v>
      </c>
      <c r="E45" s="466">
        <v>113852</v>
      </c>
      <c r="F45" s="466">
        <v>170980</v>
      </c>
      <c r="G45" s="466">
        <v>130606</v>
      </c>
      <c r="H45" s="466">
        <v>0</v>
      </c>
      <c r="I45" s="466">
        <v>0</v>
      </c>
      <c r="J45" s="466">
        <v>0</v>
      </c>
      <c r="K45" s="1683">
        <f>SUM(C45:J45)</f>
        <v>709646</v>
      </c>
      <c r="L45" s="466">
        <v>716618</v>
      </c>
    </row>
    <row r="46" spans="1:14" x14ac:dyDescent="0.2">
      <c r="A46" s="1515" t="s">
        <v>870</v>
      </c>
      <c r="B46" s="606">
        <v>2230</v>
      </c>
      <c r="C46" s="466">
        <v>0</v>
      </c>
      <c r="D46" s="466">
        <v>0</v>
      </c>
      <c r="E46" s="466">
        <v>3523</v>
      </c>
      <c r="F46" s="466">
        <v>0</v>
      </c>
      <c r="G46" s="466">
        <v>0</v>
      </c>
      <c r="H46" s="466">
        <v>0</v>
      </c>
      <c r="I46" s="466">
        <v>0</v>
      </c>
      <c r="J46" s="466">
        <v>0</v>
      </c>
      <c r="K46" s="1683">
        <f>SUM(C46:J46)</f>
        <v>3523</v>
      </c>
      <c r="L46" s="466">
        <v>5350</v>
      </c>
    </row>
    <row r="47" spans="1:14" ht="12.75" customHeight="1" thickBot="1" x14ac:dyDescent="0.25">
      <c r="A47" s="1679" t="s">
        <v>582</v>
      </c>
      <c r="B47" s="1680" t="s">
        <v>32</v>
      </c>
      <c r="C47" s="1681">
        <f>SUM(C44:C46)</f>
        <v>248378</v>
      </c>
      <c r="D47" s="1681">
        <f t="shared" ref="D47:K47" si="4">SUM(D44:D46)</f>
        <v>45830</v>
      </c>
      <c r="E47" s="1681">
        <f t="shared" si="4"/>
        <v>155915</v>
      </c>
      <c r="F47" s="1681">
        <f t="shared" si="4"/>
        <v>177433</v>
      </c>
      <c r="G47" s="1681">
        <f t="shared" si="4"/>
        <v>130606</v>
      </c>
      <c r="H47" s="1681">
        <f t="shared" si="4"/>
        <v>0</v>
      </c>
      <c r="I47" s="1681">
        <f t="shared" si="4"/>
        <v>0</v>
      </c>
      <c r="J47" s="1681">
        <f t="shared" si="4"/>
        <v>0</v>
      </c>
      <c r="K47" s="1681">
        <f t="shared" si="4"/>
        <v>758162</v>
      </c>
      <c r="L47" s="1681">
        <f>SUM(L44:L46)</f>
        <v>752694</v>
      </c>
    </row>
    <row r="48" spans="1:14" ht="15.75" customHeight="1" thickTop="1" x14ac:dyDescent="0.2">
      <c r="A48" s="616" t="s">
        <v>631</v>
      </c>
      <c r="B48" s="617"/>
      <c r="C48" s="618"/>
      <c r="D48" s="618"/>
      <c r="E48" s="618"/>
      <c r="F48" s="618"/>
      <c r="G48" s="618"/>
      <c r="H48" s="618"/>
      <c r="I48" s="608"/>
      <c r="J48" s="608"/>
      <c r="K48" s="618"/>
      <c r="L48" s="618"/>
    </row>
    <row r="49" spans="1:14" x14ac:dyDescent="0.2">
      <c r="A49" s="1515" t="s">
        <v>871</v>
      </c>
      <c r="B49" s="606">
        <v>2310</v>
      </c>
      <c r="C49" s="466">
        <v>1665</v>
      </c>
      <c r="D49" s="466">
        <v>0</v>
      </c>
      <c r="E49" s="466">
        <v>73581</v>
      </c>
      <c r="F49" s="466">
        <v>4124</v>
      </c>
      <c r="G49" s="466">
        <v>0</v>
      </c>
      <c r="H49" s="466">
        <v>0</v>
      </c>
      <c r="I49" s="466">
        <v>0</v>
      </c>
      <c r="J49" s="466">
        <v>0</v>
      </c>
      <c r="K49" s="1683">
        <f>SUM(C49:J49)</f>
        <v>79370</v>
      </c>
      <c r="L49" s="466">
        <v>71283</v>
      </c>
    </row>
    <row r="50" spans="1:14" x14ac:dyDescent="0.2">
      <c r="A50" s="1515" t="s">
        <v>872</v>
      </c>
      <c r="B50" s="606">
        <v>2320</v>
      </c>
      <c r="C50" s="466">
        <v>285433</v>
      </c>
      <c r="D50" s="466">
        <v>41776</v>
      </c>
      <c r="E50" s="466">
        <v>25413</v>
      </c>
      <c r="F50" s="466">
        <v>9177</v>
      </c>
      <c r="G50" s="466">
        <v>0</v>
      </c>
      <c r="H50" s="466">
        <v>0</v>
      </c>
      <c r="I50" s="466">
        <v>0</v>
      </c>
      <c r="J50" s="466">
        <v>0</v>
      </c>
      <c r="K50" s="1683">
        <f>SUM(C50:J50)</f>
        <v>361799</v>
      </c>
      <c r="L50" s="466">
        <v>401764</v>
      </c>
    </row>
    <row r="51" spans="1:14" x14ac:dyDescent="0.2">
      <c r="A51" s="1515" t="s">
        <v>44</v>
      </c>
      <c r="B51" s="606">
        <v>2330</v>
      </c>
      <c r="C51" s="466">
        <v>33704</v>
      </c>
      <c r="D51" s="466">
        <v>10735</v>
      </c>
      <c r="E51" s="466">
        <v>1860</v>
      </c>
      <c r="F51" s="466">
        <v>0</v>
      </c>
      <c r="G51" s="466">
        <v>0</v>
      </c>
      <c r="H51" s="466">
        <v>0</v>
      </c>
      <c r="I51" s="466">
        <v>0</v>
      </c>
      <c r="J51" s="466">
        <v>0</v>
      </c>
      <c r="K51" s="1683">
        <f>SUM(C51:J51)</f>
        <v>46299</v>
      </c>
      <c r="L51" s="466">
        <v>54696</v>
      </c>
    </row>
    <row r="52" spans="1:14" ht="22.5" x14ac:dyDescent="0.2">
      <c r="A52" s="1516" t="s">
        <v>316</v>
      </c>
      <c r="B52" s="619" t="s">
        <v>384</v>
      </c>
      <c r="C52" s="466">
        <v>0</v>
      </c>
      <c r="D52" s="466">
        <v>0</v>
      </c>
      <c r="E52" s="466">
        <v>0</v>
      </c>
      <c r="F52" s="466">
        <v>0</v>
      </c>
      <c r="G52" s="466">
        <v>0</v>
      </c>
      <c r="H52" s="466">
        <v>0</v>
      </c>
      <c r="I52" s="466">
        <v>0</v>
      </c>
      <c r="J52" s="466">
        <v>0</v>
      </c>
      <c r="K52" s="1683">
        <f>SUM(C52:J52)</f>
        <v>0</v>
      </c>
      <c r="L52" s="466">
        <v>0</v>
      </c>
    </row>
    <row r="53" spans="1:14" ht="12.75" customHeight="1" thickBot="1" x14ac:dyDescent="0.25">
      <c r="A53" s="1679" t="s">
        <v>741</v>
      </c>
      <c r="B53" s="1680" t="s">
        <v>33</v>
      </c>
      <c r="C53" s="1681">
        <f>SUM(C49:C52)</f>
        <v>320802</v>
      </c>
      <c r="D53" s="1681">
        <f t="shared" ref="D53:L53" si="5">SUM(D49:D52)</f>
        <v>52511</v>
      </c>
      <c r="E53" s="1681">
        <f t="shared" si="5"/>
        <v>100854</v>
      </c>
      <c r="F53" s="1681">
        <f t="shared" si="5"/>
        <v>13301</v>
      </c>
      <c r="G53" s="1681">
        <f t="shared" si="5"/>
        <v>0</v>
      </c>
      <c r="H53" s="1681">
        <f t="shared" si="5"/>
        <v>0</v>
      </c>
      <c r="I53" s="1681">
        <f t="shared" si="5"/>
        <v>0</v>
      </c>
      <c r="J53" s="1681">
        <f t="shared" si="5"/>
        <v>0</v>
      </c>
      <c r="K53" s="1681">
        <f t="shared" si="5"/>
        <v>487468</v>
      </c>
      <c r="L53" s="1681">
        <f t="shared" si="5"/>
        <v>527743</v>
      </c>
    </row>
    <row r="54" spans="1:14" ht="15.75" customHeight="1" thickTop="1" x14ac:dyDescent="0.2">
      <c r="A54" s="616" t="s">
        <v>632</v>
      </c>
      <c r="B54" s="617"/>
      <c r="C54" s="618"/>
      <c r="D54" s="618"/>
      <c r="E54" s="618"/>
      <c r="F54" s="618"/>
      <c r="G54" s="618"/>
      <c r="H54" s="618"/>
      <c r="I54" s="608"/>
      <c r="J54" s="608"/>
      <c r="K54" s="618"/>
      <c r="L54" s="618"/>
    </row>
    <row r="55" spans="1:14" x14ac:dyDescent="0.2">
      <c r="A55" s="1515" t="s">
        <v>1127</v>
      </c>
      <c r="B55" s="606">
        <v>2410</v>
      </c>
      <c r="C55" s="466">
        <v>372000</v>
      </c>
      <c r="D55" s="466">
        <v>95521</v>
      </c>
      <c r="E55" s="466">
        <v>1966</v>
      </c>
      <c r="F55" s="466">
        <v>25081</v>
      </c>
      <c r="G55" s="466">
        <v>0</v>
      </c>
      <c r="H55" s="466">
        <v>0</v>
      </c>
      <c r="I55" s="466">
        <v>527</v>
      </c>
      <c r="J55" s="466">
        <v>0</v>
      </c>
      <c r="K55" s="1683">
        <f>SUM(C55:J55)</f>
        <v>495095</v>
      </c>
      <c r="L55" s="466">
        <v>522464</v>
      </c>
    </row>
    <row r="56" spans="1:14" ht="12.75" customHeight="1" x14ac:dyDescent="0.2">
      <c r="A56" s="1519" t="s">
        <v>394</v>
      </c>
      <c r="B56" s="620">
        <v>2490</v>
      </c>
      <c r="C56" s="466">
        <v>0</v>
      </c>
      <c r="D56" s="466">
        <v>0</v>
      </c>
      <c r="E56" s="466">
        <v>0</v>
      </c>
      <c r="F56" s="466">
        <v>0</v>
      </c>
      <c r="G56" s="466">
        <v>0</v>
      </c>
      <c r="H56" s="466">
        <v>0</v>
      </c>
      <c r="I56" s="466">
        <v>0</v>
      </c>
      <c r="J56" s="466">
        <v>0</v>
      </c>
      <c r="K56" s="1683">
        <f>SUM(C56:J56)</f>
        <v>0</v>
      </c>
      <c r="L56" s="466">
        <v>0</v>
      </c>
    </row>
    <row r="57" spans="1:14" s="343" customFormat="1" ht="12.75" customHeight="1" thickBot="1" x14ac:dyDescent="0.25">
      <c r="A57" s="1679" t="s">
        <v>281</v>
      </c>
      <c r="B57" s="1684" t="s">
        <v>34</v>
      </c>
      <c r="C57" s="1685">
        <f>SUM(C55:C56)</f>
        <v>372000</v>
      </c>
      <c r="D57" s="1685">
        <f t="shared" ref="D57:K57" si="6">SUM(D55:D56)</f>
        <v>95521</v>
      </c>
      <c r="E57" s="1685">
        <f t="shared" si="6"/>
        <v>1966</v>
      </c>
      <c r="F57" s="1685">
        <f t="shared" si="6"/>
        <v>25081</v>
      </c>
      <c r="G57" s="1685">
        <f t="shared" si="6"/>
        <v>0</v>
      </c>
      <c r="H57" s="1685">
        <f t="shared" si="6"/>
        <v>0</v>
      </c>
      <c r="I57" s="1685">
        <f t="shared" si="6"/>
        <v>527</v>
      </c>
      <c r="J57" s="1685">
        <f t="shared" si="6"/>
        <v>0</v>
      </c>
      <c r="K57" s="1685">
        <f t="shared" si="6"/>
        <v>495095</v>
      </c>
      <c r="L57" s="1681">
        <f>SUM(L55:L56)</f>
        <v>522464</v>
      </c>
      <c r="M57" s="601"/>
      <c r="N57" s="601"/>
    </row>
    <row r="58" spans="1:14" s="343" customFormat="1" ht="15.75" customHeight="1" thickTop="1" x14ac:dyDescent="0.2">
      <c r="A58" s="616" t="s">
        <v>633</v>
      </c>
      <c r="B58" s="617"/>
      <c r="C58" s="621"/>
      <c r="D58" s="618"/>
      <c r="E58" s="618"/>
      <c r="F58" s="618"/>
      <c r="G58" s="618"/>
      <c r="H58" s="618"/>
      <c r="I58" s="608"/>
      <c r="J58" s="608"/>
      <c r="K58" s="618"/>
      <c r="L58" s="618"/>
      <c r="M58" s="601"/>
      <c r="N58" s="601"/>
    </row>
    <row r="59" spans="1:14" s="343" customFormat="1" x14ac:dyDescent="0.2">
      <c r="A59" s="1515" t="s">
        <v>1128</v>
      </c>
      <c r="B59" s="606">
        <v>2510</v>
      </c>
      <c r="C59" s="466">
        <v>77698</v>
      </c>
      <c r="D59" s="466">
        <v>0</v>
      </c>
      <c r="E59" s="466">
        <v>1243</v>
      </c>
      <c r="F59" s="466">
        <v>867</v>
      </c>
      <c r="G59" s="466">
        <v>0</v>
      </c>
      <c r="H59" s="466">
        <v>0</v>
      </c>
      <c r="I59" s="466">
        <v>0</v>
      </c>
      <c r="J59" s="466">
        <v>0</v>
      </c>
      <c r="K59" s="1683">
        <f t="shared" ref="K59:K64" si="7">SUM(C59:J59)</f>
        <v>79808</v>
      </c>
      <c r="L59" s="466">
        <v>81051</v>
      </c>
      <c r="M59" s="601"/>
      <c r="N59" s="601"/>
    </row>
    <row r="60" spans="1:14" s="343" customFormat="1" x14ac:dyDescent="0.2">
      <c r="A60" s="1515" t="s">
        <v>483</v>
      </c>
      <c r="B60" s="606">
        <v>2520</v>
      </c>
      <c r="C60" s="466">
        <v>61364</v>
      </c>
      <c r="D60" s="466">
        <v>11000</v>
      </c>
      <c r="E60" s="466">
        <v>14872</v>
      </c>
      <c r="F60" s="466">
        <v>3894</v>
      </c>
      <c r="G60" s="466">
        <v>114756</v>
      </c>
      <c r="H60" s="466">
        <v>0</v>
      </c>
      <c r="I60" s="466">
        <v>0</v>
      </c>
      <c r="J60" s="466">
        <v>0</v>
      </c>
      <c r="K60" s="1683">
        <f t="shared" si="7"/>
        <v>205886</v>
      </c>
      <c r="L60" s="466">
        <v>110117</v>
      </c>
      <c r="M60" s="601"/>
      <c r="N60" s="601"/>
    </row>
    <row r="61" spans="1:14" s="343" customFormat="1" x14ac:dyDescent="0.2">
      <c r="A61" s="1515" t="s">
        <v>206</v>
      </c>
      <c r="B61" s="606">
        <v>2540</v>
      </c>
      <c r="C61" s="466">
        <v>0</v>
      </c>
      <c r="D61" s="466">
        <v>0</v>
      </c>
      <c r="E61" s="466">
        <v>0</v>
      </c>
      <c r="F61" s="466">
        <v>0</v>
      </c>
      <c r="G61" s="466">
        <v>0</v>
      </c>
      <c r="H61" s="466">
        <v>0</v>
      </c>
      <c r="I61" s="466">
        <v>0</v>
      </c>
      <c r="J61" s="466">
        <v>0</v>
      </c>
      <c r="K61" s="1683">
        <f t="shared" si="7"/>
        <v>0</v>
      </c>
      <c r="L61" s="466">
        <v>0</v>
      </c>
      <c r="M61" s="601"/>
      <c r="N61" s="601"/>
    </row>
    <row r="62" spans="1:14" s="343" customFormat="1" x14ac:dyDescent="0.2">
      <c r="A62" s="1515" t="s">
        <v>1010</v>
      </c>
      <c r="B62" s="606">
        <v>2550</v>
      </c>
      <c r="C62" s="466">
        <v>0</v>
      </c>
      <c r="D62" s="466">
        <v>0</v>
      </c>
      <c r="E62" s="466">
        <v>0</v>
      </c>
      <c r="F62" s="466">
        <v>0</v>
      </c>
      <c r="G62" s="466">
        <v>0</v>
      </c>
      <c r="H62" s="466">
        <v>0</v>
      </c>
      <c r="I62" s="466">
        <v>0</v>
      </c>
      <c r="J62" s="466">
        <v>0</v>
      </c>
      <c r="K62" s="1683">
        <f t="shared" si="7"/>
        <v>0</v>
      </c>
      <c r="L62" s="466">
        <v>0</v>
      </c>
      <c r="M62" s="601"/>
      <c r="N62" s="601"/>
    </row>
    <row r="63" spans="1:14" s="601" customFormat="1" x14ac:dyDescent="0.2">
      <c r="A63" s="1515" t="s">
        <v>102</v>
      </c>
      <c r="B63" s="606">
        <v>2560</v>
      </c>
      <c r="C63" s="466">
        <v>25333</v>
      </c>
      <c r="D63" s="466">
        <v>0</v>
      </c>
      <c r="E63" s="466">
        <v>51137</v>
      </c>
      <c r="F63" s="466">
        <v>15688</v>
      </c>
      <c r="G63" s="466">
        <v>0</v>
      </c>
      <c r="H63" s="466">
        <v>0</v>
      </c>
      <c r="I63" s="466">
        <v>0</v>
      </c>
      <c r="J63" s="466">
        <v>0</v>
      </c>
      <c r="K63" s="1683">
        <f t="shared" si="7"/>
        <v>92158</v>
      </c>
      <c r="L63" s="466">
        <v>134210</v>
      </c>
    </row>
    <row r="64" spans="1:14" s="601" customFormat="1" x14ac:dyDescent="0.2">
      <c r="A64" s="1520" t="s">
        <v>103</v>
      </c>
      <c r="B64" s="622">
        <v>2570</v>
      </c>
      <c r="C64" s="466">
        <v>0</v>
      </c>
      <c r="D64" s="466">
        <v>0</v>
      </c>
      <c r="E64" s="466">
        <v>0</v>
      </c>
      <c r="F64" s="466">
        <v>0</v>
      </c>
      <c r="G64" s="466">
        <v>0</v>
      </c>
      <c r="H64" s="466">
        <v>0</v>
      </c>
      <c r="I64" s="466">
        <v>0</v>
      </c>
      <c r="J64" s="466">
        <v>0</v>
      </c>
      <c r="K64" s="1683">
        <f t="shared" si="7"/>
        <v>0</v>
      </c>
      <c r="L64" s="466">
        <v>0</v>
      </c>
    </row>
    <row r="65" spans="1:14" s="343" customFormat="1" ht="12.75" customHeight="1" thickBot="1" x14ac:dyDescent="0.25">
      <c r="A65" s="1679" t="s">
        <v>743</v>
      </c>
      <c r="B65" s="1680" t="s">
        <v>35</v>
      </c>
      <c r="C65" s="1681">
        <f>SUM(C59:C64)</f>
        <v>164395</v>
      </c>
      <c r="D65" s="1681">
        <f t="shared" ref="D65:L65" si="8">SUM(D59:D64)</f>
        <v>11000</v>
      </c>
      <c r="E65" s="1681">
        <f t="shared" si="8"/>
        <v>67252</v>
      </c>
      <c r="F65" s="1681">
        <f t="shared" si="8"/>
        <v>20449</v>
      </c>
      <c r="G65" s="1681">
        <f t="shared" si="8"/>
        <v>114756</v>
      </c>
      <c r="H65" s="1681">
        <f t="shared" si="8"/>
        <v>0</v>
      </c>
      <c r="I65" s="1681">
        <f t="shared" si="8"/>
        <v>0</v>
      </c>
      <c r="J65" s="1681">
        <f t="shared" si="8"/>
        <v>0</v>
      </c>
      <c r="K65" s="1681">
        <f t="shared" si="8"/>
        <v>377852</v>
      </c>
      <c r="L65" s="1681">
        <f t="shared" si="8"/>
        <v>325378</v>
      </c>
      <c r="M65" s="601"/>
      <c r="N65" s="601"/>
    </row>
    <row r="66" spans="1:14" s="343" customFormat="1" ht="15.75" customHeight="1" thickTop="1" x14ac:dyDescent="0.2">
      <c r="A66" s="616" t="s">
        <v>634</v>
      </c>
      <c r="B66" s="623"/>
      <c r="C66" s="608"/>
      <c r="D66" s="608"/>
      <c r="E66" s="608"/>
      <c r="F66" s="608"/>
      <c r="G66" s="608"/>
      <c r="H66" s="608"/>
      <c r="I66" s="608"/>
      <c r="J66" s="608"/>
      <c r="K66" s="618"/>
      <c r="L66" s="618"/>
      <c r="M66" s="601"/>
      <c r="N66" s="601"/>
    </row>
    <row r="67" spans="1:14" s="343" customFormat="1" x14ac:dyDescent="0.2">
      <c r="A67" s="1515" t="s">
        <v>1120</v>
      </c>
      <c r="B67" s="606">
        <v>2610</v>
      </c>
      <c r="C67" s="466">
        <v>0</v>
      </c>
      <c r="D67" s="466">
        <v>0</v>
      </c>
      <c r="E67" s="466">
        <v>0</v>
      </c>
      <c r="F67" s="466">
        <v>0</v>
      </c>
      <c r="G67" s="466">
        <v>0</v>
      </c>
      <c r="H67" s="466">
        <v>0</v>
      </c>
      <c r="I67" s="466">
        <v>0</v>
      </c>
      <c r="J67" s="466">
        <v>0</v>
      </c>
      <c r="K67" s="1683">
        <f>SUM(C67:J67)</f>
        <v>0</v>
      </c>
      <c r="L67" s="466">
        <v>0</v>
      </c>
      <c r="M67" s="601"/>
      <c r="N67" s="601"/>
    </row>
    <row r="68" spans="1:14" s="343" customFormat="1" x14ac:dyDescent="0.2">
      <c r="A68" s="1515" t="s">
        <v>628</v>
      </c>
      <c r="B68" s="606">
        <v>2620</v>
      </c>
      <c r="C68" s="466">
        <v>0</v>
      </c>
      <c r="D68" s="466">
        <v>0</v>
      </c>
      <c r="E68" s="466">
        <v>0</v>
      </c>
      <c r="F68" s="466">
        <v>0</v>
      </c>
      <c r="G68" s="466">
        <v>0</v>
      </c>
      <c r="H68" s="466">
        <v>0</v>
      </c>
      <c r="I68" s="466">
        <v>0</v>
      </c>
      <c r="J68" s="466">
        <v>0</v>
      </c>
      <c r="K68" s="1683">
        <f>SUM(C68:J68)</f>
        <v>0</v>
      </c>
      <c r="L68" s="466">
        <v>0</v>
      </c>
      <c r="M68" s="601"/>
      <c r="N68" s="601"/>
    </row>
    <row r="69" spans="1:14" s="343" customFormat="1" x14ac:dyDescent="0.2">
      <c r="A69" s="1515" t="s">
        <v>1121</v>
      </c>
      <c r="B69" s="606">
        <v>2630</v>
      </c>
      <c r="C69" s="466">
        <v>0</v>
      </c>
      <c r="D69" s="466">
        <v>0</v>
      </c>
      <c r="E69" s="466">
        <v>0</v>
      </c>
      <c r="F69" s="466">
        <v>0</v>
      </c>
      <c r="G69" s="466">
        <v>0</v>
      </c>
      <c r="H69" s="466">
        <v>0</v>
      </c>
      <c r="I69" s="466">
        <v>0</v>
      </c>
      <c r="J69" s="466">
        <v>0</v>
      </c>
      <c r="K69" s="1683">
        <f>SUM(C69:J69)</f>
        <v>0</v>
      </c>
      <c r="L69" s="466">
        <v>0</v>
      </c>
      <c r="M69" s="601"/>
      <c r="N69" s="601"/>
    </row>
    <row r="70" spans="1:14" s="343" customFormat="1" x14ac:dyDescent="0.2">
      <c r="A70" s="1515" t="s">
        <v>423</v>
      </c>
      <c r="B70" s="606">
        <v>2640</v>
      </c>
      <c r="C70" s="466">
        <v>0</v>
      </c>
      <c r="D70" s="466">
        <v>0</v>
      </c>
      <c r="E70" s="466">
        <v>0</v>
      </c>
      <c r="F70" s="466">
        <v>0</v>
      </c>
      <c r="G70" s="466">
        <v>0</v>
      </c>
      <c r="H70" s="466">
        <v>0</v>
      </c>
      <c r="I70" s="466">
        <v>0</v>
      </c>
      <c r="J70" s="466">
        <v>0</v>
      </c>
      <c r="K70" s="1683">
        <f>SUM(C70:J70)</f>
        <v>0</v>
      </c>
      <c r="L70" s="466">
        <v>0</v>
      </c>
      <c r="M70" s="601"/>
      <c r="N70" s="601"/>
    </row>
    <row r="71" spans="1:14" s="343" customFormat="1" x14ac:dyDescent="0.2">
      <c r="A71" s="1515" t="s">
        <v>424</v>
      </c>
      <c r="B71" s="606">
        <v>2660</v>
      </c>
      <c r="C71" s="466">
        <v>72520</v>
      </c>
      <c r="D71" s="466">
        <v>24466</v>
      </c>
      <c r="E71" s="466">
        <v>0</v>
      </c>
      <c r="F71" s="466">
        <v>0</v>
      </c>
      <c r="G71" s="466">
        <v>0</v>
      </c>
      <c r="H71" s="466">
        <v>0</v>
      </c>
      <c r="I71" s="466">
        <v>0</v>
      </c>
      <c r="J71" s="466">
        <v>0</v>
      </c>
      <c r="K71" s="1683">
        <f>SUM(C71:J71)</f>
        <v>96986</v>
      </c>
      <c r="L71" s="466">
        <v>96290</v>
      </c>
      <c r="M71" s="601"/>
      <c r="N71" s="601"/>
    </row>
    <row r="72" spans="1:14" s="343" customFormat="1" ht="12.75" customHeight="1" thickBot="1" x14ac:dyDescent="0.25">
      <c r="A72" s="1679" t="s">
        <v>37</v>
      </c>
      <c r="B72" s="1686" t="s">
        <v>36</v>
      </c>
      <c r="C72" s="1681">
        <f>SUM(C67:C71)</f>
        <v>72520</v>
      </c>
      <c r="D72" s="1681">
        <f t="shared" ref="D72:K72" si="9">SUM(D67:D71)</f>
        <v>24466</v>
      </c>
      <c r="E72" s="1681">
        <f t="shared" si="9"/>
        <v>0</v>
      </c>
      <c r="F72" s="1681">
        <f t="shared" si="9"/>
        <v>0</v>
      </c>
      <c r="G72" s="1681">
        <f t="shared" si="9"/>
        <v>0</v>
      </c>
      <c r="H72" s="1681">
        <f t="shared" si="9"/>
        <v>0</v>
      </c>
      <c r="I72" s="1681">
        <f t="shared" si="9"/>
        <v>0</v>
      </c>
      <c r="J72" s="1681">
        <f t="shared" si="9"/>
        <v>0</v>
      </c>
      <c r="K72" s="1681">
        <f t="shared" si="9"/>
        <v>96986</v>
      </c>
      <c r="L72" s="1681">
        <f>SUM(L67:L71)</f>
        <v>96290</v>
      </c>
      <c r="M72" s="601"/>
      <c r="N72" s="601"/>
    </row>
    <row r="73" spans="1:14" s="343" customFormat="1" ht="14.25" thickTop="1" thickBot="1" x14ac:dyDescent="0.25">
      <c r="A73" s="1521" t="s">
        <v>1037</v>
      </c>
      <c r="B73" s="624" t="s">
        <v>595</v>
      </c>
      <c r="C73" s="567">
        <v>0</v>
      </c>
      <c r="D73" s="567">
        <v>7520</v>
      </c>
      <c r="E73" s="567">
        <v>8898</v>
      </c>
      <c r="F73" s="567">
        <v>0</v>
      </c>
      <c r="G73" s="567">
        <v>0</v>
      </c>
      <c r="H73" s="567">
        <v>0</v>
      </c>
      <c r="I73" s="567">
        <v>0</v>
      </c>
      <c r="J73" s="567">
        <v>0</v>
      </c>
      <c r="K73" s="1681">
        <f>SUM(C73:J73)</f>
        <v>16418</v>
      </c>
      <c r="L73" s="567">
        <v>28225</v>
      </c>
      <c r="M73" s="601"/>
      <c r="N73" s="601"/>
    </row>
    <row r="74" spans="1:14" ht="12.75" customHeight="1" thickTop="1" thickBot="1" x14ac:dyDescent="0.25">
      <c r="A74" s="1679" t="s">
        <v>865</v>
      </c>
      <c r="B74" s="1687">
        <v>2000</v>
      </c>
      <c r="C74" s="1688">
        <f>SUM(C42,C47,C53,C57,C65,C72,C73)</f>
        <v>1663814</v>
      </c>
      <c r="D74" s="1688">
        <f t="shared" ref="D74:K74" si="10">SUM(D42,D47,D53,D57,D65,D72,D73)</f>
        <v>304989</v>
      </c>
      <c r="E74" s="1688">
        <f t="shared" si="10"/>
        <v>336452</v>
      </c>
      <c r="F74" s="1688">
        <f t="shared" si="10"/>
        <v>237728</v>
      </c>
      <c r="G74" s="1688">
        <f t="shared" si="10"/>
        <v>245362</v>
      </c>
      <c r="H74" s="1688">
        <f t="shared" si="10"/>
        <v>0</v>
      </c>
      <c r="I74" s="1688">
        <f t="shared" si="10"/>
        <v>527</v>
      </c>
      <c r="J74" s="1688">
        <f t="shared" si="10"/>
        <v>0</v>
      </c>
      <c r="K74" s="1688">
        <f t="shared" si="10"/>
        <v>2788872</v>
      </c>
      <c r="L74" s="1688">
        <f>SUM(L42,L47,L53,L57,L65,L72,L73)</f>
        <v>2849514</v>
      </c>
    </row>
    <row r="75" spans="1:14" s="259" customFormat="1" ht="15.75" customHeight="1" thickTop="1" thickBot="1" x14ac:dyDescent="0.25">
      <c r="A75" s="1621" t="s">
        <v>49</v>
      </c>
      <c r="B75" s="1622" t="s">
        <v>596</v>
      </c>
      <c r="C75" s="567">
        <v>0</v>
      </c>
      <c r="D75" s="567">
        <v>0</v>
      </c>
      <c r="E75" s="567">
        <v>98</v>
      </c>
      <c r="F75" s="567">
        <v>0</v>
      </c>
      <c r="G75" s="567">
        <v>0</v>
      </c>
      <c r="H75" s="567">
        <v>0</v>
      </c>
      <c r="I75" s="567">
        <v>0</v>
      </c>
      <c r="J75" s="567">
        <v>0</v>
      </c>
      <c r="K75" s="1681">
        <f>SUM(C75:J75)</f>
        <v>98</v>
      </c>
      <c r="L75" s="567">
        <v>0</v>
      </c>
      <c r="M75" s="605"/>
      <c r="N75" s="605"/>
    </row>
    <row r="76" spans="1:14" s="625" customFormat="1" ht="15.75" customHeight="1" thickTop="1" x14ac:dyDescent="0.2">
      <c r="A76" s="1623" t="s">
        <v>383</v>
      </c>
      <c r="B76" s="1620" t="s">
        <v>915</v>
      </c>
      <c r="C76" s="610"/>
      <c r="D76" s="610"/>
      <c r="E76" s="608"/>
      <c r="F76" s="610"/>
      <c r="G76" s="610"/>
      <c r="H76" s="608"/>
      <c r="I76" s="608"/>
      <c r="J76" s="608"/>
      <c r="K76" s="608"/>
      <c r="L76" s="608"/>
      <c r="M76" s="184"/>
      <c r="N76" s="184"/>
    </row>
    <row r="77" spans="1:14" s="259" customFormat="1" ht="15.75" customHeight="1" x14ac:dyDescent="0.2">
      <c r="A77" s="613" t="s">
        <v>635</v>
      </c>
      <c r="B77" s="614"/>
      <c r="C77" s="608"/>
      <c r="D77" s="608"/>
      <c r="E77" s="615"/>
      <c r="F77" s="608"/>
      <c r="G77" s="608"/>
      <c r="H77" s="615"/>
      <c r="I77" s="608"/>
      <c r="J77" s="608"/>
      <c r="K77" s="615"/>
      <c r="L77" s="615"/>
      <c r="M77" s="605"/>
      <c r="N77" s="605"/>
    </row>
    <row r="78" spans="1:14" x14ac:dyDescent="0.2">
      <c r="A78" s="1515" t="s">
        <v>517</v>
      </c>
      <c r="B78" s="606">
        <v>4110</v>
      </c>
      <c r="C78" s="608"/>
      <c r="D78" s="608"/>
      <c r="E78" s="466">
        <v>0</v>
      </c>
      <c r="F78" s="608"/>
      <c r="G78" s="608"/>
      <c r="H78" s="466">
        <v>0</v>
      </c>
      <c r="I78" s="474"/>
      <c r="J78" s="474"/>
      <c r="K78" s="1682">
        <f t="shared" ref="K78:K83" si="11">SUM(C78:J78)</f>
        <v>0</v>
      </c>
      <c r="L78" s="466">
        <v>0</v>
      </c>
    </row>
    <row r="79" spans="1:14" x14ac:dyDescent="0.2">
      <c r="A79" s="1515" t="s">
        <v>322</v>
      </c>
      <c r="B79" s="606">
        <v>4120</v>
      </c>
      <c r="C79" s="608"/>
      <c r="D79" s="608"/>
      <c r="E79" s="466">
        <v>0</v>
      </c>
      <c r="F79" s="608"/>
      <c r="G79" s="608"/>
      <c r="H79" s="466">
        <v>0</v>
      </c>
      <c r="I79" s="474"/>
      <c r="J79" s="474"/>
      <c r="K79" s="1682">
        <f t="shared" si="11"/>
        <v>0</v>
      </c>
      <c r="L79" s="466">
        <v>185000</v>
      </c>
    </row>
    <row r="80" spans="1:14" x14ac:dyDescent="0.2">
      <c r="A80" s="1515" t="s">
        <v>323</v>
      </c>
      <c r="B80" s="606">
        <v>4130</v>
      </c>
      <c r="C80" s="608"/>
      <c r="D80" s="608"/>
      <c r="E80" s="466">
        <v>0</v>
      </c>
      <c r="F80" s="608"/>
      <c r="G80" s="608"/>
      <c r="H80" s="466">
        <v>0</v>
      </c>
      <c r="I80" s="474"/>
      <c r="J80" s="474"/>
      <c r="K80" s="1682">
        <f t="shared" si="11"/>
        <v>0</v>
      </c>
      <c r="L80" s="466">
        <v>0</v>
      </c>
    </row>
    <row r="81" spans="1:12" x14ac:dyDescent="0.2">
      <c r="A81" s="1515" t="s">
        <v>721</v>
      </c>
      <c r="B81" s="606">
        <v>4140</v>
      </c>
      <c r="C81" s="608"/>
      <c r="D81" s="608"/>
      <c r="E81" s="466">
        <v>0</v>
      </c>
      <c r="F81" s="608"/>
      <c r="G81" s="608"/>
      <c r="H81" s="466">
        <v>0</v>
      </c>
      <c r="I81" s="474"/>
      <c r="J81" s="474"/>
      <c r="K81" s="1682">
        <f t="shared" si="11"/>
        <v>0</v>
      </c>
      <c r="L81" s="466">
        <v>0</v>
      </c>
    </row>
    <row r="82" spans="1:12" x14ac:dyDescent="0.2">
      <c r="A82" s="1515" t="s">
        <v>88</v>
      </c>
      <c r="B82" s="606">
        <v>4170</v>
      </c>
      <c r="C82" s="608"/>
      <c r="D82" s="608"/>
      <c r="E82" s="466">
        <v>0</v>
      </c>
      <c r="F82" s="608"/>
      <c r="G82" s="608"/>
      <c r="H82" s="466">
        <v>0</v>
      </c>
      <c r="I82" s="474"/>
      <c r="J82" s="474"/>
      <c r="K82" s="1682">
        <f t="shared" si="11"/>
        <v>0</v>
      </c>
      <c r="L82" s="466">
        <v>0</v>
      </c>
    </row>
    <row r="83" spans="1:12" x14ac:dyDescent="0.2">
      <c r="A83" s="1519" t="s">
        <v>722</v>
      </c>
      <c r="B83" s="620">
        <v>4190</v>
      </c>
      <c r="C83" s="608"/>
      <c r="D83" s="608"/>
      <c r="E83" s="466">
        <v>0</v>
      </c>
      <c r="F83" s="608"/>
      <c r="G83" s="608"/>
      <c r="H83" s="466">
        <v>0</v>
      </c>
      <c r="I83" s="474"/>
      <c r="J83" s="474"/>
      <c r="K83" s="1682">
        <f t="shared" si="11"/>
        <v>0</v>
      </c>
      <c r="L83" s="466">
        <v>42600</v>
      </c>
    </row>
    <row r="84" spans="1:12" ht="13.5" thickBot="1" x14ac:dyDescent="0.25">
      <c r="A84" s="1679" t="s">
        <v>1565</v>
      </c>
      <c r="B84" s="1689">
        <v>4100</v>
      </c>
      <c r="C84" s="608"/>
      <c r="D84" s="608"/>
      <c r="E84" s="1681">
        <f>SUM(E78:E83)</f>
        <v>0</v>
      </c>
      <c r="F84" s="608"/>
      <c r="G84" s="608"/>
      <c r="H84" s="1681">
        <f>SUM(H78:H83)</f>
        <v>0</v>
      </c>
      <c r="I84" s="474"/>
      <c r="J84" s="474"/>
      <c r="K84" s="1681">
        <f>SUM(K78:K83)</f>
        <v>0</v>
      </c>
      <c r="L84" s="1681">
        <f>SUM(L78:L83)</f>
        <v>227600</v>
      </c>
    </row>
    <row r="85" spans="1:12" ht="12.75" customHeight="1" thickTop="1" thickBot="1" x14ac:dyDescent="0.25">
      <c r="A85" s="1522" t="s">
        <v>273</v>
      </c>
      <c r="B85" s="626">
        <v>4210</v>
      </c>
      <c r="C85" s="608"/>
      <c r="D85" s="608"/>
      <c r="E85" s="627"/>
      <c r="F85" s="608"/>
      <c r="G85" s="608"/>
      <c r="H85" s="531">
        <v>0</v>
      </c>
      <c r="I85" s="474"/>
      <c r="J85" s="474"/>
      <c r="K85" s="1688">
        <f>H85</f>
        <v>0</v>
      </c>
      <c r="L85" s="526">
        <v>0</v>
      </c>
    </row>
    <row r="86" spans="1:12" ht="12.75" customHeight="1" thickTop="1" thickBot="1" x14ac:dyDescent="0.25">
      <c r="A86" s="1523" t="s">
        <v>723</v>
      </c>
      <c r="B86" s="628">
        <v>4220</v>
      </c>
      <c r="C86" s="608"/>
      <c r="D86" s="608"/>
      <c r="E86" s="629"/>
      <c r="F86" s="608"/>
      <c r="G86" s="608"/>
      <c r="H86" s="467">
        <v>307556</v>
      </c>
      <c r="I86" s="474"/>
      <c r="J86" s="474"/>
      <c r="K86" s="1688">
        <f t="shared" ref="K86:K98" si="12">H86</f>
        <v>307556</v>
      </c>
      <c r="L86" s="526">
        <v>40000</v>
      </c>
    </row>
    <row r="87" spans="1:12" ht="14.25" thickTop="1" thickBot="1" x14ac:dyDescent="0.25">
      <c r="A87" s="1524" t="s">
        <v>724</v>
      </c>
      <c r="B87" s="630">
        <v>4230</v>
      </c>
      <c r="C87" s="608"/>
      <c r="D87" s="608"/>
      <c r="E87" s="629"/>
      <c r="F87" s="608"/>
      <c r="G87" s="608"/>
      <c r="H87" s="467">
        <v>0</v>
      </c>
      <c r="I87" s="474"/>
      <c r="J87" s="474"/>
      <c r="K87" s="1688">
        <f t="shared" si="12"/>
        <v>0</v>
      </c>
      <c r="L87" s="526">
        <v>0</v>
      </c>
    </row>
    <row r="88" spans="1:12" ht="12.75" customHeight="1" thickTop="1" thickBot="1" x14ac:dyDescent="0.25">
      <c r="A88" s="1524" t="s">
        <v>789</v>
      </c>
      <c r="B88" s="630">
        <v>4240</v>
      </c>
      <c r="C88" s="608"/>
      <c r="D88" s="608"/>
      <c r="E88" s="629"/>
      <c r="F88" s="608"/>
      <c r="G88" s="608"/>
      <c r="H88" s="467">
        <v>0</v>
      </c>
      <c r="I88" s="474"/>
      <c r="J88" s="474"/>
      <c r="K88" s="1688">
        <f t="shared" si="12"/>
        <v>0</v>
      </c>
      <c r="L88" s="526">
        <v>0</v>
      </c>
    </row>
    <row r="89" spans="1:12" ht="12.75" customHeight="1" thickTop="1" thickBot="1" x14ac:dyDescent="0.25">
      <c r="A89" s="1524" t="s">
        <v>725</v>
      </c>
      <c r="B89" s="630">
        <v>4270</v>
      </c>
      <c r="C89" s="608"/>
      <c r="D89" s="608"/>
      <c r="E89" s="629"/>
      <c r="F89" s="608"/>
      <c r="G89" s="608"/>
      <c r="H89" s="467">
        <v>0</v>
      </c>
      <c r="I89" s="474"/>
      <c r="J89" s="474"/>
      <c r="K89" s="1688">
        <f t="shared" si="12"/>
        <v>0</v>
      </c>
      <c r="L89" s="526">
        <v>0</v>
      </c>
    </row>
    <row r="90" spans="1:12" ht="12.75" customHeight="1" thickTop="1" thickBot="1" x14ac:dyDescent="0.25">
      <c r="A90" s="1524" t="s">
        <v>710</v>
      </c>
      <c r="B90" s="630">
        <v>4280</v>
      </c>
      <c r="C90" s="608"/>
      <c r="D90" s="608"/>
      <c r="E90" s="629"/>
      <c r="F90" s="608"/>
      <c r="G90" s="608"/>
      <c r="H90" s="467">
        <v>0</v>
      </c>
      <c r="I90" s="474"/>
      <c r="J90" s="474"/>
      <c r="K90" s="1688">
        <f t="shared" si="12"/>
        <v>0</v>
      </c>
      <c r="L90" s="526">
        <v>0</v>
      </c>
    </row>
    <row r="91" spans="1:12" ht="12.75" customHeight="1" thickTop="1" thickBot="1" x14ac:dyDescent="0.25">
      <c r="A91" s="1524" t="s">
        <v>711</v>
      </c>
      <c r="B91" s="630">
        <v>4290</v>
      </c>
      <c r="C91" s="608"/>
      <c r="D91" s="608"/>
      <c r="E91" s="629"/>
      <c r="F91" s="608"/>
      <c r="G91" s="608"/>
      <c r="H91" s="467">
        <v>0</v>
      </c>
      <c r="I91" s="474"/>
      <c r="J91" s="474"/>
      <c r="K91" s="1688">
        <f t="shared" si="12"/>
        <v>0</v>
      </c>
      <c r="L91" s="526">
        <v>0</v>
      </c>
    </row>
    <row r="92" spans="1:12" ht="14.25" thickTop="1" thickBot="1" x14ac:dyDescent="0.25">
      <c r="A92" s="1691" t="s">
        <v>1641</v>
      </c>
      <c r="B92" s="1689">
        <v>4200</v>
      </c>
      <c r="C92" s="608"/>
      <c r="D92" s="608"/>
      <c r="E92" s="629"/>
      <c r="F92" s="608"/>
      <c r="G92" s="608"/>
      <c r="H92" s="1681">
        <f>SUM(H85:H91)</f>
        <v>307556</v>
      </c>
      <c r="I92" s="474"/>
      <c r="J92" s="474"/>
      <c r="K92" s="1688">
        <f t="shared" si="12"/>
        <v>307556</v>
      </c>
      <c r="L92" s="1681">
        <f>SUM(L85:L91)</f>
        <v>40000</v>
      </c>
    </row>
    <row r="93" spans="1:12" ht="14.25" thickTop="1" thickBot="1" x14ac:dyDescent="0.25">
      <c r="A93" s="1523" t="s">
        <v>712</v>
      </c>
      <c r="B93" s="631">
        <v>4310</v>
      </c>
      <c r="C93" s="608"/>
      <c r="D93" s="608"/>
      <c r="E93" s="629"/>
      <c r="F93" s="608"/>
      <c r="G93" s="608"/>
      <c r="H93" s="632">
        <v>0</v>
      </c>
      <c r="I93" s="474"/>
      <c r="J93" s="474"/>
      <c r="K93" s="1688">
        <f t="shared" si="12"/>
        <v>0</v>
      </c>
      <c r="L93" s="528">
        <v>0</v>
      </c>
    </row>
    <row r="94" spans="1:12" ht="12.75" customHeight="1" thickTop="1" thickBot="1" x14ac:dyDescent="0.25">
      <c r="A94" s="1524" t="s">
        <v>713</v>
      </c>
      <c r="B94" s="630">
        <v>4320</v>
      </c>
      <c r="C94" s="608"/>
      <c r="D94" s="608"/>
      <c r="E94" s="629"/>
      <c r="F94" s="608"/>
      <c r="G94" s="608"/>
      <c r="H94" s="467">
        <v>0</v>
      </c>
      <c r="I94" s="474"/>
      <c r="J94" s="474"/>
      <c r="K94" s="1688">
        <f t="shared" si="12"/>
        <v>0</v>
      </c>
      <c r="L94" s="528">
        <v>0</v>
      </c>
    </row>
    <row r="95" spans="1:12" ht="15" customHeight="1" thickTop="1" thickBot="1" x14ac:dyDescent="0.25">
      <c r="A95" s="1524" t="s">
        <v>1568</v>
      </c>
      <c r="B95" s="630">
        <v>4330</v>
      </c>
      <c r="C95" s="608"/>
      <c r="D95" s="608"/>
      <c r="E95" s="629"/>
      <c r="F95" s="608"/>
      <c r="G95" s="608"/>
      <c r="H95" s="467">
        <v>0</v>
      </c>
      <c r="I95" s="474"/>
      <c r="J95" s="474"/>
      <c r="K95" s="1688">
        <f t="shared" si="12"/>
        <v>0</v>
      </c>
      <c r="L95" s="528">
        <v>0</v>
      </c>
    </row>
    <row r="96" spans="1:12" ht="14.25" thickTop="1" thickBot="1" x14ac:dyDescent="0.25">
      <c r="A96" s="1524" t="s">
        <v>714</v>
      </c>
      <c r="B96" s="630">
        <v>4340</v>
      </c>
      <c r="C96" s="608"/>
      <c r="D96" s="608"/>
      <c r="E96" s="629"/>
      <c r="F96" s="608"/>
      <c r="G96" s="608"/>
      <c r="H96" s="467">
        <v>0</v>
      </c>
      <c r="I96" s="474"/>
      <c r="J96" s="474"/>
      <c r="K96" s="1688">
        <f t="shared" si="12"/>
        <v>0</v>
      </c>
      <c r="L96" s="528">
        <v>0</v>
      </c>
    </row>
    <row r="97" spans="1:14" ht="12.75" customHeight="1" thickTop="1" thickBot="1" x14ac:dyDescent="0.25">
      <c r="A97" s="1524" t="s">
        <v>787</v>
      </c>
      <c r="B97" s="630">
        <v>4370</v>
      </c>
      <c r="C97" s="608"/>
      <c r="D97" s="608"/>
      <c r="E97" s="629"/>
      <c r="F97" s="608"/>
      <c r="G97" s="608"/>
      <c r="H97" s="467">
        <v>0</v>
      </c>
      <c r="I97" s="474"/>
      <c r="J97" s="474"/>
      <c r="K97" s="1688">
        <f t="shared" si="12"/>
        <v>0</v>
      </c>
      <c r="L97" s="528">
        <v>0</v>
      </c>
    </row>
    <row r="98" spans="1:14" ht="14.25" thickTop="1" thickBot="1" x14ac:dyDescent="0.25">
      <c r="A98" s="1524" t="s">
        <v>788</v>
      </c>
      <c r="B98" s="630">
        <v>4380</v>
      </c>
      <c r="C98" s="608"/>
      <c r="D98" s="608"/>
      <c r="E98" s="633"/>
      <c r="F98" s="608"/>
      <c r="G98" s="608"/>
      <c r="H98" s="467">
        <v>0</v>
      </c>
      <c r="I98" s="474"/>
      <c r="J98" s="474"/>
      <c r="K98" s="1688">
        <f t="shared" si="12"/>
        <v>0</v>
      </c>
      <c r="L98" s="528">
        <v>0</v>
      </c>
    </row>
    <row r="99" spans="1:14" ht="14.25" thickTop="1" thickBot="1" x14ac:dyDescent="0.25">
      <c r="A99" s="1524" t="s">
        <v>385</v>
      </c>
      <c r="B99" s="630">
        <v>4390</v>
      </c>
      <c r="C99" s="608"/>
      <c r="D99" s="608"/>
      <c r="E99" s="528">
        <v>0</v>
      </c>
      <c r="F99" s="608"/>
      <c r="G99" s="608"/>
      <c r="H99" s="467">
        <v>0</v>
      </c>
      <c r="I99" s="474"/>
      <c r="J99" s="474"/>
      <c r="K99" s="1688">
        <f>SUM(E99,H99)</f>
        <v>0</v>
      </c>
      <c r="L99" s="528">
        <v>0</v>
      </c>
    </row>
    <row r="100" spans="1:14" ht="14.25" thickTop="1" thickBot="1" x14ac:dyDescent="0.25">
      <c r="A100" s="1691" t="s">
        <v>1566</v>
      </c>
      <c r="B100" s="1692">
        <v>4300</v>
      </c>
      <c r="C100" s="608"/>
      <c r="D100" s="608"/>
      <c r="E100" s="1688">
        <f>SUM(E93:E99)</f>
        <v>0</v>
      </c>
      <c r="F100" s="608"/>
      <c r="G100" s="608"/>
      <c r="H100" s="1688">
        <f>SUM(H93:H99)</f>
        <v>0</v>
      </c>
      <c r="I100" s="474"/>
      <c r="J100" s="474"/>
      <c r="K100" s="1688">
        <f>SUM(K93:K99)</f>
        <v>0</v>
      </c>
      <c r="L100" s="1688">
        <f>SUM(L93:L99)</f>
        <v>0</v>
      </c>
    </row>
    <row r="101" spans="1:14" ht="12.75" customHeight="1" thickTop="1" thickBot="1" x14ac:dyDescent="0.25">
      <c r="A101" s="1521" t="s">
        <v>1569</v>
      </c>
      <c r="B101" s="634" t="s">
        <v>988</v>
      </c>
      <c r="C101" s="608"/>
      <c r="D101" s="608"/>
      <c r="E101" s="527">
        <v>0</v>
      </c>
      <c r="F101" s="608"/>
      <c r="G101" s="608"/>
      <c r="H101" s="527">
        <v>0</v>
      </c>
      <c r="I101" s="474"/>
      <c r="J101" s="474"/>
      <c r="K101" s="1690">
        <f>SUM(C101:J101)</f>
        <v>0</v>
      </c>
      <c r="L101" s="527">
        <v>0</v>
      </c>
    </row>
    <row r="102" spans="1:14" ht="12.75" customHeight="1" thickTop="1" thickBot="1" x14ac:dyDescent="0.25">
      <c r="A102" s="1679" t="s">
        <v>1567</v>
      </c>
      <c r="B102" s="1689">
        <v>4000</v>
      </c>
      <c r="C102" s="608"/>
      <c r="D102" s="608"/>
      <c r="E102" s="1688">
        <f>SUM(E84,E92,E100,E101)</f>
        <v>0</v>
      </c>
      <c r="F102" s="608"/>
      <c r="G102" s="608"/>
      <c r="H102" s="1688">
        <f>SUM(H84,H92,H100,H101)</f>
        <v>307556</v>
      </c>
      <c r="I102" s="474"/>
      <c r="J102" s="474"/>
      <c r="K102" s="1688">
        <f>SUM(K84,K92,K100,K101)</f>
        <v>307556</v>
      </c>
      <c r="L102" s="1688">
        <f>SUM(L84,L92,L100,L101)</f>
        <v>267600</v>
      </c>
    </row>
    <row r="103" spans="1:14" s="625" customFormat="1" ht="15.75" customHeight="1" thickTop="1" x14ac:dyDescent="0.2">
      <c r="A103" s="1623" t="s">
        <v>534</v>
      </c>
      <c r="B103" s="1620" t="s">
        <v>513</v>
      </c>
      <c r="C103" s="608"/>
      <c r="D103" s="608"/>
      <c r="E103" s="608"/>
      <c r="F103" s="608"/>
      <c r="G103" s="608"/>
      <c r="H103" s="610"/>
      <c r="I103" s="468"/>
      <c r="J103" s="468"/>
      <c r="K103" s="610"/>
      <c r="L103" s="610"/>
      <c r="M103" s="184"/>
      <c r="N103" s="184"/>
    </row>
    <row r="104" spans="1:14" s="637" customFormat="1" ht="15.75" customHeight="1" x14ac:dyDescent="0.2">
      <c r="A104" s="635" t="s">
        <v>636</v>
      </c>
      <c r="B104" s="636"/>
      <c r="C104" s="608"/>
      <c r="D104" s="608"/>
      <c r="E104" s="608"/>
      <c r="F104" s="608"/>
      <c r="G104" s="608"/>
      <c r="H104" s="615"/>
      <c r="I104" s="468"/>
      <c r="J104" s="468"/>
      <c r="K104" s="615"/>
      <c r="L104" s="615"/>
      <c r="M104" s="605"/>
      <c r="N104" s="605"/>
    </row>
    <row r="105" spans="1:14" s="589" customFormat="1" x14ac:dyDescent="0.2">
      <c r="A105" s="1515" t="s">
        <v>89</v>
      </c>
      <c r="B105" s="606">
        <v>5110</v>
      </c>
      <c r="C105" s="608"/>
      <c r="D105" s="608"/>
      <c r="E105" s="608"/>
      <c r="F105" s="608"/>
      <c r="G105" s="608"/>
      <c r="H105" s="467">
        <v>0</v>
      </c>
      <c r="I105" s="468"/>
      <c r="J105" s="468"/>
      <c r="K105" s="1682">
        <f>H105</f>
        <v>0</v>
      </c>
      <c r="L105" s="467">
        <v>0</v>
      </c>
      <c r="M105" s="210"/>
      <c r="N105" s="210"/>
    </row>
    <row r="106" spans="1:14" s="589" customFormat="1" x14ac:dyDescent="0.2">
      <c r="A106" s="1515" t="s">
        <v>90</v>
      </c>
      <c r="B106" s="606">
        <v>5120</v>
      </c>
      <c r="C106" s="608"/>
      <c r="D106" s="608"/>
      <c r="E106" s="608"/>
      <c r="F106" s="608"/>
      <c r="G106" s="608"/>
      <c r="H106" s="467">
        <v>0</v>
      </c>
      <c r="I106" s="468"/>
      <c r="J106" s="468"/>
      <c r="K106" s="1682">
        <f>H106</f>
        <v>0</v>
      </c>
      <c r="L106" s="467">
        <v>0</v>
      </c>
      <c r="M106" s="210"/>
      <c r="N106" s="210"/>
    </row>
    <row r="107" spans="1:14" s="589" customFormat="1" ht="12.75" customHeight="1" x14ac:dyDescent="0.2">
      <c r="A107" s="1515" t="s">
        <v>1232</v>
      </c>
      <c r="B107" s="606">
        <v>5130</v>
      </c>
      <c r="C107" s="608"/>
      <c r="D107" s="608"/>
      <c r="E107" s="608"/>
      <c r="F107" s="608"/>
      <c r="G107" s="608"/>
      <c r="H107" s="467">
        <v>0</v>
      </c>
      <c r="I107" s="468"/>
      <c r="J107" s="468"/>
      <c r="K107" s="1682">
        <f>H107</f>
        <v>0</v>
      </c>
      <c r="L107" s="467">
        <v>0</v>
      </c>
      <c r="M107" s="210"/>
      <c r="N107" s="210"/>
    </row>
    <row r="108" spans="1:14" s="589" customFormat="1" x14ac:dyDescent="0.2">
      <c r="A108" s="1515" t="s">
        <v>91</v>
      </c>
      <c r="B108" s="606" t="s">
        <v>610</v>
      </c>
      <c r="C108" s="608"/>
      <c r="D108" s="608"/>
      <c r="E108" s="608"/>
      <c r="F108" s="608"/>
      <c r="G108" s="608"/>
      <c r="H108" s="467">
        <v>0</v>
      </c>
      <c r="I108" s="468"/>
      <c r="J108" s="468"/>
      <c r="K108" s="1682">
        <f>H108</f>
        <v>0</v>
      </c>
      <c r="L108" s="467">
        <v>0</v>
      </c>
      <c r="M108" s="210"/>
      <c r="N108" s="210"/>
    </row>
    <row r="109" spans="1:14" s="589" customFormat="1" x14ac:dyDescent="0.2">
      <c r="A109" s="1515" t="s">
        <v>272</v>
      </c>
      <c r="B109" s="620">
        <v>5150</v>
      </c>
      <c r="C109" s="608"/>
      <c r="D109" s="608"/>
      <c r="E109" s="608"/>
      <c r="F109" s="608"/>
      <c r="G109" s="608"/>
      <c r="H109" s="467">
        <v>0</v>
      </c>
      <c r="I109" s="468"/>
      <c r="J109" s="468"/>
      <c r="K109" s="1682">
        <f>H109</f>
        <v>0</v>
      </c>
      <c r="L109" s="467">
        <v>0</v>
      </c>
      <c r="M109" s="210"/>
      <c r="N109" s="210"/>
    </row>
    <row r="110" spans="1:14" s="589" customFormat="1" ht="12.75" customHeight="1" thickBot="1" x14ac:dyDescent="0.25">
      <c r="A110" s="1679" t="s">
        <v>1164</v>
      </c>
      <c r="B110" s="1686" t="s">
        <v>742</v>
      </c>
      <c r="C110" s="608"/>
      <c r="D110" s="608"/>
      <c r="E110" s="608"/>
      <c r="F110" s="608"/>
      <c r="G110" s="608"/>
      <c r="H110" s="1681">
        <f>SUM(H105:H109)</f>
        <v>0</v>
      </c>
      <c r="I110" s="468"/>
      <c r="J110" s="468"/>
      <c r="K110" s="1681">
        <f>SUM(K105:K109)</f>
        <v>0</v>
      </c>
      <c r="L110" s="1681">
        <f>SUM(L105:L109)</f>
        <v>0</v>
      </c>
      <c r="M110" s="210"/>
      <c r="N110" s="210"/>
    </row>
    <row r="111" spans="1:14" s="589" customFormat="1" ht="12.75" customHeight="1" thickTop="1" thickBot="1" x14ac:dyDescent="0.25">
      <c r="A111" s="1525" t="s">
        <v>386</v>
      </c>
      <c r="B111" s="638" t="s">
        <v>38</v>
      </c>
      <c r="C111" s="608"/>
      <c r="D111" s="608"/>
      <c r="E111" s="608"/>
      <c r="F111" s="608"/>
      <c r="G111" s="608"/>
      <c r="H111" s="531">
        <v>0</v>
      </c>
      <c r="I111" s="468"/>
      <c r="J111" s="468"/>
      <c r="K111" s="1694">
        <f>H111</f>
        <v>0</v>
      </c>
      <c r="L111" s="528">
        <v>0</v>
      </c>
      <c r="M111" s="210"/>
      <c r="N111" s="210"/>
    </row>
    <row r="112" spans="1:14" s="589" customFormat="1" ht="12.75" customHeight="1" thickTop="1" thickBot="1" x14ac:dyDescent="0.25">
      <c r="A112" s="1679" t="s">
        <v>659</v>
      </c>
      <c r="B112" s="1680" t="s">
        <v>513</v>
      </c>
      <c r="C112" s="608"/>
      <c r="D112" s="608"/>
      <c r="E112" s="608"/>
      <c r="F112" s="608"/>
      <c r="G112" s="608"/>
      <c r="H112" s="1681">
        <f>SUM(H110:H111)</f>
        <v>0</v>
      </c>
      <c r="I112" s="468"/>
      <c r="J112" s="468"/>
      <c r="K112" s="1681">
        <f>SUM(K110:K111)</f>
        <v>0</v>
      </c>
      <c r="L112" s="1688">
        <f>SUM(L110,L111)</f>
        <v>0</v>
      </c>
      <c r="M112" s="210"/>
      <c r="N112" s="210"/>
    </row>
    <row r="113" spans="1:14" s="259" customFormat="1" ht="15.75" customHeight="1" thickTop="1" thickBot="1" x14ac:dyDescent="0.25">
      <c r="A113" s="1617" t="s">
        <v>535</v>
      </c>
      <c r="B113" s="1624" t="s">
        <v>916</v>
      </c>
      <c r="C113" s="615"/>
      <c r="D113" s="615"/>
      <c r="E113" s="608"/>
      <c r="F113" s="608"/>
      <c r="G113" s="608"/>
      <c r="H113" s="615"/>
      <c r="I113" s="468"/>
      <c r="J113" s="468"/>
      <c r="K113" s="615"/>
      <c r="L113" s="527">
        <v>0</v>
      </c>
      <c r="M113" s="605"/>
      <c r="N113" s="605"/>
    </row>
    <row r="114" spans="1:14" ht="12.75" customHeight="1" thickTop="1" thickBot="1" x14ac:dyDescent="0.25">
      <c r="A114" s="1679" t="s">
        <v>50</v>
      </c>
      <c r="B114" s="1693"/>
      <c r="C114" s="1681">
        <f>SUM(C33,C74,C75,C102,C112,C113)</f>
        <v>6358288</v>
      </c>
      <c r="D114" s="1681">
        <f t="shared" ref="D114:K114" si="13">SUM(D33,D74,D75,D102,D112,D113)</f>
        <v>1149557</v>
      </c>
      <c r="E114" s="1681">
        <f t="shared" si="13"/>
        <v>341869</v>
      </c>
      <c r="F114" s="1681">
        <f t="shared" si="13"/>
        <v>369659</v>
      </c>
      <c r="G114" s="1681">
        <f t="shared" si="13"/>
        <v>248562</v>
      </c>
      <c r="H114" s="1681">
        <f>SUM(H33,H74,H75,H102,H112,H113)</f>
        <v>373951</v>
      </c>
      <c r="I114" s="1681">
        <f t="shared" si="13"/>
        <v>527</v>
      </c>
      <c r="J114" s="1681">
        <f t="shared" si="13"/>
        <v>0</v>
      </c>
      <c r="K114" s="1681">
        <f t="shared" si="13"/>
        <v>8842413</v>
      </c>
      <c r="L114" s="1681">
        <f>SUM(L33,L74,L75,L102,L112,L113)</f>
        <v>9436873</v>
      </c>
    </row>
    <row r="115" spans="1:14" ht="13.5" thickTop="1" x14ac:dyDescent="0.2">
      <c r="A115" s="2163" t="s">
        <v>1053</v>
      </c>
      <c r="B115" s="2164"/>
      <c r="C115" s="610"/>
      <c r="D115" s="610"/>
      <c r="E115" s="610"/>
      <c r="F115" s="610"/>
      <c r="G115" s="610"/>
      <c r="H115" s="610"/>
      <c r="I115" s="610"/>
      <c r="J115" s="610"/>
      <c r="K115" s="1695">
        <f>'Revenues 9-14'!C275-'Expenditures 15-22'!K114</f>
        <v>1265916</v>
      </c>
      <c r="L115" s="610"/>
    </row>
    <row r="116" spans="1:14" s="180" customFormat="1" ht="9" customHeight="1" x14ac:dyDescent="0.2">
      <c r="A116" s="639"/>
      <c r="B116" s="640"/>
      <c r="C116" s="641"/>
      <c r="D116" s="641"/>
      <c r="E116" s="641"/>
      <c r="F116" s="641"/>
      <c r="G116" s="641"/>
      <c r="H116" s="641"/>
      <c r="I116" s="641"/>
      <c r="J116" s="641"/>
      <c r="K116" s="641"/>
      <c r="L116" s="641"/>
      <c r="M116" s="210"/>
      <c r="N116" s="210"/>
    </row>
    <row r="117" spans="1:14" s="642" customFormat="1" ht="16.7" customHeight="1" x14ac:dyDescent="0.2">
      <c r="A117" s="2168" t="s">
        <v>314</v>
      </c>
      <c r="B117" s="2169"/>
      <c r="C117" s="1637"/>
      <c r="D117" s="1638"/>
      <c r="E117" s="1638"/>
      <c r="F117" s="1638"/>
      <c r="G117" s="1638"/>
      <c r="H117" s="1638"/>
      <c r="I117" s="1638"/>
      <c r="J117" s="1638"/>
      <c r="K117" s="1638"/>
      <c r="L117" s="1639"/>
      <c r="M117" s="175"/>
      <c r="N117" s="175"/>
    </row>
    <row r="118" spans="1:14" ht="15.75" customHeight="1" x14ac:dyDescent="0.2">
      <c r="A118" s="1625" t="s">
        <v>1095</v>
      </c>
      <c r="B118" s="1626" t="s">
        <v>590</v>
      </c>
      <c r="C118" s="608"/>
      <c r="D118" s="608"/>
      <c r="E118" s="608"/>
      <c r="F118" s="608"/>
      <c r="G118" s="608"/>
      <c r="H118" s="608"/>
      <c r="I118" s="608"/>
      <c r="J118" s="608"/>
      <c r="K118" s="608"/>
      <c r="L118" s="608"/>
    </row>
    <row r="119" spans="1:14" ht="15.75" customHeight="1" x14ac:dyDescent="0.2">
      <c r="A119" s="643" t="s">
        <v>612</v>
      </c>
      <c r="B119" s="614"/>
      <c r="C119" s="615"/>
      <c r="D119" s="615"/>
      <c r="E119" s="615"/>
      <c r="F119" s="608"/>
      <c r="G119" s="608"/>
      <c r="H119" s="615"/>
      <c r="I119" s="608"/>
      <c r="J119" s="608"/>
      <c r="K119" s="615"/>
      <c r="L119" s="615"/>
    </row>
    <row r="120" spans="1:14" ht="12.75" customHeight="1" x14ac:dyDescent="0.2">
      <c r="A120" s="1519" t="s">
        <v>167</v>
      </c>
      <c r="B120" s="620">
        <v>2190</v>
      </c>
      <c r="C120" s="466">
        <v>0</v>
      </c>
      <c r="D120" s="466">
        <v>0</v>
      </c>
      <c r="E120" s="466">
        <v>0</v>
      </c>
      <c r="F120" s="466">
        <v>0</v>
      </c>
      <c r="G120" s="466">
        <v>0</v>
      </c>
      <c r="H120" s="466">
        <v>0</v>
      </c>
      <c r="I120" s="466">
        <v>0</v>
      </c>
      <c r="J120" s="466">
        <v>0</v>
      </c>
      <c r="K120" s="1682">
        <f>SUM(C120:J120)</f>
        <v>0</v>
      </c>
      <c r="L120" s="466">
        <v>0</v>
      </c>
    </row>
    <row r="121" spans="1:14" ht="15.75" customHeight="1" x14ac:dyDescent="0.2">
      <c r="A121" s="644" t="s">
        <v>633</v>
      </c>
      <c r="B121" s="614"/>
      <c r="C121" s="517"/>
      <c r="D121" s="517"/>
      <c r="E121" s="517"/>
      <c r="F121" s="517"/>
      <c r="G121" s="517"/>
      <c r="H121" s="517"/>
      <c r="I121" s="608"/>
      <c r="J121" s="608"/>
      <c r="K121" s="615"/>
      <c r="L121" s="517"/>
    </row>
    <row r="122" spans="1:14" ht="13.5" thickBot="1" x14ac:dyDescent="0.25">
      <c r="A122" s="1515" t="s">
        <v>1128</v>
      </c>
      <c r="B122" s="606">
        <v>2510</v>
      </c>
      <c r="C122" s="466">
        <v>0</v>
      </c>
      <c r="D122" s="466">
        <v>0</v>
      </c>
      <c r="E122" s="466">
        <v>0</v>
      </c>
      <c r="F122" s="466">
        <v>0</v>
      </c>
      <c r="G122" s="466">
        <v>0</v>
      </c>
      <c r="H122" s="466">
        <v>0</v>
      </c>
      <c r="I122" s="466">
        <v>0</v>
      </c>
      <c r="J122" s="466">
        <v>0</v>
      </c>
      <c r="K122" s="1681">
        <f>SUM(C122:J122)</f>
        <v>0</v>
      </c>
      <c r="L122" s="466">
        <v>0</v>
      </c>
    </row>
    <row r="123" spans="1:14" ht="14.25" thickTop="1" thickBot="1" x14ac:dyDescent="0.25">
      <c r="A123" s="1515" t="s">
        <v>4</v>
      </c>
      <c r="B123" s="606">
        <v>2530</v>
      </c>
      <c r="C123" s="466">
        <v>0</v>
      </c>
      <c r="D123" s="466">
        <v>0</v>
      </c>
      <c r="E123" s="466">
        <v>150</v>
      </c>
      <c r="F123" s="466">
        <v>0</v>
      </c>
      <c r="G123" s="466">
        <v>0</v>
      </c>
      <c r="H123" s="466">
        <v>0</v>
      </c>
      <c r="I123" s="466">
        <v>0</v>
      </c>
      <c r="J123" s="466">
        <v>0</v>
      </c>
      <c r="K123" s="1681">
        <f>SUM(C123:J123)</f>
        <v>150</v>
      </c>
      <c r="L123" s="466">
        <v>20000</v>
      </c>
    </row>
    <row r="124" spans="1:14" ht="14.25" thickTop="1" thickBot="1" x14ac:dyDescent="0.25">
      <c r="A124" s="1515" t="s">
        <v>206</v>
      </c>
      <c r="B124" s="606">
        <v>2540</v>
      </c>
      <c r="C124" s="466">
        <v>67386</v>
      </c>
      <c r="D124" s="466">
        <v>9342</v>
      </c>
      <c r="E124" s="466">
        <v>504505</v>
      </c>
      <c r="F124" s="466">
        <v>174095</v>
      </c>
      <c r="G124" s="466">
        <v>12305</v>
      </c>
      <c r="H124" s="466">
        <v>0</v>
      </c>
      <c r="I124" s="466">
        <v>0</v>
      </c>
      <c r="J124" s="466">
        <v>0</v>
      </c>
      <c r="K124" s="1681">
        <f>SUM(C124:J124)</f>
        <v>767633</v>
      </c>
      <c r="L124" s="466">
        <v>1047705</v>
      </c>
    </row>
    <row r="125" spans="1:14" ht="14.25" thickTop="1" thickBot="1" x14ac:dyDescent="0.25">
      <c r="A125" s="1515" t="s">
        <v>1010</v>
      </c>
      <c r="B125" s="606">
        <v>2550</v>
      </c>
      <c r="C125" s="466">
        <v>0</v>
      </c>
      <c r="D125" s="466">
        <v>0</v>
      </c>
      <c r="E125" s="466">
        <v>0</v>
      </c>
      <c r="F125" s="466">
        <v>0</v>
      </c>
      <c r="G125" s="466">
        <v>0</v>
      </c>
      <c r="H125" s="466">
        <v>0</v>
      </c>
      <c r="I125" s="466">
        <v>0</v>
      </c>
      <c r="J125" s="466">
        <v>0</v>
      </c>
      <c r="K125" s="1681">
        <f>SUM(C125:J125)</f>
        <v>0</v>
      </c>
      <c r="L125" s="466">
        <v>0</v>
      </c>
    </row>
    <row r="126" spans="1:14" ht="14.25" thickTop="1" thickBot="1" x14ac:dyDescent="0.25">
      <c r="A126" s="1515" t="s">
        <v>102</v>
      </c>
      <c r="B126" s="606">
        <v>2560</v>
      </c>
      <c r="C126" s="645"/>
      <c r="D126" s="645"/>
      <c r="E126" s="645"/>
      <c r="F126" s="645"/>
      <c r="G126" s="466">
        <v>0</v>
      </c>
      <c r="H126" s="645"/>
      <c r="I126" s="466">
        <v>0</v>
      </c>
      <c r="J126" s="608"/>
      <c r="K126" s="1681">
        <f>SUM(C126:J126)</f>
        <v>0</v>
      </c>
      <c r="L126" s="466">
        <v>0</v>
      </c>
    </row>
    <row r="127" spans="1:14" ht="12.75" customHeight="1" thickTop="1" thickBot="1" x14ac:dyDescent="0.25">
      <c r="A127" s="1679" t="s">
        <v>743</v>
      </c>
      <c r="B127" s="1680" t="s">
        <v>35</v>
      </c>
      <c r="C127" s="1681">
        <f>SUM(C122:C126)</f>
        <v>67386</v>
      </c>
      <c r="D127" s="1681">
        <f t="shared" ref="D127:L127" si="14">SUM(D122:D126)</f>
        <v>9342</v>
      </c>
      <c r="E127" s="1681">
        <f t="shared" si="14"/>
        <v>504655</v>
      </c>
      <c r="F127" s="1681">
        <f t="shared" si="14"/>
        <v>174095</v>
      </c>
      <c r="G127" s="1681">
        <f t="shared" si="14"/>
        <v>12305</v>
      </c>
      <c r="H127" s="1681">
        <f t="shared" si="14"/>
        <v>0</v>
      </c>
      <c r="I127" s="1681">
        <f t="shared" si="14"/>
        <v>0</v>
      </c>
      <c r="J127" s="1681">
        <f t="shared" si="14"/>
        <v>0</v>
      </c>
      <c r="K127" s="1681">
        <f t="shared" si="14"/>
        <v>767783</v>
      </c>
      <c r="L127" s="1681">
        <f t="shared" si="14"/>
        <v>1067705</v>
      </c>
    </row>
    <row r="128" spans="1:14" ht="12.75" customHeight="1" thickTop="1" x14ac:dyDescent="0.2">
      <c r="A128" s="1522" t="s">
        <v>1037</v>
      </c>
      <c r="B128" s="646" t="s">
        <v>595</v>
      </c>
      <c r="C128" s="647">
        <v>0</v>
      </c>
      <c r="D128" s="647">
        <v>0</v>
      </c>
      <c r="E128" s="647">
        <v>0</v>
      </c>
      <c r="F128" s="647">
        <v>0</v>
      </c>
      <c r="G128" s="647">
        <v>0</v>
      </c>
      <c r="H128" s="647">
        <v>0</v>
      </c>
      <c r="I128" s="647">
        <v>0</v>
      </c>
      <c r="J128" s="647">
        <v>0</v>
      </c>
      <c r="K128" s="1696">
        <f>SUM(C128:J128)</f>
        <v>0</v>
      </c>
      <c r="L128" s="647">
        <v>0</v>
      </c>
    </row>
    <row r="129" spans="1:14" ht="12.75" customHeight="1" thickBot="1" x14ac:dyDescent="0.25">
      <c r="A129" s="1697" t="s">
        <v>865</v>
      </c>
      <c r="B129" s="1698" t="s">
        <v>590</v>
      </c>
      <c r="C129" s="1688">
        <f>SUM(C120,C127,C128)</f>
        <v>67386</v>
      </c>
      <c r="D129" s="1688">
        <f t="shared" ref="D129:L129" si="15">SUM(D120,D127,D128)</f>
        <v>9342</v>
      </c>
      <c r="E129" s="1688">
        <f t="shared" si="15"/>
        <v>504655</v>
      </c>
      <c r="F129" s="1688">
        <f t="shared" si="15"/>
        <v>174095</v>
      </c>
      <c r="G129" s="1688">
        <f t="shared" si="15"/>
        <v>12305</v>
      </c>
      <c r="H129" s="1688">
        <f t="shared" si="15"/>
        <v>0</v>
      </c>
      <c r="I129" s="1688">
        <f t="shared" si="15"/>
        <v>0</v>
      </c>
      <c r="J129" s="1688">
        <f t="shared" si="15"/>
        <v>0</v>
      </c>
      <c r="K129" s="1688">
        <f t="shared" si="15"/>
        <v>767783</v>
      </c>
      <c r="L129" s="1688">
        <f t="shared" si="15"/>
        <v>1067705</v>
      </c>
    </row>
    <row r="130" spans="1:14" ht="15.75" customHeight="1" thickTop="1" thickBot="1" x14ac:dyDescent="0.25">
      <c r="A130" s="1621" t="s">
        <v>1096</v>
      </c>
      <c r="B130" s="1622" t="s">
        <v>596</v>
      </c>
      <c r="C130" s="570">
        <v>0</v>
      </c>
      <c r="D130" s="570">
        <v>0</v>
      </c>
      <c r="E130" s="570">
        <v>0</v>
      </c>
      <c r="F130" s="570">
        <v>0</v>
      </c>
      <c r="G130" s="570">
        <v>0</v>
      </c>
      <c r="H130" s="570">
        <v>0</v>
      </c>
      <c r="I130" s="570">
        <v>0</v>
      </c>
      <c r="J130" s="570">
        <v>0</v>
      </c>
      <c r="K130" s="1681">
        <f>SUM(C130:J130)</f>
        <v>0</v>
      </c>
      <c r="L130" s="570">
        <v>0</v>
      </c>
    </row>
    <row r="131" spans="1:14" ht="15.75" customHeight="1" thickTop="1" x14ac:dyDescent="0.2">
      <c r="A131" s="1627" t="s">
        <v>637</v>
      </c>
      <c r="B131" s="1620" t="s">
        <v>915</v>
      </c>
      <c r="C131" s="468"/>
      <c r="D131" s="468"/>
      <c r="E131" s="560"/>
      <c r="F131" s="468"/>
      <c r="G131" s="468"/>
      <c r="H131" s="560"/>
      <c r="I131" s="468"/>
      <c r="J131" s="468"/>
      <c r="K131" s="560"/>
      <c r="L131" s="560"/>
    </row>
    <row r="132" spans="1:14" s="384" customFormat="1" ht="13.5" customHeight="1" x14ac:dyDescent="0.2">
      <c r="A132" s="648" t="s">
        <v>635</v>
      </c>
      <c r="B132" s="649"/>
      <c r="C132" s="468"/>
      <c r="D132" s="468"/>
      <c r="E132" s="517"/>
      <c r="F132" s="468"/>
      <c r="G132" s="468"/>
      <c r="H132" s="517"/>
      <c r="I132" s="468"/>
      <c r="J132" s="468"/>
      <c r="K132" s="517"/>
      <c r="L132" s="517"/>
      <c r="M132" s="206"/>
      <c r="N132" s="206"/>
    </row>
    <row r="133" spans="1:14" s="384" customFormat="1" ht="13.5" customHeight="1" x14ac:dyDescent="0.2">
      <c r="A133" s="1501" t="s">
        <v>517</v>
      </c>
      <c r="B133" s="1853" t="s">
        <v>1957</v>
      </c>
      <c r="C133" s="468"/>
      <c r="D133" s="468"/>
      <c r="E133" s="466">
        <v>0</v>
      </c>
      <c r="F133" s="468"/>
      <c r="G133" s="468"/>
      <c r="H133" s="466">
        <v>0</v>
      </c>
      <c r="I133" s="468"/>
      <c r="J133" s="468"/>
      <c r="K133" s="1833">
        <f>SUM(E133,H133)</f>
        <v>0</v>
      </c>
      <c r="L133" s="466">
        <v>0</v>
      </c>
      <c r="M133" s="206"/>
      <c r="N133" s="206"/>
    </row>
    <row r="134" spans="1:14" x14ac:dyDescent="0.2">
      <c r="A134" s="1515" t="s">
        <v>322</v>
      </c>
      <c r="B134" s="606">
        <v>4120</v>
      </c>
      <c r="C134" s="608"/>
      <c r="D134" s="608"/>
      <c r="E134" s="466">
        <v>0</v>
      </c>
      <c r="F134" s="608"/>
      <c r="G134" s="608"/>
      <c r="H134" s="466">
        <v>0</v>
      </c>
      <c r="I134" s="474"/>
      <c r="J134" s="608"/>
      <c r="K134" s="1683">
        <f>SUM(E134,H134)</f>
        <v>0</v>
      </c>
      <c r="L134" s="466">
        <v>0</v>
      </c>
    </row>
    <row r="135" spans="1:14" x14ac:dyDescent="0.2">
      <c r="A135" s="1515" t="s">
        <v>721</v>
      </c>
      <c r="B135" s="606">
        <v>4140</v>
      </c>
      <c r="C135" s="608"/>
      <c r="D135" s="608"/>
      <c r="E135" s="466">
        <v>0</v>
      </c>
      <c r="F135" s="608"/>
      <c r="G135" s="608"/>
      <c r="H135" s="466">
        <v>0</v>
      </c>
      <c r="I135" s="474"/>
      <c r="J135" s="608"/>
      <c r="K135" s="1683">
        <f>SUM(E135,H135)</f>
        <v>0</v>
      </c>
      <c r="L135" s="466">
        <v>0</v>
      </c>
    </row>
    <row r="136" spans="1:14" x14ac:dyDescent="0.2">
      <c r="A136" s="1519" t="s">
        <v>722</v>
      </c>
      <c r="B136" s="620">
        <v>4190</v>
      </c>
      <c r="C136" s="608"/>
      <c r="D136" s="608"/>
      <c r="E136" s="466">
        <v>0</v>
      </c>
      <c r="F136" s="608"/>
      <c r="G136" s="608"/>
      <c r="H136" s="466">
        <v>0</v>
      </c>
      <c r="I136" s="474"/>
      <c r="J136" s="608"/>
      <c r="K136" s="1683">
        <f>SUM(E136,H136)</f>
        <v>0</v>
      </c>
      <c r="L136" s="466">
        <v>0</v>
      </c>
    </row>
    <row r="137" spans="1:14" ht="12.75" customHeight="1" thickBot="1" x14ac:dyDescent="0.25">
      <c r="A137" s="1679" t="s">
        <v>501</v>
      </c>
      <c r="B137" s="1689">
        <v>4100</v>
      </c>
      <c r="C137" s="608"/>
      <c r="D137" s="608"/>
      <c r="E137" s="1681">
        <f>SUM(E133:E136)</f>
        <v>0</v>
      </c>
      <c r="F137" s="608"/>
      <c r="G137" s="608"/>
      <c r="H137" s="1681">
        <f>SUM(H133:H136)</f>
        <v>0</v>
      </c>
      <c r="I137" s="474"/>
      <c r="J137" s="608"/>
      <c r="K137" s="1681">
        <f>SUM(K133:K136)</f>
        <v>0</v>
      </c>
      <c r="L137" s="1681">
        <f>SUM(L133:L136)</f>
        <v>0</v>
      </c>
    </row>
    <row r="138" spans="1:14" ht="12.75" customHeight="1" thickTop="1" thickBot="1" x14ac:dyDescent="0.25">
      <c r="A138" s="1521" t="s">
        <v>98</v>
      </c>
      <c r="B138" s="634" t="s">
        <v>988</v>
      </c>
      <c r="C138" s="608"/>
      <c r="D138" s="608"/>
      <c r="E138" s="476">
        <v>0</v>
      </c>
      <c r="F138" s="608"/>
      <c r="G138" s="608"/>
      <c r="H138" s="570">
        <v>0</v>
      </c>
      <c r="I138" s="474"/>
      <c r="J138" s="608"/>
      <c r="K138" s="1683">
        <f>SUM(E138,H138)</f>
        <v>0</v>
      </c>
      <c r="L138" s="570">
        <v>0</v>
      </c>
    </row>
    <row r="139" spans="1:14" ht="12.75" customHeight="1" thickTop="1" thickBot="1" x14ac:dyDescent="0.25">
      <c r="A139" s="1679" t="s">
        <v>1567</v>
      </c>
      <c r="B139" s="1689">
        <v>4000</v>
      </c>
      <c r="C139" s="608"/>
      <c r="D139" s="608"/>
      <c r="E139" s="1681">
        <f>SUM(E137,E138)</f>
        <v>0</v>
      </c>
      <c r="F139" s="608"/>
      <c r="G139" s="608"/>
      <c r="H139" s="1690">
        <f>SUM(H137:H138)</f>
        <v>0</v>
      </c>
      <c r="I139" s="474"/>
      <c r="J139" s="608"/>
      <c r="K139" s="1683">
        <f>SUM(K137,K138)</f>
        <v>0</v>
      </c>
      <c r="L139" s="1690">
        <f>SUM(L137,L138)</f>
        <v>0</v>
      </c>
    </row>
    <row r="140" spans="1:14" ht="15.75" customHeight="1" thickTop="1" x14ac:dyDescent="0.2">
      <c r="A140" s="1623" t="s">
        <v>1097</v>
      </c>
      <c r="B140" s="1624" t="s">
        <v>513</v>
      </c>
      <c r="C140" s="608"/>
      <c r="D140" s="608"/>
      <c r="E140" s="629"/>
      <c r="F140" s="629"/>
      <c r="G140" s="629"/>
      <c r="H140" s="627"/>
      <c r="I140" s="474"/>
      <c r="J140" s="629"/>
      <c r="K140" s="627"/>
      <c r="L140" s="627"/>
    </row>
    <row r="141" spans="1:14" ht="15.75" customHeight="1" x14ac:dyDescent="0.2">
      <c r="A141" s="644" t="s">
        <v>636</v>
      </c>
      <c r="B141" s="614"/>
      <c r="C141" s="608"/>
      <c r="D141" s="608"/>
      <c r="E141" s="608"/>
      <c r="F141" s="608"/>
      <c r="G141" s="608"/>
      <c r="H141" s="615"/>
      <c r="I141" s="468"/>
      <c r="J141" s="608"/>
      <c r="K141" s="615"/>
      <c r="L141" s="615"/>
    </row>
    <row r="142" spans="1:14" x14ac:dyDescent="0.2">
      <c r="A142" s="1515" t="s">
        <v>89</v>
      </c>
      <c r="B142" s="606">
        <v>5110</v>
      </c>
      <c r="C142" s="608"/>
      <c r="D142" s="608"/>
      <c r="E142" s="608"/>
      <c r="F142" s="608"/>
      <c r="G142" s="608"/>
      <c r="H142" s="466">
        <v>0</v>
      </c>
      <c r="I142" s="468"/>
      <c r="J142" s="608"/>
      <c r="K142" s="1683">
        <f>SUM(H142)</f>
        <v>0</v>
      </c>
      <c r="L142" s="466">
        <v>0</v>
      </c>
    </row>
    <row r="143" spans="1:14" x14ac:dyDescent="0.2">
      <c r="A143" s="1515" t="s">
        <v>90</v>
      </c>
      <c r="B143" s="606">
        <v>5120</v>
      </c>
      <c r="C143" s="608"/>
      <c r="D143" s="608"/>
      <c r="E143" s="608"/>
      <c r="F143" s="608"/>
      <c r="G143" s="608"/>
      <c r="H143" s="466">
        <v>0</v>
      </c>
      <c r="I143" s="468"/>
      <c r="J143" s="608"/>
      <c r="K143" s="1683">
        <f>SUM(H143)</f>
        <v>0</v>
      </c>
      <c r="L143" s="466">
        <v>0</v>
      </c>
    </row>
    <row r="144" spans="1:14" ht="12.75" customHeight="1" x14ac:dyDescent="0.2">
      <c r="A144" s="1515" t="s">
        <v>1232</v>
      </c>
      <c r="B144" s="620" t="s">
        <v>638</v>
      </c>
      <c r="C144" s="608"/>
      <c r="D144" s="608"/>
      <c r="E144" s="608"/>
      <c r="F144" s="608"/>
      <c r="G144" s="608"/>
      <c r="H144" s="466">
        <v>0</v>
      </c>
      <c r="I144" s="468"/>
      <c r="J144" s="608"/>
      <c r="K144" s="1683">
        <f>SUM(H144)</f>
        <v>0</v>
      </c>
      <c r="L144" s="466">
        <v>0</v>
      </c>
    </row>
    <row r="145" spans="1:14" x14ac:dyDescent="0.2">
      <c r="A145" s="1515" t="s">
        <v>91</v>
      </c>
      <c r="B145" s="606" t="s">
        <v>610</v>
      </c>
      <c r="C145" s="608"/>
      <c r="D145" s="608"/>
      <c r="E145" s="608"/>
      <c r="F145" s="608"/>
      <c r="G145" s="608"/>
      <c r="H145" s="466">
        <v>0</v>
      </c>
      <c r="I145" s="468"/>
      <c r="J145" s="608"/>
      <c r="K145" s="1683">
        <f>SUM(H145)</f>
        <v>0</v>
      </c>
      <c r="L145" s="466">
        <v>0</v>
      </c>
    </row>
    <row r="146" spans="1:14" ht="12.75" customHeight="1" x14ac:dyDescent="0.2">
      <c r="A146" s="1515" t="s">
        <v>640</v>
      </c>
      <c r="B146" s="606" t="s">
        <v>639</v>
      </c>
      <c r="C146" s="608"/>
      <c r="D146" s="608"/>
      <c r="E146" s="608"/>
      <c r="F146" s="608"/>
      <c r="G146" s="608"/>
      <c r="H146" s="466">
        <v>0</v>
      </c>
      <c r="I146" s="468"/>
      <c r="J146" s="608"/>
      <c r="K146" s="1683">
        <f>SUM(H146)</f>
        <v>0</v>
      </c>
      <c r="L146" s="466">
        <v>0</v>
      </c>
    </row>
    <row r="147" spans="1:14" ht="12.75" customHeight="1" thickBot="1" x14ac:dyDescent="0.25">
      <c r="A147" s="1526" t="s">
        <v>647</v>
      </c>
      <c r="B147" s="650" t="s">
        <v>742</v>
      </c>
      <c r="C147" s="608"/>
      <c r="D147" s="608"/>
      <c r="E147" s="608"/>
      <c r="F147" s="608"/>
      <c r="G147" s="608"/>
      <c r="H147" s="1699">
        <f>SUM(H142:H146)</f>
        <v>0</v>
      </c>
      <c r="I147" s="468"/>
      <c r="J147" s="608"/>
      <c r="K147" s="1681">
        <f>SUM(K142:K146)</f>
        <v>0</v>
      </c>
      <c r="L147" s="1699">
        <f>SUM(L142:L146)</f>
        <v>0</v>
      </c>
    </row>
    <row r="148" spans="1:14" ht="15.75" customHeight="1" thickTop="1" x14ac:dyDescent="0.2">
      <c r="A148" s="651" t="s">
        <v>1165</v>
      </c>
      <c r="B148" s="652" t="s">
        <v>38</v>
      </c>
      <c r="C148" s="608"/>
      <c r="D148" s="608"/>
      <c r="E148" s="608"/>
      <c r="F148" s="608"/>
      <c r="G148" s="608"/>
      <c r="H148" s="476">
        <v>0</v>
      </c>
      <c r="I148" s="468"/>
      <c r="J148" s="608"/>
      <c r="K148" s="1683">
        <f>SUM(H148)</f>
        <v>0</v>
      </c>
      <c r="L148" s="488">
        <v>0</v>
      </c>
    </row>
    <row r="149" spans="1:14" ht="12.75" customHeight="1" thickBot="1" x14ac:dyDescent="0.25">
      <c r="A149" s="1518" t="s">
        <v>659</v>
      </c>
      <c r="B149" s="609" t="s">
        <v>513</v>
      </c>
      <c r="C149" s="608"/>
      <c r="D149" s="608"/>
      <c r="E149" s="608"/>
      <c r="F149" s="608"/>
      <c r="G149" s="608"/>
      <c r="H149" s="1681">
        <f>SUM(H147,H148)</f>
        <v>0</v>
      </c>
      <c r="I149" s="468"/>
      <c r="J149" s="608"/>
      <c r="K149" s="1681">
        <f>SUM(K147:K148)</f>
        <v>0</v>
      </c>
      <c r="L149" s="1681">
        <f>SUM(L142:L146,L148)</f>
        <v>0</v>
      </c>
    </row>
    <row r="150" spans="1:14" ht="15.75" customHeight="1" thickTop="1" thickBot="1" x14ac:dyDescent="0.25">
      <c r="A150" s="1617" t="s">
        <v>1098</v>
      </c>
      <c r="B150" s="1624" t="s">
        <v>916</v>
      </c>
      <c r="C150" s="608"/>
      <c r="D150" s="608"/>
      <c r="E150" s="608"/>
      <c r="F150" s="608"/>
      <c r="G150" s="608"/>
      <c r="H150" s="653"/>
      <c r="I150" s="517"/>
      <c r="J150" s="608"/>
      <c r="K150" s="615"/>
      <c r="L150" s="567">
        <v>0</v>
      </c>
    </row>
    <row r="151" spans="1:14" ht="12.75" customHeight="1" thickTop="1" thickBot="1" x14ac:dyDescent="0.25">
      <c r="A151" s="2180" t="s">
        <v>641</v>
      </c>
      <c r="B151" s="2160"/>
      <c r="C151" s="1681">
        <f>SUM(C129,C130,C139,C149,C150)</f>
        <v>67386</v>
      </c>
      <c r="D151" s="1681">
        <f t="shared" ref="D151:K151" si="16">SUM(D129,D130,D139,D149,D150)</f>
        <v>9342</v>
      </c>
      <c r="E151" s="1681">
        <f t="shared" si="16"/>
        <v>504655</v>
      </c>
      <c r="F151" s="1681">
        <f t="shared" si="16"/>
        <v>174095</v>
      </c>
      <c r="G151" s="1681">
        <f t="shared" si="16"/>
        <v>12305</v>
      </c>
      <c r="H151" s="1681">
        <f t="shared" si="16"/>
        <v>0</v>
      </c>
      <c r="I151" s="1681">
        <f t="shared" si="16"/>
        <v>0</v>
      </c>
      <c r="J151" s="1681">
        <f t="shared" si="16"/>
        <v>0</v>
      </c>
      <c r="K151" s="1681">
        <f t="shared" si="16"/>
        <v>767783</v>
      </c>
      <c r="L151" s="1681">
        <f>SUM(L129,L130,L139,L149,L150)</f>
        <v>1067705</v>
      </c>
    </row>
    <row r="152" spans="1:14" ht="12.75" customHeight="1" thickTop="1" x14ac:dyDescent="0.2">
      <c r="A152" s="2183" t="s">
        <v>1240</v>
      </c>
      <c r="B152" s="2184"/>
      <c r="C152" s="610"/>
      <c r="D152" s="610"/>
      <c r="E152" s="610"/>
      <c r="F152" s="610"/>
      <c r="G152" s="610"/>
      <c r="H152" s="610"/>
      <c r="I152" s="610"/>
      <c r="J152" s="608"/>
      <c r="K152" s="1695">
        <f>'Revenues 9-14'!D275-'Expenditures 15-22'!K151</f>
        <v>-28080</v>
      </c>
      <c r="L152" s="610"/>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168" t="s">
        <v>642</v>
      </c>
      <c r="B154" s="2170"/>
      <c r="C154" s="1637"/>
      <c r="D154" s="1638"/>
      <c r="E154" s="1638"/>
      <c r="F154" s="1638"/>
      <c r="G154" s="1638"/>
      <c r="H154" s="1638"/>
      <c r="I154" s="1638"/>
      <c r="J154" s="1638"/>
      <c r="K154" s="1638"/>
      <c r="L154" s="1639"/>
      <c r="M154" s="658"/>
      <c r="N154" s="658"/>
    </row>
    <row r="155" spans="1:14" s="612" customFormat="1" ht="15.75" customHeight="1" thickBot="1" x14ac:dyDescent="0.25">
      <c r="A155" s="1628" t="s">
        <v>83</v>
      </c>
      <c r="B155" s="1629" t="s">
        <v>915</v>
      </c>
      <c r="C155" s="608"/>
      <c r="D155" s="608"/>
      <c r="E155" s="608"/>
      <c r="F155" s="608"/>
      <c r="G155" s="608"/>
      <c r="H155" s="1854"/>
      <c r="I155" s="608"/>
      <c r="J155" s="608"/>
      <c r="K155" s="1837"/>
      <c r="L155" s="1854"/>
      <c r="M155" s="611"/>
      <c r="N155" s="611"/>
    </row>
    <row r="156" spans="1:14" s="612" customFormat="1" ht="15.75" customHeight="1" thickTop="1" x14ac:dyDescent="0.2">
      <c r="A156" s="1834" t="s">
        <v>1958</v>
      </c>
      <c r="B156" s="1835"/>
      <c r="C156" s="608"/>
      <c r="D156" s="608"/>
      <c r="E156" s="608"/>
      <c r="F156" s="608"/>
      <c r="G156" s="608"/>
      <c r="H156" s="1855"/>
      <c r="I156" s="608"/>
      <c r="J156" s="608"/>
      <c r="K156" s="1836"/>
      <c r="L156" s="1855"/>
      <c r="M156" s="611"/>
      <c r="N156" s="611"/>
    </row>
    <row r="157" spans="1:14" s="612" customFormat="1" ht="12" x14ac:dyDescent="0.2">
      <c r="A157" s="1838" t="s">
        <v>517</v>
      </c>
      <c r="B157" s="1839" t="s">
        <v>1957</v>
      </c>
      <c r="C157" s="608"/>
      <c r="D157" s="608"/>
      <c r="E157" s="608"/>
      <c r="F157" s="608"/>
      <c r="G157" s="608"/>
      <c r="H157" s="466">
        <v>0</v>
      </c>
      <c r="I157" s="608"/>
      <c r="J157" s="608"/>
      <c r="K157" s="1682">
        <f>H157</f>
        <v>0</v>
      </c>
      <c r="L157" s="466">
        <v>0</v>
      </c>
      <c r="M157" s="611"/>
      <c r="N157" s="611"/>
    </row>
    <row r="158" spans="1:14" s="612" customFormat="1" ht="12" x14ac:dyDescent="0.2">
      <c r="A158" s="1838" t="s">
        <v>322</v>
      </c>
      <c r="B158" s="1839" t="s">
        <v>1959</v>
      </c>
      <c r="C158" s="608"/>
      <c r="D158" s="608"/>
      <c r="E158" s="608"/>
      <c r="F158" s="608"/>
      <c r="G158" s="608"/>
      <c r="H158" s="466">
        <v>0</v>
      </c>
      <c r="I158" s="608"/>
      <c r="J158" s="608"/>
      <c r="K158" s="1682">
        <f>H158</f>
        <v>0</v>
      </c>
      <c r="L158" s="466">
        <v>0</v>
      </c>
      <c r="M158" s="611"/>
      <c r="N158" s="611"/>
    </row>
    <row r="159" spans="1:14" s="612" customFormat="1" ht="12" x14ac:dyDescent="0.2">
      <c r="A159" s="1838" t="s">
        <v>1960</v>
      </c>
      <c r="B159" s="1839" t="s">
        <v>579</v>
      </c>
      <c r="C159" s="608"/>
      <c r="D159" s="608"/>
      <c r="E159" s="608"/>
      <c r="F159" s="608"/>
      <c r="G159" s="608"/>
      <c r="H159" s="466">
        <v>0</v>
      </c>
      <c r="I159" s="608"/>
      <c r="J159" s="608"/>
      <c r="K159" s="1682">
        <f>H159</f>
        <v>0</v>
      </c>
      <c r="L159" s="466">
        <v>0</v>
      </c>
      <c r="M159" s="611"/>
      <c r="N159" s="611"/>
    </row>
    <row r="160" spans="1:14" s="612" customFormat="1" ht="15.75" customHeight="1" thickBot="1" x14ac:dyDescent="0.25">
      <c r="A160" s="1840" t="s">
        <v>1961</v>
      </c>
      <c r="B160" s="1841" t="s">
        <v>915</v>
      </c>
      <c r="C160" s="608"/>
      <c r="D160" s="608"/>
      <c r="E160" s="608"/>
      <c r="F160" s="608"/>
      <c r="G160" s="608"/>
      <c r="H160" s="1699">
        <f>SUM(H157:H159)</f>
        <v>0</v>
      </c>
      <c r="I160" s="608"/>
      <c r="J160" s="608"/>
      <c r="K160" s="1681">
        <f>SUM(K157:K159)</f>
        <v>0</v>
      </c>
      <c r="L160" s="1699">
        <f>SUM(L157:L159)</f>
        <v>0</v>
      </c>
      <c r="M160" s="611"/>
      <c r="N160" s="611"/>
    </row>
    <row r="161" spans="1:14" s="259" customFormat="1" ht="15.75" customHeight="1" thickTop="1" x14ac:dyDescent="0.2">
      <c r="A161" s="1623" t="s">
        <v>84</v>
      </c>
      <c r="B161" s="1624" t="s">
        <v>513</v>
      </c>
      <c r="C161" s="608"/>
      <c r="D161" s="608"/>
      <c r="E161" s="608"/>
      <c r="F161" s="608"/>
      <c r="G161" s="608"/>
      <c r="H161" s="608"/>
      <c r="I161" s="608"/>
      <c r="J161" s="608"/>
      <c r="K161" s="608"/>
      <c r="L161" s="608"/>
      <c r="M161" s="605"/>
      <c r="N161" s="605"/>
    </row>
    <row r="162" spans="1:14" s="259" customFormat="1" ht="15.75" customHeight="1" x14ac:dyDescent="0.2">
      <c r="A162" s="644" t="s">
        <v>636</v>
      </c>
      <c r="B162" s="614"/>
      <c r="C162" s="608"/>
      <c r="D162" s="608"/>
      <c r="E162" s="608"/>
      <c r="F162" s="608"/>
      <c r="G162" s="608"/>
      <c r="H162" s="608"/>
      <c r="I162" s="608"/>
      <c r="J162" s="608"/>
      <c r="K162" s="615"/>
      <c r="L162" s="615"/>
      <c r="M162" s="605"/>
      <c r="N162" s="605"/>
    </row>
    <row r="163" spans="1:14" x14ac:dyDescent="0.2">
      <c r="A163" s="1515" t="s">
        <v>89</v>
      </c>
      <c r="B163" s="606">
        <v>5110</v>
      </c>
      <c r="C163" s="608"/>
      <c r="D163" s="608"/>
      <c r="E163" s="608"/>
      <c r="F163" s="608"/>
      <c r="G163" s="608"/>
      <c r="H163" s="466">
        <v>0</v>
      </c>
      <c r="I163" s="608"/>
      <c r="J163" s="608"/>
      <c r="K163" s="1682">
        <f>SUM(C163:J163)</f>
        <v>0</v>
      </c>
      <c r="L163" s="466">
        <v>0</v>
      </c>
    </row>
    <row r="164" spans="1:14" x14ac:dyDescent="0.2">
      <c r="A164" s="1515" t="s">
        <v>90</v>
      </c>
      <c r="B164" s="606">
        <v>5120</v>
      </c>
      <c r="C164" s="608"/>
      <c r="D164" s="608"/>
      <c r="E164" s="608"/>
      <c r="F164" s="608"/>
      <c r="G164" s="608"/>
      <c r="H164" s="466">
        <v>0</v>
      </c>
      <c r="I164" s="608"/>
      <c r="J164" s="608"/>
      <c r="K164" s="1682">
        <f>SUM(C164:J164)</f>
        <v>0</v>
      </c>
      <c r="L164" s="466">
        <v>0</v>
      </c>
    </row>
    <row r="165" spans="1:14" ht="12.75" customHeight="1" x14ac:dyDescent="0.2">
      <c r="A165" s="1515" t="s">
        <v>1232</v>
      </c>
      <c r="B165" s="606" t="s">
        <v>638</v>
      </c>
      <c r="C165" s="608"/>
      <c r="D165" s="608"/>
      <c r="E165" s="608"/>
      <c r="F165" s="608"/>
      <c r="G165" s="608"/>
      <c r="H165" s="466">
        <v>0</v>
      </c>
      <c r="I165" s="608"/>
      <c r="J165" s="608"/>
      <c r="K165" s="1682">
        <f>SUM(C165:J165)</f>
        <v>0</v>
      </c>
      <c r="L165" s="466">
        <v>0</v>
      </c>
    </row>
    <row r="166" spans="1:14" x14ac:dyDescent="0.2">
      <c r="A166" s="1515" t="s">
        <v>91</v>
      </c>
      <c r="B166" s="620" t="s">
        <v>610</v>
      </c>
      <c r="C166" s="608"/>
      <c r="D166" s="608"/>
      <c r="E166" s="608"/>
      <c r="F166" s="608"/>
      <c r="G166" s="608"/>
      <c r="H166" s="466">
        <v>0</v>
      </c>
      <c r="I166" s="608"/>
      <c r="J166" s="608"/>
      <c r="K166" s="1682">
        <f>SUM(C166:J166)</f>
        <v>0</v>
      </c>
      <c r="L166" s="466">
        <v>0</v>
      </c>
    </row>
    <row r="167" spans="1:14" ht="12.75" customHeight="1" x14ac:dyDescent="0.2">
      <c r="A167" s="1515" t="s">
        <v>640</v>
      </c>
      <c r="B167" s="606" t="s">
        <v>639</v>
      </c>
      <c r="C167" s="608"/>
      <c r="D167" s="608"/>
      <c r="E167" s="608"/>
      <c r="F167" s="608"/>
      <c r="G167" s="608"/>
      <c r="H167" s="466">
        <v>0</v>
      </c>
      <c r="I167" s="608"/>
      <c r="J167" s="608"/>
      <c r="K167" s="1682">
        <f>SUM(C167:J167)</f>
        <v>0</v>
      </c>
      <c r="L167" s="466">
        <v>0</v>
      </c>
    </row>
    <row r="168" spans="1:14" ht="13.5" thickBot="1" x14ac:dyDescent="0.25">
      <c r="A168" s="1679" t="s">
        <v>294</v>
      </c>
      <c r="B168" s="1686" t="s">
        <v>742</v>
      </c>
      <c r="C168" s="608"/>
      <c r="D168" s="608"/>
      <c r="E168" s="608"/>
      <c r="F168" s="608"/>
      <c r="G168" s="608"/>
      <c r="H168" s="1681">
        <f>SUM(H163:H167)</f>
        <v>0</v>
      </c>
      <c r="I168" s="608"/>
      <c r="J168" s="608"/>
      <c r="K168" s="1681">
        <f>SUM(K163:K167)</f>
        <v>0</v>
      </c>
      <c r="L168" s="1681">
        <f>SUM(L163:L167)</f>
        <v>0</v>
      </c>
    </row>
    <row r="169" spans="1:14" ht="15.75" customHeight="1" thickTop="1" x14ac:dyDescent="0.2">
      <c r="A169" s="660" t="s">
        <v>85</v>
      </c>
      <c r="B169" s="661" t="s">
        <v>38</v>
      </c>
      <c r="C169" s="608"/>
      <c r="D169" s="608"/>
      <c r="E169" s="608"/>
      <c r="F169" s="608"/>
      <c r="G169" s="608"/>
      <c r="H169" s="647">
        <v>103519</v>
      </c>
      <c r="I169" s="608"/>
      <c r="J169" s="608"/>
      <c r="K169" s="1682">
        <f>SUM(C169:H169)</f>
        <v>103519</v>
      </c>
      <c r="L169" s="647">
        <v>98978</v>
      </c>
    </row>
    <row r="170" spans="1:14" ht="33.75" customHeight="1" x14ac:dyDescent="0.2">
      <c r="A170" s="660" t="s">
        <v>1769</v>
      </c>
      <c r="B170" s="662" t="s">
        <v>31</v>
      </c>
      <c r="C170" s="608"/>
      <c r="D170" s="608"/>
      <c r="E170" s="608"/>
      <c r="F170" s="608"/>
      <c r="G170" s="608"/>
      <c r="H170" s="563">
        <v>1124616</v>
      </c>
      <c r="I170" s="608"/>
      <c r="J170" s="608"/>
      <c r="K170" s="1682">
        <f>SUM(C170:J170)</f>
        <v>1124616</v>
      </c>
      <c r="L170" s="563">
        <v>1135000</v>
      </c>
    </row>
    <row r="171" spans="1:14" ht="15.75" customHeight="1" x14ac:dyDescent="0.2">
      <c r="A171" s="613" t="s">
        <v>790</v>
      </c>
      <c r="B171" s="663" t="s">
        <v>86</v>
      </c>
      <c r="C171" s="608"/>
      <c r="D171" s="608"/>
      <c r="E171" s="563">
        <v>40000</v>
      </c>
      <c r="F171" s="608"/>
      <c r="G171" s="608"/>
      <c r="H171" s="563">
        <v>2733</v>
      </c>
      <c r="I171" s="474"/>
      <c r="J171" s="608"/>
      <c r="K171" s="1682">
        <f>SUM(C171:J171)</f>
        <v>42733</v>
      </c>
      <c r="L171" s="563">
        <v>3000</v>
      </c>
    </row>
    <row r="172" spans="1:14" ht="12.75" customHeight="1" thickBot="1" x14ac:dyDescent="0.25">
      <c r="A172" s="1679" t="s">
        <v>659</v>
      </c>
      <c r="B172" s="1680" t="s">
        <v>513</v>
      </c>
      <c r="C172" s="608"/>
      <c r="D172" s="608"/>
      <c r="E172" s="1688">
        <f>SUM(E168,E169,E170,E171)</f>
        <v>40000</v>
      </c>
      <c r="F172" s="608"/>
      <c r="G172" s="608"/>
      <c r="H172" s="1688">
        <f>SUM(H168,H169,H170,H171)</f>
        <v>1230868</v>
      </c>
      <c r="I172" s="629"/>
      <c r="J172" s="608"/>
      <c r="K172" s="1688">
        <f>SUM(K168,K169,K170,K171)</f>
        <v>1270868</v>
      </c>
      <c r="L172" s="1688">
        <f>SUM(L168,L169,L170,L171)</f>
        <v>1236978</v>
      </c>
    </row>
    <row r="173" spans="1:14" ht="15.75" customHeight="1" thickTop="1" thickBot="1" x14ac:dyDescent="0.25">
      <c r="A173" s="1630" t="s">
        <v>87</v>
      </c>
      <c r="B173" s="1622" t="s">
        <v>916</v>
      </c>
      <c r="C173" s="608"/>
      <c r="D173" s="608"/>
      <c r="E173" s="615"/>
      <c r="F173" s="608"/>
      <c r="G173" s="608"/>
      <c r="H173" s="618"/>
      <c r="I173" s="629"/>
      <c r="J173" s="608"/>
      <c r="K173" s="615"/>
      <c r="L173" s="570">
        <v>0</v>
      </c>
    </row>
    <row r="174" spans="1:14" ht="12.75" customHeight="1" thickTop="1" thickBot="1" x14ac:dyDescent="0.25">
      <c r="A174" s="1700" t="s">
        <v>92</v>
      </c>
      <c r="B174" s="1701"/>
      <c r="C174" s="608"/>
      <c r="D174" s="608"/>
      <c r="E174" s="1688">
        <f>SUM(E155,E172,E173)</f>
        <v>40000</v>
      </c>
      <c r="F174" s="608"/>
      <c r="G174" s="608"/>
      <c r="H174" s="1688">
        <f>SUM(H160,H172,H173)</f>
        <v>1230868</v>
      </c>
      <c r="I174" s="629"/>
      <c r="J174" s="608"/>
      <c r="K174" s="1688">
        <f>SUM(K160,K172,K173)</f>
        <v>1270868</v>
      </c>
      <c r="L174" s="1688">
        <f>SUM(L160,L172,L173)</f>
        <v>1236978</v>
      </c>
    </row>
    <row r="175" spans="1:14" ht="13.5" thickTop="1" x14ac:dyDescent="0.2">
      <c r="A175" s="2163" t="s">
        <v>1053</v>
      </c>
      <c r="B175" s="2164"/>
      <c r="C175" s="608"/>
      <c r="D175" s="608"/>
      <c r="E175" s="608"/>
      <c r="F175" s="608"/>
      <c r="G175" s="608"/>
      <c r="H175" s="610"/>
      <c r="I175" s="608"/>
      <c r="J175" s="608"/>
      <c r="K175" s="1695">
        <f>'Revenues 9-14'!E275-'Expenditures 15-22'!K174</f>
        <v>-29026</v>
      </c>
      <c r="L175" s="610"/>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3" customFormat="1" ht="16.7" customHeight="1" x14ac:dyDescent="0.2">
      <c r="A177" s="1565" t="s">
        <v>994</v>
      </c>
      <c r="B177" s="1566"/>
      <c r="C177" s="1562"/>
      <c r="D177" s="1563"/>
      <c r="E177" s="1563"/>
      <c r="F177" s="1563"/>
      <c r="G177" s="1563"/>
      <c r="H177" s="1563"/>
      <c r="I177" s="1563"/>
      <c r="J177" s="1563"/>
      <c r="K177" s="1563"/>
      <c r="L177" s="1564"/>
      <c r="M177" s="601"/>
      <c r="N177" s="601"/>
    </row>
    <row r="178" spans="1:14" s="665" customFormat="1" ht="15.75" customHeight="1" x14ac:dyDescent="0.2">
      <c r="A178" s="1631" t="s">
        <v>995</v>
      </c>
      <c r="B178" s="1632"/>
      <c r="C178" s="608"/>
      <c r="D178" s="608"/>
      <c r="E178" s="608"/>
      <c r="F178" s="608"/>
      <c r="G178" s="608"/>
      <c r="H178" s="608"/>
      <c r="I178" s="608"/>
      <c r="J178" s="608"/>
      <c r="K178" s="608"/>
      <c r="L178" s="608"/>
      <c r="M178" s="656"/>
      <c r="N178" s="656"/>
    </row>
    <row r="179" spans="1:14" s="665" customFormat="1" ht="15.75" customHeight="1" x14ac:dyDescent="0.2">
      <c r="A179" s="666" t="s">
        <v>612</v>
      </c>
      <c r="B179" s="614"/>
      <c r="C179" s="615"/>
      <c r="D179" s="615"/>
      <c r="E179" s="615"/>
      <c r="F179" s="608"/>
      <c r="G179" s="608"/>
      <c r="H179" s="615"/>
      <c r="I179" s="608"/>
      <c r="J179" s="608"/>
      <c r="K179" s="615"/>
      <c r="L179" s="615"/>
      <c r="M179" s="656"/>
      <c r="N179" s="656"/>
    </row>
    <row r="180" spans="1:14" ht="12.75" customHeight="1" x14ac:dyDescent="0.2">
      <c r="A180" s="1515" t="s">
        <v>167</v>
      </c>
      <c r="B180" s="606">
        <v>2190</v>
      </c>
      <c r="C180" s="466">
        <v>54096</v>
      </c>
      <c r="D180" s="466">
        <v>195</v>
      </c>
      <c r="E180" s="466">
        <v>0</v>
      </c>
      <c r="F180" s="466">
        <v>0</v>
      </c>
      <c r="G180" s="466">
        <v>0</v>
      </c>
      <c r="H180" s="466">
        <v>0</v>
      </c>
      <c r="I180" s="466">
        <v>0</v>
      </c>
      <c r="J180" s="466">
        <v>0</v>
      </c>
      <c r="K180" s="1682">
        <f>SUM(C180:J180)</f>
        <v>54291</v>
      </c>
      <c r="L180" s="466">
        <v>50000</v>
      </c>
    </row>
    <row r="181" spans="1:14" ht="15.75" customHeight="1" x14ac:dyDescent="0.2">
      <c r="A181" s="616" t="s">
        <v>633</v>
      </c>
      <c r="B181" s="667"/>
      <c r="C181" s="564"/>
      <c r="D181" s="564"/>
      <c r="E181" s="564"/>
      <c r="F181" s="564"/>
      <c r="G181" s="564"/>
      <c r="H181" s="564"/>
      <c r="I181" s="468"/>
      <c r="J181" s="468"/>
      <c r="K181" s="564"/>
      <c r="L181" s="564"/>
    </row>
    <row r="182" spans="1:14" ht="12.75" customHeight="1" x14ac:dyDescent="0.2">
      <c r="A182" s="1515" t="s">
        <v>1010</v>
      </c>
      <c r="B182" s="606">
        <v>2550</v>
      </c>
      <c r="C182" s="466">
        <v>22448</v>
      </c>
      <c r="D182" s="466">
        <v>216</v>
      </c>
      <c r="E182" s="466">
        <v>339892</v>
      </c>
      <c r="F182" s="466">
        <v>0</v>
      </c>
      <c r="G182" s="466">
        <v>0</v>
      </c>
      <c r="H182" s="466">
        <v>0</v>
      </c>
      <c r="I182" s="466">
        <v>0</v>
      </c>
      <c r="J182" s="466">
        <v>0</v>
      </c>
      <c r="K182" s="1682">
        <f>SUM(C182:J182)</f>
        <v>362556</v>
      </c>
      <c r="L182" s="466">
        <v>432240</v>
      </c>
    </row>
    <row r="183" spans="1:14" ht="12.75" customHeight="1" thickBot="1" x14ac:dyDescent="0.25">
      <c r="A183" s="1520" t="s">
        <v>1037</v>
      </c>
      <c r="B183" s="668">
        <v>2900</v>
      </c>
      <c r="C183" s="567">
        <v>0</v>
      </c>
      <c r="D183" s="567">
        <v>0</v>
      </c>
      <c r="E183" s="567">
        <v>0</v>
      </c>
      <c r="F183" s="567">
        <v>0</v>
      </c>
      <c r="G183" s="567">
        <v>0</v>
      </c>
      <c r="H183" s="567">
        <v>0</v>
      </c>
      <c r="I183" s="567">
        <v>0</v>
      </c>
      <c r="J183" s="567">
        <v>0</v>
      </c>
      <c r="K183" s="1688">
        <f>SUM(C183:J183)</f>
        <v>0</v>
      </c>
      <c r="L183" s="567">
        <v>0</v>
      </c>
    </row>
    <row r="184" spans="1:14" ht="12.75" customHeight="1" thickTop="1" thickBot="1" x14ac:dyDescent="0.25">
      <c r="A184" s="1702" t="s">
        <v>865</v>
      </c>
      <c r="B184" s="1680" t="s">
        <v>590</v>
      </c>
      <c r="C184" s="1688">
        <f>SUM(C180,C182,C183)</f>
        <v>76544</v>
      </c>
      <c r="D184" s="1688">
        <f t="shared" ref="D184:J184" si="17">SUM(D180,D182,D183)</f>
        <v>411</v>
      </c>
      <c r="E184" s="1688">
        <f t="shared" si="17"/>
        <v>339892</v>
      </c>
      <c r="F184" s="1688">
        <f t="shared" si="17"/>
        <v>0</v>
      </c>
      <c r="G184" s="1688">
        <f t="shared" si="17"/>
        <v>0</v>
      </c>
      <c r="H184" s="1688">
        <f t="shared" si="17"/>
        <v>0</v>
      </c>
      <c r="I184" s="1688">
        <f t="shared" si="17"/>
        <v>0</v>
      </c>
      <c r="J184" s="1688">
        <f t="shared" si="17"/>
        <v>0</v>
      </c>
      <c r="K184" s="1688">
        <f>SUM(K180,K182,K183)</f>
        <v>416847</v>
      </c>
      <c r="L184" s="1688">
        <f>SUM(L180, L182:L183)</f>
        <v>482240</v>
      </c>
    </row>
    <row r="185" spans="1:14" ht="15.75" customHeight="1" thickTop="1" thickBot="1" x14ac:dyDescent="0.25">
      <c r="A185" s="1633" t="s">
        <v>996</v>
      </c>
      <c r="B185" s="1622">
        <v>3000</v>
      </c>
      <c r="C185" s="570">
        <v>0</v>
      </c>
      <c r="D185" s="570">
        <v>0</v>
      </c>
      <c r="E185" s="570">
        <v>0</v>
      </c>
      <c r="F185" s="570">
        <v>0</v>
      </c>
      <c r="G185" s="570">
        <v>0</v>
      </c>
      <c r="H185" s="570">
        <v>0</v>
      </c>
      <c r="I185" s="570">
        <v>0</v>
      </c>
      <c r="J185" s="570">
        <v>0</v>
      </c>
      <c r="K185" s="1681">
        <f>SUM(C185:J185)</f>
        <v>0</v>
      </c>
      <c r="L185" s="570">
        <v>0</v>
      </c>
    </row>
    <row r="186" spans="1:14" s="665" customFormat="1" ht="15.75" customHeight="1" thickTop="1" x14ac:dyDescent="0.2">
      <c r="A186" s="1617" t="s">
        <v>93</v>
      </c>
      <c r="B186" s="1620" t="s">
        <v>915</v>
      </c>
      <c r="C186" s="608"/>
      <c r="D186" s="608"/>
      <c r="E186" s="608"/>
      <c r="F186" s="608"/>
      <c r="G186" s="608"/>
      <c r="H186" s="608"/>
      <c r="I186" s="608"/>
      <c r="J186" s="608"/>
      <c r="K186" s="608"/>
      <c r="L186" s="608"/>
      <c r="M186" s="656"/>
      <c r="N186" s="656"/>
    </row>
    <row r="187" spans="1:14" s="665" customFormat="1" ht="15.75" customHeight="1" x14ac:dyDescent="0.2">
      <c r="A187" s="613" t="s">
        <v>1193</v>
      </c>
      <c r="B187" s="614"/>
      <c r="C187" s="608"/>
      <c r="D187" s="608"/>
      <c r="E187" s="608"/>
      <c r="F187" s="608"/>
      <c r="G187" s="608"/>
      <c r="H187" s="608"/>
      <c r="I187" s="608"/>
      <c r="J187" s="608"/>
      <c r="K187" s="608"/>
      <c r="L187" s="608"/>
      <c r="M187" s="656"/>
      <c r="N187" s="656"/>
    </row>
    <row r="188" spans="1:14" x14ac:dyDescent="0.2">
      <c r="A188" s="1515" t="s">
        <v>517</v>
      </c>
      <c r="B188" s="606">
        <v>4110</v>
      </c>
      <c r="C188" s="608"/>
      <c r="D188" s="608"/>
      <c r="E188" s="466">
        <v>0</v>
      </c>
      <c r="F188" s="608"/>
      <c r="G188" s="608"/>
      <c r="H188" s="466">
        <v>0</v>
      </c>
      <c r="I188" s="474"/>
      <c r="J188" s="608"/>
      <c r="K188" s="1682">
        <f t="shared" ref="K188:K193" si="18">SUM(E188,H188)</f>
        <v>0</v>
      </c>
      <c r="L188" s="466">
        <v>0</v>
      </c>
    </row>
    <row r="189" spans="1:14" x14ac:dyDescent="0.2">
      <c r="A189" s="1515" t="s">
        <v>322</v>
      </c>
      <c r="B189" s="606">
        <v>4120</v>
      </c>
      <c r="C189" s="608"/>
      <c r="D189" s="608"/>
      <c r="E189" s="466">
        <v>0</v>
      </c>
      <c r="F189" s="608"/>
      <c r="G189" s="608"/>
      <c r="H189" s="466">
        <v>0</v>
      </c>
      <c r="I189" s="474"/>
      <c r="J189" s="608"/>
      <c r="K189" s="1682">
        <f t="shared" si="18"/>
        <v>0</v>
      </c>
      <c r="L189" s="466">
        <v>0</v>
      </c>
    </row>
    <row r="190" spans="1:14" x14ac:dyDescent="0.2">
      <c r="A190" s="1515" t="s">
        <v>323</v>
      </c>
      <c r="B190" s="620">
        <v>4130</v>
      </c>
      <c r="C190" s="608"/>
      <c r="D190" s="608"/>
      <c r="E190" s="466">
        <v>0</v>
      </c>
      <c r="F190" s="608"/>
      <c r="G190" s="608"/>
      <c r="H190" s="466">
        <v>0</v>
      </c>
      <c r="I190" s="474"/>
      <c r="J190" s="608"/>
      <c r="K190" s="1682">
        <f t="shared" si="18"/>
        <v>0</v>
      </c>
      <c r="L190" s="466">
        <v>0</v>
      </c>
    </row>
    <row r="191" spans="1:14" x14ac:dyDescent="0.2">
      <c r="A191" s="1515" t="s">
        <v>721</v>
      </c>
      <c r="B191" s="606">
        <v>4140</v>
      </c>
      <c r="C191" s="608"/>
      <c r="D191" s="608"/>
      <c r="E191" s="466">
        <v>0</v>
      </c>
      <c r="F191" s="608"/>
      <c r="G191" s="608"/>
      <c r="H191" s="466">
        <v>0</v>
      </c>
      <c r="I191" s="474"/>
      <c r="J191" s="608"/>
      <c r="K191" s="1682">
        <f t="shared" si="18"/>
        <v>0</v>
      </c>
      <c r="L191" s="466">
        <v>0</v>
      </c>
    </row>
    <row r="192" spans="1:14" x14ac:dyDescent="0.2">
      <c r="A192" s="1515" t="s">
        <v>88</v>
      </c>
      <c r="B192" s="606">
        <v>4170</v>
      </c>
      <c r="C192" s="608"/>
      <c r="D192" s="608"/>
      <c r="E192" s="466">
        <v>0</v>
      </c>
      <c r="F192" s="608"/>
      <c r="G192" s="608"/>
      <c r="H192" s="466">
        <v>0</v>
      </c>
      <c r="I192" s="474"/>
      <c r="J192" s="608"/>
      <c r="K192" s="1682">
        <f t="shared" si="18"/>
        <v>0</v>
      </c>
      <c r="L192" s="466">
        <v>0</v>
      </c>
    </row>
    <row r="193" spans="1:14" x14ac:dyDescent="0.2">
      <c r="A193" s="1519" t="s">
        <v>722</v>
      </c>
      <c r="B193" s="620">
        <v>4190</v>
      </c>
      <c r="C193" s="608"/>
      <c r="D193" s="608"/>
      <c r="E193" s="466">
        <v>0</v>
      </c>
      <c r="F193" s="608"/>
      <c r="G193" s="608"/>
      <c r="H193" s="466">
        <v>0</v>
      </c>
      <c r="I193" s="474"/>
      <c r="J193" s="608"/>
      <c r="K193" s="1682">
        <f t="shared" si="18"/>
        <v>0</v>
      </c>
      <c r="L193" s="466">
        <v>0</v>
      </c>
    </row>
    <row r="194" spans="1:14" ht="12.75" customHeight="1" thickBot="1" x14ac:dyDescent="0.25">
      <c r="A194" s="1679" t="s">
        <v>1202</v>
      </c>
      <c r="B194" s="1680" t="s">
        <v>580</v>
      </c>
      <c r="C194" s="608"/>
      <c r="D194" s="608"/>
      <c r="E194" s="1681">
        <f>SUM(E188:E193)</f>
        <v>0</v>
      </c>
      <c r="F194" s="608"/>
      <c r="G194" s="608"/>
      <c r="H194" s="1681">
        <f>SUM(H188:H193)</f>
        <v>0</v>
      </c>
      <c r="I194" s="474"/>
      <c r="J194" s="608"/>
      <c r="K194" s="1681">
        <f>SUM(K188:K193)</f>
        <v>0</v>
      </c>
      <c r="L194" s="1681">
        <f>SUM(L188:L193)</f>
        <v>0</v>
      </c>
    </row>
    <row r="195" spans="1:14" ht="15.75" customHeight="1" thickTop="1" x14ac:dyDescent="0.2">
      <c r="A195" s="660" t="s">
        <v>94</v>
      </c>
      <c r="B195" s="669" t="s">
        <v>988</v>
      </c>
      <c r="C195" s="608"/>
      <c r="D195" s="608"/>
      <c r="E195" s="647">
        <v>0</v>
      </c>
      <c r="F195" s="608"/>
      <c r="G195" s="608"/>
      <c r="H195" s="647">
        <v>0</v>
      </c>
      <c r="I195" s="474"/>
      <c r="J195" s="608"/>
      <c r="K195" s="1696">
        <f>SUM(E195,H195)</f>
        <v>0</v>
      </c>
      <c r="L195" s="647">
        <v>0</v>
      </c>
    </row>
    <row r="196" spans="1:14" ht="12.75" customHeight="1" thickBot="1" x14ac:dyDescent="0.25">
      <c r="A196" s="1679" t="s">
        <v>1567</v>
      </c>
      <c r="B196" s="1680" t="s">
        <v>915</v>
      </c>
      <c r="C196" s="608"/>
      <c r="D196" s="608"/>
      <c r="E196" s="1688">
        <f>SUM(E194,E195)</f>
        <v>0</v>
      </c>
      <c r="F196" s="608"/>
      <c r="G196" s="608"/>
      <c r="H196" s="1688">
        <f>SUM(H194,H195)</f>
        <v>0</v>
      </c>
      <c r="I196" s="474"/>
      <c r="J196" s="608"/>
      <c r="K196" s="1688">
        <f>SUM(K194,K195)</f>
        <v>0</v>
      </c>
      <c r="L196" s="1688">
        <f>SUM(L194,L195)</f>
        <v>0</v>
      </c>
    </row>
    <row r="197" spans="1:14" s="665" customFormat="1" ht="15.75" customHeight="1" thickTop="1" x14ac:dyDescent="0.2">
      <c r="A197" s="1623" t="s">
        <v>997</v>
      </c>
      <c r="B197" s="1620" t="s">
        <v>513</v>
      </c>
      <c r="C197" s="608"/>
      <c r="D197" s="608"/>
      <c r="E197" s="608"/>
      <c r="F197" s="608"/>
      <c r="G197" s="608"/>
      <c r="H197" s="608"/>
      <c r="I197" s="608"/>
      <c r="J197" s="608"/>
      <c r="K197" s="608"/>
      <c r="L197" s="608"/>
      <c r="M197" s="656"/>
      <c r="N197" s="656"/>
    </row>
    <row r="198" spans="1:14" s="665" customFormat="1" ht="15.75" customHeight="1" x14ac:dyDescent="0.2">
      <c r="A198" s="644" t="s">
        <v>95</v>
      </c>
      <c r="B198" s="614"/>
      <c r="C198" s="608"/>
      <c r="D198" s="608"/>
      <c r="E198" s="608"/>
      <c r="F198" s="608"/>
      <c r="G198" s="608"/>
      <c r="H198" s="608"/>
      <c r="I198" s="608"/>
      <c r="J198" s="608"/>
      <c r="K198" s="608"/>
      <c r="L198" s="608"/>
      <c r="M198" s="656"/>
      <c r="N198" s="656"/>
    </row>
    <row r="199" spans="1:14" x14ac:dyDescent="0.2">
      <c r="A199" s="1515" t="s">
        <v>89</v>
      </c>
      <c r="B199" s="606">
        <v>5110</v>
      </c>
      <c r="C199" s="608"/>
      <c r="D199" s="608"/>
      <c r="E199" s="608"/>
      <c r="F199" s="608"/>
      <c r="G199" s="608"/>
      <c r="H199" s="466">
        <v>0</v>
      </c>
      <c r="I199" s="608"/>
      <c r="J199" s="608"/>
      <c r="K199" s="1682">
        <f>SUM(H199)</f>
        <v>0</v>
      </c>
      <c r="L199" s="466">
        <v>0</v>
      </c>
    </row>
    <row r="200" spans="1:14" x14ac:dyDescent="0.2">
      <c r="A200" s="1515" t="s">
        <v>90</v>
      </c>
      <c r="B200" s="606">
        <v>5120</v>
      </c>
      <c r="C200" s="608"/>
      <c r="D200" s="608"/>
      <c r="E200" s="608"/>
      <c r="F200" s="608"/>
      <c r="G200" s="608"/>
      <c r="H200" s="466">
        <v>0</v>
      </c>
      <c r="I200" s="608"/>
      <c r="J200" s="608"/>
      <c r="K200" s="1682">
        <f>SUM(H200)</f>
        <v>0</v>
      </c>
      <c r="L200" s="466">
        <v>0</v>
      </c>
    </row>
    <row r="201" spans="1:14" ht="12.75" customHeight="1" x14ac:dyDescent="0.2">
      <c r="A201" s="1515" t="s">
        <v>1232</v>
      </c>
      <c r="B201" s="620" t="s">
        <v>638</v>
      </c>
      <c r="C201" s="608"/>
      <c r="D201" s="608"/>
      <c r="E201" s="608"/>
      <c r="F201" s="608"/>
      <c r="G201" s="608"/>
      <c r="H201" s="466">
        <v>0</v>
      </c>
      <c r="I201" s="608"/>
      <c r="J201" s="608"/>
      <c r="K201" s="1682">
        <f>SUM(H201)</f>
        <v>0</v>
      </c>
      <c r="L201" s="466">
        <v>0</v>
      </c>
    </row>
    <row r="202" spans="1:14" x14ac:dyDescent="0.2">
      <c r="A202" s="1515" t="s">
        <v>91</v>
      </c>
      <c r="B202" s="606" t="s">
        <v>610</v>
      </c>
      <c r="C202" s="608"/>
      <c r="D202" s="608"/>
      <c r="E202" s="608"/>
      <c r="F202" s="608"/>
      <c r="G202" s="608"/>
      <c r="H202" s="466">
        <v>0</v>
      </c>
      <c r="I202" s="608"/>
      <c r="J202" s="608"/>
      <c r="K202" s="1682">
        <f>SUM(H202)</f>
        <v>0</v>
      </c>
      <c r="L202" s="466">
        <v>0</v>
      </c>
    </row>
    <row r="203" spans="1:14" x14ac:dyDescent="0.2">
      <c r="A203" s="1527" t="s">
        <v>640</v>
      </c>
      <c r="B203" s="606" t="s">
        <v>639</v>
      </c>
      <c r="C203" s="608"/>
      <c r="D203" s="608"/>
      <c r="E203" s="608"/>
      <c r="F203" s="608"/>
      <c r="G203" s="608"/>
      <c r="H203" s="466">
        <v>0</v>
      </c>
      <c r="I203" s="608"/>
      <c r="J203" s="608"/>
      <c r="K203" s="1682">
        <f>SUM(H203)</f>
        <v>0</v>
      </c>
      <c r="L203" s="466">
        <v>0</v>
      </c>
    </row>
    <row r="204" spans="1:14" ht="13.5" thickBot="1" x14ac:dyDescent="0.25">
      <c r="A204" s="1679" t="s">
        <v>294</v>
      </c>
      <c r="B204" s="1680" t="s">
        <v>742</v>
      </c>
      <c r="C204" s="608"/>
      <c r="D204" s="608"/>
      <c r="E204" s="608"/>
      <c r="F204" s="608"/>
      <c r="G204" s="608"/>
      <c r="H204" s="1681">
        <f>SUM(H199:H203)</f>
        <v>0</v>
      </c>
      <c r="I204" s="608"/>
      <c r="J204" s="608"/>
      <c r="K204" s="1681">
        <f>SUM(K199:K203)</f>
        <v>0</v>
      </c>
      <c r="L204" s="1681">
        <f>SUM(L199:L203)</f>
        <v>0</v>
      </c>
    </row>
    <row r="205" spans="1:14" ht="15.75" customHeight="1" thickTop="1" x14ac:dyDescent="0.2">
      <c r="A205" s="670" t="s">
        <v>85</v>
      </c>
      <c r="B205" s="671" t="s">
        <v>38</v>
      </c>
      <c r="C205" s="608"/>
      <c r="D205" s="608"/>
      <c r="E205" s="608"/>
      <c r="F205" s="608"/>
      <c r="G205" s="608"/>
      <c r="H205" s="531">
        <v>0</v>
      </c>
      <c r="I205" s="608"/>
      <c r="J205" s="608"/>
      <c r="K205" s="1696">
        <f>SUM(H205)</f>
        <v>0</v>
      </c>
      <c r="L205" s="531">
        <v>0</v>
      </c>
    </row>
    <row r="206" spans="1:14" ht="30" customHeight="1" x14ac:dyDescent="0.2">
      <c r="A206" s="672" t="s">
        <v>1770</v>
      </c>
      <c r="B206" s="663" t="s">
        <v>31</v>
      </c>
      <c r="C206" s="608"/>
      <c r="D206" s="608"/>
      <c r="E206" s="608"/>
      <c r="F206" s="608"/>
      <c r="G206" s="608"/>
      <c r="H206" s="466">
        <v>0</v>
      </c>
      <c r="I206" s="608"/>
      <c r="J206" s="608"/>
      <c r="K206" s="1682">
        <f>SUM(H206)</f>
        <v>0</v>
      </c>
      <c r="L206" s="466">
        <v>0</v>
      </c>
    </row>
    <row r="207" spans="1:14" ht="15.75" customHeight="1" x14ac:dyDescent="0.2">
      <c r="A207" s="613" t="s">
        <v>790</v>
      </c>
      <c r="B207" s="663" t="s">
        <v>86</v>
      </c>
      <c r="C207" s="608"/>
      <c r="D207" s="608"/>
      <c r="E207" s="608"/>
      <c r="F207" s="608"/>
      <c r="G207" s="608"/>
      <c r="H207" s="467">
        <v>0</v>
      </c>
      <c r="I207" s="608"/>
      <c r="J207" s="608"/>
      <c r="K207" s="1682">
        <f>H207</f>
        <v>0</v>
      </c>
      <c r="L207" s="467">
        <v>0</v>
      </c>
    </row>
    <row r="208" spans="1:14" ht="12.75" customHeight="1" thickBot="1" x14ac:dyDescent="0.25">
      <c r="A208" s="1697" t="s">
        <v>659</v>
      </c>
      <c r="B208" s="1698" t="s">
        <v>513</v>
      </c>
      <c r="C208" s="608"/>
      <c r="D208" s="608"/>
      <c r="E208" s="608"/>
      <c r="F208" s="608"/>
      <c r="G208" s="608"/>
      <c r="H208" s="1688">
        <f>SUM(H204,H205,H206,H207)</f>
        <v>0</v>
      </c>
      <c r="I208" s="608"/>
      <c r="J208" s="608"/>
      <c r="K208" s="1688">
        <f>SUM(K204,K205,K206,K207)</f>
        <v>0</v>
      </c>
      <c r="L208" s="1688">
        <f>SUM(L204,L205,L206,L207)</f>
        <v>0</v>
      </c>
    </row>
    <row r="209" spans="1:14" ht="15.75" customHeight="1" thickTop="1" thickBot="1" x14ac:dyDescent="0.25">
      <c r="A209" s="1617" t="s">
        <v>927</v>
      </c>
      <c r="B209" s="1624" t="s">
        <v>916</v>
      </c>
      <c r="C209" s="615"/>
      <c r="D209" s="615"/>
      <c r="E209" s="615"/>
      <c r="F209" s="615"/>
      <c r="G209" s="615"/>
      <c r="H209" s="615"/>
      <c r="I209" s="608"/>
      <c r="J209" s="608"/>
      <c r="K209" s="615"/>
      <c r="L209" s="570">
        <v>0</v>
      </c>
    </row>
    <row r="210" spans="1:14" ht="12.75" customHeight="1" thickTop="1" thickBot="1" x14ac:dyDescent="0.25">
      <c r="A210" s="1703" t="s">
        <v>295</v>
      </c>
      <c r="B210" s="1704"/>
      <c r="C210" s="1681">
        <f>SUM(C184,C185)</f>
        <v>76544</v>
      </c>
      <c r="D210" s="1681">
        <f>SUM(D184,D185)</f>
        <v>411</v>
      </c>
      <c r="E210" s="1681">
        <f>SUM(E184,E185,E196)</f>
        <v>339892</v>
      </c>
      <c r="F210" s="1681">
        <f>SUM(F184,F185)</f>
        <v>0</v>
      </c>
      <c r="G210" s="1681">
        <f>SUM(G184,G185)</f>
        <v>0</v>
      </c>
      <c r="H210" s="1681">
        <f>SUM(H184,H185,H196,H208,H209)</f>
        <v>0</v>
      </c>
      <c r="I210" s="1681">
        <f>SUM(I184,I185)</f>
        <v>0</v>
      </c>
      <c r="J210" s="1681">
        <f>SUM(J184,J185)</f>
        <v>0</v>
      </c>
      <c r="K210" s="1682">
        <f>SUM(K184,K185,K196,K208,K209)</f>
        <v>416847</v>
      </c>
      <c r="L210" s="1681">
        <f>SUM(L184,L185,L196,L208,L209)</f>
        <v>482240</v>
      </c>
    </row>
    <row r="211" spans="1:14" ht="13.5" thickTop="1" x14ac:dyDescent="0.2">
      <c r="A211" s="2163" t="s">
        <v>1053</v>
      </c>
      <c r="B211" s="2164"/>
      <c r="C211" s="610"/>
      <c r="D211" s="610"/>
      <c r="E211" s="610"/>
      <c r="F211" s="610"/>
      <c r="G211" s="610"/>
      <c r="H211" s="610"/>
      <c r="I211" s="608"/>
      <c r="J211" s="608"/>
      <c r="K211" s="1695">
        <f>'Revenues 9-14'!F275-'Expenditures 15-22'!K210</f>
        <v>212122</v>
      </c>
      <c r="L211" s="610"/>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3" customFormat="1" ht="16.7" customHeight="1" x14ac:dyDescent="0.2">
      <c r="A213" s="2185" t="s">
        <v>1022</v>
      </c>
      <c r="B213" s="2186"/>
      <c r="C213" s="1562"/>
      <c r="D213" s="1563"/>
      <c r="E213" s="1563"/>
      <c r="F213" s="1563"/>
      <c r="G213" s="1563"/>
      <c r="H213" s="1563"/>
      <c r="I213" s="1563"/>
      <c r="J213" s="1563"/>
      <c r="K213" s="1563"/>
      <c r="L213" s="1564"/>
      <c r="M213" s="601"/>
      <c r="N213" s="601"/>
    </row>
    <row r="214" spans="1:14" s="665" customFormat="1" ht="15.75" customHeight="1" x14ac:dyDescent="0.2">
      <c r="A214" s="1634" t="s">
        <v>928</v>
      </c>
      <c r="B214" s="1626" t="s">
        <v>591</v>
      </c>
      <c r="C214" s="608"/>
      <c r="D214" s="615"/>
      <c r="E214" s="608"/>
      <c r="F214" s="608"/>
      <c r="G214" s="608"/>
      <c r="H214" s="608"/>
      <c r="I214" s="608"/>
      <c r="J214" s="608"/>
      <c r="K214" s="615"/>
      <c r="L214" s="615"/>
      <c r="M214" s="656"/>
      <c r="N214" s="656"/>
    </row>
    <row r="215" spans="1:14" x14ac:dyDescent="0.2">
      <c r="A215" s="1515" t="s">
        <v>1018</v>
      </c>
      <c r="B215" s="606">
        <v>1100</v>
      </c>
      <c r="C215" s="608"/>
      <c r="D215" s="466">
        <v>51061</v>
      </c>
      <c r="E215" s="608"/>
      <c r="F215" s="608"/>
      <c r="G215" s="608"/>
      <c r="H215" s="608"/>
      <c r="I215" s="608"/>
      <c r="J215" s="608"/>
      <c r="K215" s="1682">
        <f>D215</f>
        <v>51061</v>
      </c>
      <c r="L215" s="466">
        <v>58026</v>
      </c>
    </row>
    <row r="216" spans="1:14" x14ac:dyDescent="0.2">
      <c r="A216" s="1515" t="s">
        <v>165</v>
      </c>
      <c r="B216" s="606" t="s">
        <v>1024</v>
      </c>
      <c r="C216" s="608"/>
      <c r="D216" s="466">
        <v>0</v>
      </c>
      <c r="E216" s="608"/>
      <c r="F216" s="608"/>
      <c r="G216" s="608"/>
      <c r="H216" s="608"/>
      <c r="I216" s="608"/>
      <c r="J216" s="608"/>
      <c r="K216" s="1682">
        <f t="shared" ref="K216:K228" si="19">D216</f>
        <v>0</v>
      </c>
      <c r="L216" s="466">
        <v>0</v>
      </c>
    </row>
    <row r="217" spans="1:14" x14ac:dyDescent="0.2">
      <c r="A217" s="1515" t="s">
        <v>166</v>
      </c>
      <c r="B217" s="606">
        <v>1200</v>
      </c>
      <c r="C217" s="608"/>
      <c r="D217" s="466">
        <v>91086</v>
      </c>
      <c r="E217" s="608"/>
      <c r="F217" s="608"/>
      <c r="G217" s="608"/>
      <c r="H217" s="608"/>
      <c r="I217" s="608"/>
      <c r="J217" s="608"/>
      <c r="K217" s="1682">
        <f t="shared" si="19"/>
        <v>91086</v>
      </c>
      <c r="L217" s="466">
        <v>94450</v>
      </c>
    </row>
    <row r="218" spans="1:14" x14ac:dyDescent="0.2">
      <c r="A218" s="1515" t="s">
        <v>296</v>
      </c>
      <c r="B218" s="606" t="s">
        <v>1025</v>
      </c>
      <c r="C218" s="608"/>
      <c r="D218" s="466">
        <v>0</v>
      </c>
      <c r="E218" s="608"/>
      <c r="F218" s="608"/>
      <c r="G218" s="608"/>
      <c r="H218" s="608"/>
      <c r="I218" s="608"/>
      <c r="J218" s="608"/>
      <c r="K218" s="1682">
        <f t="shared" si="19"/>
        <v>0</v>
      </c>
      <c r="L218" s="466">
        <v>0</v>
      </c>
    </row>
    <row r="219" spans="1:14" x14ac:dyDescent="0.2">
      <c r="A219" s="1515" t="s">
        <v>297</v>
      </c>
      <c r="B219" s="606">
        <v>1250</v>
      </c>
      <c r="C219" s="608"/>
      <c r="D219" s="466">
        <v>989</v>
      </c>
      <c r="E219" s="608"/>
      <c r="F219" s="608"/>
      <c r="G219" s="608"/>
      <c r="H219" s="608"/>
      <c r="I219" s="608"/>
      <c r="J219" s="608"/>
      <c r="K219" s="1682">
        <f t="shared" si="19"/>
        <v>989</v>
      </c>
      <c r="L219" s="466">
        <v>1000</v>
      </c>
    </row>
    <row r="220" spans="1:14" x14ac:dyDescent="0.2">
      <c r="A220" s="1515" t="s">
        <v>298</v>
      </c>
      <c r="B220" s="606" t="s">
        <v>163</v>
      </c>
      <c r="C220" s="608"/>
      <c r="D220" s="466">
        <v>0</v>
      </c>
      <c r="E220" s="608"/>
      <c r="F220" s="608"/>
      <c r="G220" s="608"/>
      <c r="H220" s="608"/>
      <c r="I220" s="608"/>
      <c r="J220" s="608"/>
      <c r="K220" s="1682">
        <f t="shared" si="19"/>
        <v>0</v>
      </c>
      <c r="L220" s="466">
        <v>0</v>
      </c>
    </row>
    <row r="221" spans="1:14" x14ac:dyDescent="0.2">
      <c r="A221" s="1515" t="s">
        <v>1019</v>
      </c>
      <c r="B221" s="606">
        <v>1300</v>
      </c>
      <c r="C221" s="608"/>
      <c r="D221" s="466">
        <v>0</v>
      </c>
      <c r="E221" s="608"/>
      <c r="F221" s="608"/>
      <c r="G221" s="608"/>
      <c r="H221" s="608"/>
      <c r="I221" s="608"/>
      <c r="J221" s="608"/>
      <c r="K221" s="1682">
        <f t="shared" si="19"/>
        <v>0</v>
      </c>
      <c r="L221" s="466">
        <v>0</v>
      </c>
    </row>
    <row r="222" spans="1:14" x14ac:dyDescent="0.2">
      <c r="A222" s="1515" t="s">
        <v>747</v>
      </c>
      <c r="B222" s="606">
        <v>1400</v>
      </c>
      <c r="C222" s="608"/>
      <c r="D222" s="466">
        <v>0</v>
      </c>
      <c r="E222" s="608"/>
      <c r="F222" s="608"/>
      <c r="G222" s="608"/>
      <c r="H222" s="608"/>
      <c r="I222" s="608"/>
      <c r="J222" s="608"/>
      <c r="K222" s="1682">
        <f t="shared" si="19"/>
        <v>0</v>
      </c>
      <c r="L222" s="466">
        <v>0</v>
      </c>
    </row>
    <row r="223" spans="1:14" x14ac:dyDescent="0.2">
      <c r="A223" s="1515" t="s">
        <v>1020</v>
      </c>
      <c r="B223" s="606">
        <v>1500</v>
      </c>
      <c r="C223" s="608"/>
      <c r="D223" s="466">
        <v>0</v>
      </c>
      <c r="E223" s="608"/>
      <c r="F223" s="608"/>
      <c r="G223" s="608"/>
      <c r="H223" s="608"/>
      <c r="I223" s="608"/>
      <c r="J223" s="608"/>
      <c r="K223" s="1682">
        <f t="shared" si="19"/>
        <v>0</v>
      </c>
      <c r="L223" s="466">
        <v>0</v>
      </c>
    </row>
    <row r="224" spans="1:14" x14ac:dyDescent="0.2">
      <c r="A224" s="1515" t="s">
        <v>1021</v>
      </c>
      <c r="B224" s="606">
        <v>1600</v>
      </c>
      <c r="C224" s="608"/>
      <c r="D224" s="466">
        <v>321</v>
      </c>
      <c r="E224" s="608"/>
      <c r="F224" s="608"/>
      <c r="G224" s="608"/>
      <c r="H224" s="608"/>
      <c r="I224" s="608"/>
      <c r="J224" s="608"/>
      <c r="K224" s="1682">
        <f t="shared" si="19"/>
        <v>321</v>
      </c>
      <c r="L224" s="466">
        <v>1300</v>
      </c>
    </row>
    <row r="225" spans="1:12" x14ac:dyDescent="0.2">
      <c r="A225" s="1515" t="s">
        <v>1044</v>
      </c>
      <c r="B225" s="606">
        <v>1650</v>
      </c>
      <c r="C225" s="608"/>
      <c r="D225" s="466">
        <v>0</v>
      </c>
      <c r="E225" s="608"/>
      <c r="F225" s="608"/>
      <c r="G225" s="608"/>
      <c r="H225" s="608"/>
      <c r="I225" s="608"/>
      <c r="J225" s="608"/>
      <c r="K225" s="1682">
        <f t="shared" si="19"/>
        <v>0</v>
      </c>
      <c r="L225" s="466">
        <v>0</v>
      </c>
    </row>
    <row r="226" spans="1:12" x14ac:dyDescent="0.2">
      <c r="A226" s="1515" t="s">
        <v>748</v>
      </c>
      <c r="B226" s="606" t="s">
        <v>164</v>
      </c>
      <c r="C226" s="608"/>
      <c r="D226" s="466">
        <v>0</v>
      </c>
      <c r="E226" s="608"/>
      <c r="F226" s="608"/>
      <c r="G226" s="608"/>
      <c r="H226" s="608"/>
      <c r="I226" s="608"/>
      <c r="J226" s="608"/>
      <c r="K226" s="1682">
        <f t="shared" si="19"/>
        <v>0</v>
      </c>
      <c r="L226" s="466">
        <v>0</v>
      </c>
    </row>
    <row r="227" spans="1:12" x14ac:dyDescent="0.2">
      <c r="A227" s="1515" t="s">
        <v>1148</v>
      </c>
      <c r="B227" s="606">
        <v>1800</v>
      </c>
      <c r="C227" s="608"/>
      <c r="D227" s="466">
        <v>1067</v>
      </c>
      <c r="E227" s="608"/>
      <c r="F227" s="608"/>
      <c r="G227" s="608"/>
      <c r="H227" s="608"/>
      <c r="I227" s="608"/>
      <c r="J227" s="608"/>
      <c r="K227" s="1682">
        <f t="shared" si="19"/>
        <v>1067</v>
      </c>
      <c r="L227" s="466">
        <v>1500</v>
      </c>
    </row>
    <row r="228" spans="1:12" x14ac:dyDescent="0.2">
      <c r="A228" s="1515" t="s">
        <v>1149</v>
      </c>
      <c r="B228" s="606">
        <v>1900</v>
      </c>
      <c r="C228" s="608"/>
      <c r="D228" s="466">
        <v>0</v>
      </c>
      <c r="E228" s="608"/>
      <c r="F228" s="608"/>
      <c r="G228" s="608"/>
      <c r="H228" s="608"/>
      <c r="I228" s="608"/>
      <c r="J228" s="608"/>
      <c r="K228" s="1682">
        <f t="shared" si="19"/>
        <v>0</v>
      </c>
      <c r="L228" s="466">
        <v>0</v>
      </c>
    </row>
    <row r="229" spans="1:12" ht="12.75" customHeight="1" thickBot="1" x14ac:dyDescent="0.25">
      <c r="A229" s="1679" t="s">
        <v>739</v>
      </c>
      <c r="B229" s="1686" t="s">
        <v>591</v>
      </c>
      <c r="C229" s="608"/>
      <c r="D229" s="1681">
        <f>SUM(D215:D228)</f>
        <v>144524</v>
      </c>
      <c r="E229" s="608"/>
      <c r="F229" s="608"/>
      <c r="G229" s="608"/>
      <c r="H229" s="608"/>
      <c r="I229" s="608"/>
      <c r="J229" s="608"/>
      <c r="K229" s="1681">
        <f>SUM(K215:K228)</f>
        <v>144524</v>
      </c>
      <c r="L229" s="1681">
        <f>SUM(L215:L228)</f>
        <v>156276</v>
      </c>
    </row>
    <row r="230" spans="1:12" ht="15.75" customHeight="1" thickTop="1" x14ac:dyDescent="0.2">
      <c r="A230" s="1623" t="s">
        <v>929</v>
      </c>
      <c r="B230" s="1624" t="s">
        <v>590</v>
      </c>
      <c r="C230" s="608"/>
      <c r="D230" s="608"/>
      <c r="E230" s="608"/>
      <c r="F230" s="608"/>
      <c r="G230" s="608"/>
      <c r="H230" s="608"/>
      <c r="I230" s="608"/>
      <c r="J230" s="608"/>
      <c r="K230" s="608"/>
      <c r="L230" s="608"/>
    </row>
    <row r="231" spans="1:12" ht="15.75" customHeight="1" x14ac:dyDescent="0.2">
      <c r="A231" s="644" t="s">
        <v>612</v>
      </c>
      <c r="B231" s="614"/>
      <c r="C231" s="608"/>
      <c r="D231" s="608"/>
      <c r="E231" s="608"/>
      <c r="F231" s="608"/>
      <c r="G231" s="608"/>
      <c r="H231" s="608"/>
      <c r="I231" s="608"/>
      <c r="J231" s="608"/>
      <c r="K231" s="608"/>
      <c r="L231" s="608"/>
    </row>
    <row r="232" spans="1:12" x14ac:dyDescent="0.2">
      <c r="A232" s="1515" t="s">
        <v>1150</v>
      </c>
      <c r="B232" s="606">
        <v>2110</v>
      </c>
      <c r="C232" s="608"/>
      <c r="D232" s="466">
        <v>1556</v>
      </c>
      <c r="E232" s="608"/>
      <c r="F232" s="608"/>
      <c r="G232" s="608"/>
      <c r="H232" s="608"/>
      <c r="I232" s="608"/>
      <c r="J232" s="608"/>
      <c r="K232" s="1682">
        <f t="shared" ref="K232:K237" si="20">D232</f>
        <v>1556</v>
      </c>
      <c r="L232" s="466">
        <v>2000</v>
      </c>
    </row>
    <row r="233" spans="1:12" x14ac:dyDescent="0.2">
      <c r="A233" s="1515" t="s">
        <v>1151</v>
      </c>
      <c r="B233" s="606">
        <v>2120</v>
      </c>
      <c r="C233" s="608"/>
      <c r="D233" s="466">
        <v>0</v>
      </c>
      <c r="E233" s="608"/>
      <c r="F233" s="608"/>
      <c r="G233" s="608"/>
      <c r="H233" s="608"/>
      <c r="I233" s="608"/>
      <c r="J233" s="608"/>
      <c r="K233" s="1682">
        <f t="shared" si="20"/>
        <v>0</v>
      </c>
      <c r="L233" s="466">
        <v>0</v>
      </c>
    </row>
    <row r="234" spans="1:12" x14ac:dyDescent="0.2">
      <c r="A234" s="1515" t="s">
        <v>207</v>
      </c>
      <c r="B234" s="606">
        <v>2130</v>
      </c>
      <c r="C234" s="608"/>
      <c r="D234" s="466">
        <v>17372</v>
      </c>
      <c r="E234" s="608"/>
      <c r="F234" s="608"/>
      <c r="G234" s="608"/>
      <c r="H234" s="608"/>
      <c r="I234" s="608"/>
      <c r="J234" s="608"/>
      <c r="K234" s="1682">
        <f t="shared" si="20"/>
        <v>17372</v>
      </c>
      <c r="L234" s="466">
        <v>20100</v>
      </c>
    </row>
    <row r="235" spans="1:12" x14ac:dyDescent="0.2">
      <c r="A235" s="1515" t="s">
        <v>208</v>
      </c>
      <c r="B235" s="606">
        <v>2140</v>
      </c>
      <c r="C235" s="608"/>
      <c r="D235" s="466">
        <v>1396</v>
      </c>
      <c r="E235" s="608"/>
      <c r="F235" s="608"/>
      <c r="G235" s="608"/>
      <c r="H235" s="608"/>
      <c r="I235" s="608"/>
      <c r="J235" s="608"/>
      <c r="K235" s="1682">
        <f t="shared" si="20"/>
        <v>1396</v>
      </c>
      <c r="L235" s="466">
        <v>1700</v>
      </c>
    </row>
    <row r="236" spans="1:12" x14ac:dyDescent="0.2">
      <c r="A236" s="1515" t="s">
        <v>209</v>
      </c>
      <c r="B236" s="606">
        <v>2150</v>
      </c>
      <c r="C236" s="608"/>
      <c r="D236" s="466">
        <v>2593</v>
      </c>
      <c r="E236" s="608"/>
      <c r="F236" s="608"/>
      <c r="G236" s="608"/>
      <c r="H236" s="608"/>
      <c r="I236" s="608"/>
      <c r="J236" s="608"/>
      <c r="K236" s="1682">
        <f t="shared" si="20"/>
        <v>2593</v>
      </c>
      <c r="L236" s="466">
        <v>2000</v>
      </c>
    </row>
    <row r="237" spans="1:12" x14ac:dyDescent="0.2">
      <c r="A237" s="1515" t="s">
        <v>167</v>
      </c>
      <c r="B237" s="606">
        <v>2190</v>
      </c>
      <c r="C237" s="608"/>
      <c r="D237" s="466">
        <v>0</v>
      </c>
      <c r="E237" s="608"/>
      <c r="F237" s="608"/>
      <c r="G237" s="608"/>
      <c r="H237" s="608"/>
      <c r="I237" s="608"/>
      <c r="J237" s="608"/>
      <c r="K237" s="1682">
        <f t="shared" si="20"/>
        <v>0</v>
      </c>
      <c r="L237" s="466">
        <v>0</v>
      </c>
    </row>
    <row r="238" spans="1:12" ht="12.75" customHeight="1" thickBot="1" x14ac:dyDescent="0.25">
      <c r="A238" s="1679" t="s">
        <v>581</v>
      </c>
      <c r="B238" s="1686" t="s">
        <v>740</v>
      </c>
      <c r="C238" s="608"/>
      <c r="D238" s="1681">
        <f>SUM(D232:D237)</f>
        <v>22917</v>
      </c>
      <c r="E238" s="608"/>
      <c r="F238" s="608"/>
      <c r="G238" s="608"/>
      <c r="H238" s="608"/>
      <c r="I238" s="608"/>
      <c r="J238" s="608"/>
      <c r="K238" s="1681">
        <f>SUM(K232:K237)</f>
        <v>22917</v>
      </c>
      <c r="L238" s="1681">
        <f>SUM(L232:L237)</f>
        <v>25800</v>
      </c>
    </row>
    <row r="239" spans="1:12" ht="15.75" customHeight="1" thickTop="1" x14ac:dyDescent="0.2">
      <c r="A239" s="616" t="s">
        <v>613</v>
      </c>
      <c r="B239" s="623"/>
      <c r="C239" s="608"/>
      <c r="D239" s="618"/>
      <c r="E239" s="608"/>
      <c r="F239" s="608"/>
      <c r="G239" s="608"/>
      <c r="H239" s="608"/>
      <c r="I239" s="608"/>
      <c r="J239" s="608"/>
      <c r="K239" s="618"/>
      <c r="L239" s="618"/>
    </row>
    <row r="240" spans="1:12" x14ac:dyDescent="0.2">
      <c r="A240" s="1515" t="s">
        <v>868</v>
      </c>
      <c r="B240" s="606">
        <v>2210</v>
      </c>
      <c r="C240" s="608"/>
      <c r="D240" s="466">
        <v>0</v>
      </c>
      <c r="E240" s="608"/>
      <c r="F240" s="608"/>
      <c r="G240" s="608"/>
      <c r="H240" s="608"/>
      <c r="I240" s="608"/>
      <c r="J240" s="608"/>
      <c r="K240" s="1683">
        <f>D240</f>
        <v>0</v>
      </c>
      <c r="L240" s="466">
        <v>0</v>
      </c>
    </row>
    <row r="241" spans="1:12" x14ac:dyDescent="0.2">
      <c r="A241" s="1515" t="s">
        <v>869</v>
      </c>
      <c r="B241" s="606">
        <v>2220</v>
      </c>
      <c r="C241" s="608"/>
      <c r="D241" s="466">
        <v>15486</v>
      </c>
      <c r="E241" s="608"/>
      <c r="F241" s="608"/>
      <c r="G241" s="608"/>
      <c r="H241" s="608"/>
      <c r="I241" s="608"/>
      <c r="J241" s="608"/>
      <c r="K241" s="1683">
        <f>D241</f>
        <v>15486</v>
      </c>
      <c r="L241" s="466">
        <v>22022</v>
      </c>
    </row>
    <row r="242" spans="1:12" x14ac:dyDescent="0.2">
      <c r="A242" s="1515" t="s">
        <v>870</v>
      </c>
      <c r="B242" s="606">
        <v>2230</v>
      </c>
      <c r="C242" s="608"/>
      <c r="D242" s="466">
        <v>0</v>
      </c>
      <c r="E242" s="608"/>
      <c r="F242" s="608"/>
      <c r="G242" s="608"/>
      <c r="H242" s="608"/>
      <c r="I242" s="608"/>
      <c r="J242" s="608"/>
      <c r="K242" s="1683">
        <f>D242</f>
        <v>0</v>
      </c>
      <c r="L242" s="466">
        <v>0</v>
      </c>
    </row>
    <row r="243" spans="1:12" ht="12.75" customHeight="1" thickBot="1" x14ac:dyDescent="0.25">
      <c r="A243" s="1705" t="s">
        <v>582</v>
      </c>
      <c r="B243" s="1706">
        <v>2200</v>
      </c>
      <c r="C243" s="608"/>
      <c r="D243" s="1681">
        <f>SUM(D240:D242)</f>
        <v>15486</v>
      </c>
      <c r="E243" s="608"/>
      <c r="F243" s="608"/>
      <c r="G243" s="608"/>
      <c r="H243" s="608"/>
      <c r="I243" s="608"/>
      <c r="J243" s="608"/>
      <c r="K243" s="1681">
        <f>SUM(K240:K242)</f>
        <v>15486</v>
      </c>
      <c r="L243" s="1681">
        <f>SUM(L240:L242)</f>
        <v>22022</v>
      </c>
    </row>
    <row r="244" spans="1:12" ht="15.75" customHeight="1" thickTop="1" x14ac:dyDescent="0.2">
      <c r="A244" s="616" t="s">
        <v>631</v>
      </c>
      <c r="B244" s="673"/>
      <c r="C244" s="608"/>
      <c r="D244" s="618"/>
      <c r="E244" s="608"/>
      <c r="F244" s="608"/>
      <c r="G244" s="608"/>
      <c r="H244" s="608"/>
      <c r="I244" s="608"/>
      <c r="J244" s="608"/>
      <c r="K244" s="618"/>
      <c r="L244" s="618"/>
    </row>
    <row r="245" spans="1:12" x14ac:dyDescent="0.2">
      <c r="A245" s="1515" t="s">
        <v>871</v>
      </c>
      <c r="B245" s="606">
        <v>2310</v>
      </c>
      <c r="C245" s="608"/>
      <c r="D245" s="466">
        <v>0</v>
      </c>
      <c r="E245" s="608"/>
      <c r="F245" s="608"/>
      <c r="G245" s="608"/>
      <c r="H245" s="608"/>
      <c r="I245" s="608"/>
      <c r="J245" s="608"/>
      <c r="K245" s="1683">
        <f>D245</f>
        <v>0</v>
      </c>
      <c r="L245" s="466">
        <v>1488</v>
      </c>
    </row>
    <row r="246" spans="1:12" x14ac:dyDescent="0.2">
      <c r="A246" s="1515" t="s">
        <v>872</v>
      </c>
      <c r="B246" s="606">
        <v>2320</v>
      </c>
      <c r="C246" s="608"/>
      <c r="D246" s="466">
        <v>16404</v>
      </c>
      <c r="E246" s="608"/>
      <c r="F246" s="608"/>
      <c r="G246" s="608"/>
      <c r="H246" s="608"/>
      <c r="I246" s="608"/>
      <c r="J246" s="608"/>
      <c r="K246" s="1683">
        <f t="shared" ref="K246:K256" si="21">D246</f>
        <v>16404</v>
      </c>
      <c r="L246" s="466">
        <v>19208</v>
      </c>
    </row>
    <row r="247" spans="1:12" x14ac:dyDescent="0.2">
      <c r="A247" s="1515" t="s">
        <v>873</v>
      </c>
      <c r="B247" s="606">
        <v>2330</v>
      </c>
      <c r="C247" s="608"/>
      <c r="D247" s="466">
        <v>8676</v>
      </c>
      <c r="E247" s="608"/>
      <c r="F247" s="608"/>
      <c r="G247" s="608"/>
      <c r="H247" s="608"/>
      <c r="I247" s="608"/>
      <c r="J247" s="608"/>
      <c r="K247" s="1683">
        <f t="shared" si="21"/>
        <v>8676</v>
      </c>
      <c r="L247" s="466">
        <v>8800</v>
      </c>
    </row>
    <row r="248" spans="1:12" x14ac:dyDescent="0.2">
      <c r="A248" s="1516" t="s">
        <v>317</v>
      </c>
      <c r="B248" s="594" t="s">
        <v>299</v>
      </c>
      <c r="C248" s="608"/>
      <c r="D248" s="466">
        <v>0</v>
      </c>
      <c r="E248" s="608"/>
      <c r="F248" s="608"/>
      <c r="G248" s="608"/>
      <c r="H248" s="608"/>
      <c r="I248" s="608"/>
      <c r="J248" s="608"/>
      <c r="K248" s="1683">
        <f t="shared" si="21"/>
        <v>0</v>
      </c>
      <c r="L248" s="466">
        <v>0</v>
      </c>
    </row>
    <row r="249" spans="1:12" x14ac:dyDescent="0.2">
      <c r="A249" s="1517" t="s">
        <v>1908</v>
      </c>
      <c r="B249" s="674" t="s">
        <v>300</v>
      </c>
      <c r="C249" s="608"/>
      <c r="D249" s="466">
        <v>0</v>
      </c>
      <c r="E249" s="608"/>
      <c r="F249" s="608"/>
      <c r="G249" s="608"/>
      <c r="H249" s="608"/>
      <c r="I249" s="608"/>
      <c r="J249" s="608"/>
      <c r="K249" s="1683">
        <f t="shared" si="21"/>
        <v>0</v>
      </c>
      <c r="L249" s="466">
        <v>0</v>
      </c>
    </row>
    <row r="250" spans="1:12" x14ac:dyDescent="0.2">
      <c r="A250" s="1516" t="s">
        <v>1909</v>
      </c>
      <c r="B250" s="594" t="s">
        <v>301</v>
      </c>
      <c r="C250" s="608"/>
      <c r="D250" s="466">
        <v>0</v>
      </c>
      <c r="E250" s="608"/>
      <c r="F250" s="608"/>
      <c r="G250" s="608"/>
      <c r="H250" s="608"/>
      <c r="I250" s="608"/>
      <c r="J250" s="608"/>
      <c r="K250" s="1683">
        <f t="shared" si="21"/>
        <v>0</v>
      </c>
      <c r="L250" s="466">
        <v>0</v>
      </c>
    </row>
    <row r="251" spans="1:12" x14ac:dyDescent="0.2">
      <c r="A251" s="1516" t="s">
        <v>256</v>
      </c>
      <c r="B251" s="594" t="s">
        <v>302</v>
      </c>
      <c r="C251" s="608"/>
      <c r="D251" s="466">
        <v>0</v>
      </c>
      <c r="E251" s="608"/>
      <c r="F251" s="608"/>
      <c r="G251" s="608"/>
      <c r="H251" s="608"/>
      <c r="I251" s="608"/>
      <c r="J251" s="608"/>
      <c r="K251" s="1683">
        <f t="shared" si="21"/>
        <v>0</v>
      </c>
      <c r="L251" s="466">
        <v>0</v>
      </c>
    </row>
    <row r="252" spans="1:12" x14ac:dyDescent="0.2">
      <c r="A252" s="1516" t="s">
        <v>726</v>
      </c>
      <c r="B252" s="594" t="s">
        <v>303</v>
      </c>
      <c r="C252" s="608"/>
      <c r="D252" s="466">
        <v>0</v>
      </c>
      <c r="E252" s="608"/>
      <c r="F252" s="608"/>
      <c r="G252" s="608"/>
      <c r="H252" s="608"/>
      <c r="I252" s="608"/>
      <c r="J252" s="608"/>
      <c r="K252" s="1683">
        <f t="shared" si="21"/>
        <v>0</v>
      </c>
      <c r="L252" s="466">
        <v>0</v>
      </c>
    </row>
    <row r="253" spans="1:12" x14ac:dyDescent="0.2">
      <c r="A253" s="1516" t="s">
        <v>257</v>
      </c>
      <c r="B253" s="594" t="s">
        <v>304</v>
      </c>
      <c r="C253" s="608"/>
      <c r="D253" s="466">
        <v>0</v>
      </c>
      <c r="E253" s="608"/>
      <c r="F253" s="608"/>
      <c r="G253" s="608"/>
      <c r="H253" s="608"/>
      <c r="I253" s="608"/>
      <c r="J253" s="608"/>
      <c r="K253" s="1683">
        <f t="shared" si="21"/>
        <v>0</v>
      </c>
      <c r="L253" s="466">
        <v>0</v>
      </c>
    </row>
    <row r="254" spans="1:12" ht="22.5" x14ac:dyDescent="0.2">
      <c r="A254" s="1516" t="s">
        <v>1087</v>
      </c>
      <c r="B254" s="674" t="s">
        <v>305</v>
      </c>
      <c r="C254" s="608"/>
      <c r="D254" s="466">
        <v>0</v>
      </c>
      <c r="E254" s="608"/>
      <c r="F254" s="608"/>
      <c r="G254" s="608"/>
      <c r="H254" s="608"/>
      <c r="I254" s="608"/>
      <c r="J254" s="608"/>
      <c r="K254" s="1683">
        <f t="shared" si="21"/>
        <v>0</v>
      </c>
      <c r="L254" s="466">
        <v>0</v>
      </c>
    </row>
    <row r="255" spans="1:12" x14ac:dyDescent="0.2">
      <c r="A255" s="1516" t="s">
        <v>1088</v>
      </c>
      <c r="B255" s="594" t="s">
        <v>306</v>
      </c>
      <c r="C255" s="608"/>
      <c r="D255" s="466">
        <v>0</v>
      </c>
      <c r="E255" s="608"/>
      <c r="F255" s="608"/>
      <c r="G255" s="608"/>
      <c r="H255" s="608"/>
      <c r="I255" s="608"/>
      <c r="J255" s="608"/>
      <c r="K255" s="1683">
        <f t="shared" si="21"/>
        <v>0</v>
      </c>
      <c r="L255" s="466">
        <v>0</v>
      </c>
    </row>
    <row r="256" spans="1:12" x14ac:dyDescent="0.2">
      <c r="A256" s="1516" t="s">
        <v>1028</v>
      </c>
      <c r="B256" s="606" t="s">
        <v>307</v>
      </c>
      <c r="C256" s="608"/>
      <c r="D256" s="466">
        <v>0</v>
      </c>
      <c r="E256" s="608"/>
      <c r="F256" s="608"/>
      <c r="G256" s="608"/>
      <c r="H256" s="608"/>
      <c r="I256" s="608"/>
      <c r="J256" s="608"/>
      <c r="K256" s="1683">
        <f t="shared" si="21"/>
        <v>0</v>
      </c>
      <c r="L256" s="466">
        <v>0</v>
      </c>
    </row>
    <row r="257" spans="1:14" ht="12.75" customHeight="1" thickBot="1" x14ac:dyDescent="0.25">
      <c r="A257" s="1679" t="s">
        <v>741</v>
      </c>
      <c r="B257" s="1707">
        <v>2300</v>
      </c>
      <c r="C257" s="608"/>
      <c r="D257" s="1681">
        <f>SUM(D245:D256)</f>
        <v>25080</v>
      </c>
      <c r="E257" s="608"/>
      <c r="F257" s="608"/>
      <c r="G257" s="608"/>
      <c r="H257" s="608"/>
      <c r="I257" s="608"/>
      <c r="J257" s="608"/>
      <c r="K257" s="1681">
        <f>SUM(K245:K256)</f>
        <v>25080</v>
      </c>
      <c r="L257" s="1681">
        <f>SUM(L245:L256)</f>
        <v>29496</v>
      </c>
    </row>
    <row r="258" spans="1:14" ht="15.75" customHeight="1" thickTop="1" x14ac:dyDescent="0.2">
      <c r="A258" s="616" t="s">
        <v>632</v>
      </c>
      <c r="B258" s="675"/>
      <c r="C258" s="608"/>
      <c r="D258" s="618"/>
      <c r="E258" s="608"/>
      <c r="F258" s="608"/>
      <c r="G258" s="608"/>
      <c r="H258" s="608"/>
      <c r="I258" s="608"/>
      <c r="J258" s="608"/>
      <c r="K258" s="618"/>
      <c r="L258" s="618"/>
    </row>
    <row r="259" spans="1:14" x14ac:dyDescent="0.2">
      <c r="A259" s="1515" t="s">
        <v>1127</v>
      </c>
      <c r="B259" s="676">
        <v>2410</v>
      </c>
      <c r="C259" s="608"/>
      <c r="D259" s="466">
        <v>23704</v>
      </c>
      <c r="E259" s="608"/>
      <c r="F259" s="608"/>
      <c r="G259" s="608"/>
      <c r="H259" s="608"/>
      <c r="I259" s="608"/>
      <c r="J259" s="608"/>
      <c r="K259" s="1683">
        <f>D259</f>
        <v>23704</v>
      </c>
      <c r="L259" s="466">
        <v>27000</v>
      </c>
    </row>
    <row r="260" spans="1:14" s="589" customFormat="1" x14ac:dyDescent="0.2">
      <c r="A260" s="1533" t="s">
        <v>1907</v>
      </c>
      <c r="B260" s="620">
        <v>2490</v>
      </c>
      <c r="C260" s="608"/>
      <c r="D260" s="466">
        <v>0</v>
      </c>
      <c r="E260" s="608"/>
      <c r="F260" s="608"/>
      <c r="G260" s="608"/>
      <c r="H260" s="608"/>
      <c r="I260" s="608"/>
      <c r="J260" s="608"/>
      <c r="K260" s="1683">
        <f>D260</f>
        <v>0</v>
      </c>
      <c r="L260" s="466">
        <v>0</v>
      </c>
      <c r="M260" s="210"/>
      <c r="N260" s="210"/>
    </row>
    <row r="261" spans="1:14" ht="12.75" customHeight="1" thickBot="1" x14ac:dyDescent="0.25">
      <c r="A261" s="1703" t="s">
        <v>281</v>
      </c>
      <c r="B261" s="1708" t="s">
        <v>34</v>
      </c>
      <c r="C261" s="608"/>
      <c r="D261" s="1681">
        <f>SUM(D259:D260)</f>
        <v>23704</v>
      </c>
      <c r="E261" s="608"/>
      <c r="F261" s="608"/>
      <c r="G261" s="608"/>
      <c r="H261" s="608"/>
      <c r="I261" s="608"/>
      <c r="J261" s="608"/>
      <c r="K261" s="1681">
        <f>SUM(K259:K260)</f>
        <v>23704</v>
      </c>
      <c r="L261" s="1681">
        <f>SUM(L259:L260)</f>
        <v>27000</v>
      </c>
    </row>
    <row r="262" spans="1:14" ht="15.75" customHeight="1" thickTop="1" x14ac:dyDescent="0.2">
      <c r="A262" s="616" t="s">
        <v>633</v>
      </c>
      <c r="B262" s="675"/>
      <c r="C262" s="608"/>
      <c r="D262" s="608"/>
      <c r="E262" s="608"/>
      <c r="F262" s="608"/>
      <c r="G262" s="608"/>
      <c r="H262" s="608"/>
      <c r="I262" s="608"/>
      <c r="J262" s="608"/>
      <c r="K262" s="618"/>
      <c r="L262" s="618"/>
    </row>
    <row r="263" spans="1:14" x14ac:dyDescent="0.2">
      <c r="A263" s="1515" t="s">
        <v>1128</v>
      </c>
      <c r="B263" s="676">
        <v>2510</v>
      </c>
      <c r="C263" s="608"/>
      <c r="D263" s="466">
        <v>1089</v>
      </c>
      <c r="E263" s="608"/>
      <c r="F263" s="608"/>
      <c r="G263" s="608"/>
      <c r="H263" s="608"/>
      <c r="I263" s="608"/>
      <c r="J263" s="608"/>
      <c r="K263" s="1683">
        <f>D263</f>
        <v>1089</v>
      </c>
      <c r="L263" s="466">
        <v>1500</v>
      </c>
    </row>
    <row r="264" spans="1:14" x14ac:dyDescent="0.2">
      <c r="A264" s="1515" t="s">
        <v>483</v>
      </c>
      <c r="B264" s="676">
        <v>2520</v>
      </c>
      <c r="C264" s="608"/>
      <c r="D264" s="466">
        <v>12297</v>
      </c>
      <c r="E264" s="608"/>
      <c r="F264" s="608"/>
      <c r="G264" s="608"/>
      <c r="H264" s="608"/>
      <c r="I264" s="608"/>
      <c r="J264" s="608"/>
      <c r="K264" s="1683">
        <f t="shared" ref="K264:K269" si="22">D264</f>
        <v>12297</v>
      </c>
      <c r="L264" s="466">
        <v>13333</v>
      </c>
    </row>
    <row r="265" spans="1:14" x14ac:dyDescent="0.2">
      <c r="A265" s="1515" t="s">
        <v>4</v>
      </c>
      <c r="B265" s="606">
        <v>2530</v>
      </c>
      <c r="C265" s="608"/>
      <c r="D265" s="466">
        <v>0</v>
      </c>
      <c r="E265" s="608"/>
      <c r="F265" s="608"/>
      <c r="G265" s="608"/>
      <c r="H265" s="608"/>
      <c r="I265" s="608"/>
      <c r="J265" s="608"/>
      <c r="K265" s="1683">
        <f t="shared" si="22"/>
        <v>0</v>
      </c>
      <c r="L265" s="466">
        <v>0</v>
      </c>
    </row>
    <row r="266" spans="1:14" x14ac:dyDescent="0.2">
      <c r="A266" s="1515" t="s">
        <v>206</v>
      </c>
      <c r="B266" s="606">
        <v>2540</v>
      </c>
      <c r="C266" s="608"/>
      <c r="D266" s="466">
        <v>13503</v>
      </c>
      <c r="E266" s="608"/>
      <c r="F266" s="608"/>
      <c r="G266" s="608"/>
      <c r="H266" s="608"/>
      <c r="I266" s="608"/>
      <c r="J266" s="608"/>
      <c r="K266" s="1683">
        <f t="shared" si="22"/>
        <v>13503</v>
      </c>
      <c r="L266" s="466">
        <v>0</v>
      </c>
    </row>
    <row r="267" spans="1:14" x14ac:dyDescent="0.2">
      <c r="A267" s="1515" t="s">
        <v>1010</v>
      </c>
      <c r="B267" s="606">
        <v>2550</v>
      </c>
      <c r="C267" s="608"/>
      <c r="D267" s="466">
        <v>151</v>
      </c>
      <c r="E267" s="608"/>
      <c r="F267" s="608"/>
      <c r="G267" s="608"/>
      <c r="H267" s="608"/>
      <c r="I267" s="608"/>
      <c r="J267" s="608"/>
      <c r="K267" s="1683">
        <f t="shared" si="22"/>
        <v>151</v>
      </c>
      <c r="L267" s="466">
        <v>2501</v>
      </c>
    </row>
    <row r="268" spans="1:14" x14ac:dyDescent="0.2">
      <c r="A268" s="1515" t="s">
        <v>102</v>
      </c>
      <c r="B268" s="606">
        <v>2560</v>
      </c>
      <c r="C268" s="608"/>
      <c r="D268" s="466">
        <v>1644</v>
      </c>
      <c r="E268" s="608"/>
      <c r="F268" s="608"/>
      <c r="G268" s="608"/>
      <c r="H268" s="608"/>
      <c r="I268" s="608"/>
      <c r="J268" s="608"/>
      <c r="K268" s="1683">
        <f t="shared" si="22"/>
        <v>1644</v>
      </c>
      <c r="L268" s="466">
        <v>3000</v>
      </c>
    </row>
    <row r="269" spans="1:14" x14ac:dyDescent="0.2">
      <c r="A269" s="1515" t="s">
        <v>103</v>
      </c>
      <c r="B269" s="606">
        <v>2570</v>
      </c>
      <c r="C269" s="608"/>
      <c r="D269" s="466">
        <v>0</v>
      </c>
      <c r="E269" s="608"/>
      <c r="F269" s="608"/>
      <c r="G269" s="608"/>
      <c r="H269" s="608"/>
      <c r="I269" s="608"/>
      <c r="J269" s="608"/>
      <c r="K269" s="1683">
        <f t="shared" si="22"/>
        <v>0</v>
      </c>
      <c r="L269" s="466">
        <v>0</v>
      </c>
    </row>
    <row r="270" spans="1:14" ht="12.75" customHeight="1" thickBot="1" x14ac:dyDescent="0.25">
      <c r="A270" s="1679" t="s">
        <v>743</v>
      </c>
      <c r="B270" s="1686" t="s">
        <v>35</v>
      </c>
      <c r="C270" s="608"/>
      <c r="D270" s="1681">
        <f>SUM(D263:D269)</f>
        <v>28684</v>
      </c>
      <c r="E270" s="608"/>
      <c r="F270" s="608"/>
      <c r="G270" s="608"/>
      <c r="H270" s="608"/>
      <c r="I270" s="608"/>
      <c r="J270" s="608"/>
      <c r="K270" s="1681">
        <f>SUM(K263:K269)</f>
        <v>28684</v>
      </c>
      <c r="L270" s="1681">
        <f>SUM(L263:L269)</f>
        <v>20334</v>
      </c>
    </row>
    <row r="271" spans="1:14" ht="15.75" customHeight="1" thickTop="1" x14ac:dyDescent="0.2">
      <c r="A271" s="660" t="s">
        <v>634</v>
      </c>
      <c r="B271" s="617"/>
      <c r="C271" s="608"/>
      <c r="D271" s="618"/>
      <c r="E271" s="608"/>
      <c r="F271" s="608"/>
      <c r="G271" s="608"/>
      <c r="H271" s="608"/>
      <c r="I271" s="608"/>
      <c r="J271" s="608"/>
      <c r="K271" s="618"/>
      <c r="L271" s="618"/>
    </row>
    <row r="272" spans="1:14" x14ac:dyDescent="0.2">
      <c r="A272" s="1515" t="s">
        <v>1120</v>
      </c>
      <c r="B272" s="606">
        <v>2610</v>
      </c>
      <c r="C272" s="608"/>
      <c r="D272" s="466">
        <v>0</v>
      </c>
      <c r="E272" s="608"/>
      <c r="F272" s="608"/>
      <c r="G272" s="608"/>
      <c r="H272" s="608"/>
      <c r="I272" s="608"/>
      <c r="J272" s="608"/>
      <c r="K272" s="1683">
        <f>D272</f>
        <v>0</v>
      </c>
      <c r="L272" s="466">
        <v>0</v>
      </c>
    </row>
    <row r="273" spans="1:12" x14ac:dyDescent="0.2">
      <c r="A273" s="1515" t="s">
        <v>628</v>
      </c>
      <c r="B273" s="620">
        <v>2620</v>
      </c>
      <c r="C273" s="608"/>
      <c r="D273" s="466">
        <v>0</v>
      </c>
      <c r="E273" s="608"/>
      <c r="F273" s="608"/>
      <c r="G273" s="608"/>
      <c r="H273" s="608"/>
      <c r="I273" s="608"/>
      <c r="J273" s="608"/>
      <c r="K273" s="1683">
        <f>D273</f>
        <v>0</v>
      </c>
      <c r="L273" s="466">
        <v>0</v>
      </c>
    </row>
    <row r="274" spans="1:12" ht="12" customHeight="1" x14ac:dyDescent="0.2">
      <c r="A274" s="1515" t="s">
        <v>1121</v>
      </c>
      <c r="B274" s="606">
        <v>2630</v>
      </c>
      <c r="C274" s="608"/>
      <c r="D274" s="466">
        <v>0</v>
      </c>
      <c r="E274" s="608"/>
      <c r="F274" s="608"/>
      <c r="G274" s="608"/>
      <c r="H274" s="608"/>
      <c r="I274" s="608"/>
      <c r="J274" s="608"/>
      <c r="K274" s="1683">
        <f>D274</f>
        <v>0</v>
      </c>
      <c r="L274" s="466">
        <v>0</v>
      </c>
    </row>
    <row r="275" spans="1:12" x14ac:dyDescent="0.2">
      <c r="A275" s="1515" t="s">
        <v>423</v>
      </c>
      <c r="B275" s="606">
        <v>2640</v>
      </c>
      <c r="C275" s="608"/>
      <c r="D275" s="466">
        <v>0</v>
      </c>
      <c r="E275" s="608"/>
      <c r="F275" s="608"/>
      <c r="G275" s="608"/>
      <c r="H275" s="608"/>
      <c r="I275" s="608"/>
      <c r="J275" s="608"/>
      <c r="K275" s="1683">
        <f>D275</f>
        <v>0</v>
      </c>
      <c r="L275" s="466">
        <v>0</v>
      </c>
    </row>
    <row r="276" spans="1:12" x14ac:dyDescent="0.2">
      <c r="A276" s="1515" t="s">
        <v>424</v>
      </c>
      <c r="B276" s="606">
        <v>2660</v>
      </c>
      <c r="C276" s="608"/>
      <c r="D276" s="466">
        <v>14427</v>
      </c>
      <c r="E276" s="608"/>
      <c r="F276" s="608"/>
      <c r="G276" s="608"/>
      <c r="H276" s="608"/>
      <c r="I276" s="608"/>
      <c r="J276" s="608"/>
      <c r="K276" s="1683">
        <f>D276</f>
        <v>14427</v>
      </c>
      <c r="L276" s="466">
        <v>15900</v>
      </c>
    </row>
    <row r="277" spans="1:12" ht="12.75" customHeight="1" thickBot="1" x14ac:dyDescent="0.25">
      <c r="A277" s="1702" t="s">
        <v>37</v>
      </c>
      <c r="B277" s="1680" t="s">
        <v>36</v>
      </c>
      <c r="C277" s="608"/>
      <c r="D277" s="1681">
        <f>SUM(D272:D276)</f>
        <v>14427</v>
      </c>
      <c r="E277" s="608"/>
      <c r="F277" s="608"/>
      <c r="G277" s="608"/>
      <c r="H277" s="608"/>
      <c r="I277" s="608"/>
      <c r="J277" s="608"/>
      <c r="K277" s="1681">
        <f>SUM(K272:K276)</f>
        <v>14427</v>
      </c>
      <c r="L277" s="1681">
        <f>SUM(L272:L276)</f>
        <v>15900</v>
      </c>
    </row>
    <row r="278" spans="1:12" ht="13.5" customHeight="1" thickTop="1" x14ac:dyDescent="0.2">
      <c r="A278" s="1521" t="s">
        <v>1037</v>
      </c>
      <c r="B278" s="646" t="s">
        <v>595</v>
      </c>
      <c r="C278" s="608"/>
      <c r="D278" s="647">
        <v>0</v>
      </c>
      <c r="E278" s="608"/>
      <c r="F278" s="608"/>
      <c r="G278" s="608"/>
      <c r="H278" s="608"/>
      <c r="I278" s="608"/>
      <c r="J278" s="608"/>
      <c r="K278" s="1696">
        <f>D278</f>
        <v>0</v>
      </c>
      <c r="L278" s="647">
        <v>0</v>
      </c>
    </row>
    <row r="279" spans="1:12" ht="12.75" customHeight="1" thickBot="1" x14ac:dyDescent="0.25">
      <c r="A279" s="1709" t="s">
        <v>865</v>
      </c>
      <c r="B279" s="1692">
        <v>2000</v>
      </c>
      <c r="C279" s="608"/>
      <c r="D279" s="1688">
        <f>SUM(D238,D243,D257,D261,D270,D277,D278)</f>
        <v>130298</v>
      </c>
      <c r="E279" s="608"/>
      <c r="F279" s="608"/>
      <c r="G279" s="608"/>
      <c r="H279" s="608"/>
      <c r="I279" s="608"/>
      <c r="J279" s="608"/>
      <c r="K279" s="1688">
        <f>SUM(K238,K243,K257,K261,K270,K277,K278)</f>
        <v>130298</v>
      </c>
      <c r="L279" s="1688">
        <f>SUM(L238,L243,L257,L261,L270,L277,L278)</f>
        <v>140552</v>
      </c>
    </row>
    <row r="280" spans="1:12" ht="15.75" customHeight="1" thickTop="1" thickBot="1" x14ac:dyDescent="0.25">
      <c r="A280" s="1635" t="s">
        <v>930</v>
      </c>
      <c r="B280" s="1624">
        <v>3000</v>
      </c>
      <c r="C280" s="608"/>
      <c r="D280" s="570">
        <v>0</v>
      </c>
      <c r="E280" s="608"/>
      <c r="F280" s="608"/>
      <c r="G280" s="608"/>
      <c r="H280" s="608"/>
      <c r="I280" s="608"/>
      <c r="J280" s="608"/>
      <c r="K280" s="1690">
        <f>D280</f>
        <v>0</v>
      </c>
      <c r="L280" s="570">
        <v>0</v>
      </c>
    </row>
    <row r="281" spans="1:12" ht="15.75" customHeight="1" thickTop="1" x14ac:dyDescent="0.2">
      <c r="A281" s="1625" t="s">
        <v>144</v>
      </c>
      <c r="B281" s="1626" t="s">
        <v>915</v>
      </c>
      <c r="C281" s="608"/>
      <c r="D281" s="560"/>
      <c r="E281" s="608"/>
      <c r="F281" s="608"/>
      <c r="G281" s="608"/>
      <c r="H281" s="608"/>
      <c r="I281" s="608"/>
      <c r="J281" s="608"/>
      <c r="K281" s="608"/>
      <c r="L281" s="608"/>
    </row>
    <row r="282" spans="1:12" ht="15.75" customHeight="1" x14ac:dyDescent="0.2">
      <c r="A282" s="1842" t="s">
        <v>517</v>
      </c>
      <c r="B282" s="681" t="s">
        <v>1957</v>
      </c>
      <c r="C282" s="608"/>
      <c r="D282" s="466">
        <v>0</v>
      </c>
      <c r="E282" s="608"/>
      <c r="F282" s="608"/>
      <c r="G282" s="608"/>
      <c r="H282" s="608"/>
      <c r="I282" s="608"/>
      <c r="J282" s="608"/>
      <c r="K282" s="1682">
        <f>D282</f>
        <v>0</v>
      </c>
      <c r="L282" s="466">
        <v>0</v>
      </c>
    </row>
    <row r="283" spans="1:12" x14ac:dyDescent="0.2">
      <c r="A283" s="1515" t="s">
        <v>322</v>
      </c>
      <c r="B283" s="606">
        <v>4120</v>
      </c>
      <c r="C283" s="608"/>
      <c r="D283" s="466">
        <v>0</v>
      </c>
      <c r="E283" s="608"/>
      <c r="F283" s="608"/>
      <c r="G283" s="608"/>
      <c r="H283" s="608"/>
      <c r="I283" s="608"/>
      <c r="J283" s="608"/>
      <c r="K283" s="1682">
        <f>D283</f>
        <v>0</v>
      </c>
      <c r="L283" s="466">
        <v>0</v>
      </c>
    </row>
    <row r="284" spans="1:12" x14ac:dyDescent="0.2">
      <c r="A284" s="1515" t="s">
        <v>721</v>
      </c>
      <c r="B284" s="606">
        <v>4140</v>
      </c>
      <c r="C284" s="608"/>
      <c r="D284" s="466">
        <v>0</v>
      </c>
      <c r="E284" s="608"/>
      <c r="F284" s="608"/>
      <c r="G284" s="608"/>
      <c r="H284" s="608"/>
      <c r="I284" s="608"/>
      <c r="J284" s="608"/>
      <c r="K284" s="1682">
        <f>D284</f>
        <v>0</v>
      </c>
      <c r="L284" s="466">
        <v>0</v>
      </c>
    </row>
    <row r="285" spans="1:12" ht="12.75" customHeight="1" thickBot="1" x14ac:dyDescent="0.25">
      <c r="A285" s="1679" t="s">
        <v>1567</v>
      </c>
      <c r="B285" s="1680" t="s">
        <v>915</v>
      </c>
      <c r="C285" s="608"/>
      <c r="D285" s="1681">
        <f>SUM(D282:D284)</f>
        <v>0</v>
      </c>
      <c r="E285" s="608"/>
      <c r="F285" s="608"/>
      <c r="G285" s="608"/>
      <c r="H285" s="608"/>
      <c r="I285" s="608"/>
      <c r="J285" s="608"/>
      <c r="K285" s="1681">
        <f>SUM(K282:K284)</f>
        <v>0</v>
      </c>
      <c r="L285" s="1681">
        <f>SUM(L282:L284)</f>
        <v>0</v>
      </c>
    </row>
    <row r="286" spans="1:12" ht="15.75" customHeight="1" thickTop="1" x14ac:dyDescent="0.2">
      <c r="A286" s="1623" t="s">
        <v>931</v>
      </c>
      <c r="B286" s="1620" t="s">
        <v>513</v>
      </c>
      <c r="C286" s="608"/>
      <c r="D286" s="608"/>
      <c r="E286" s="608"/>
      <c r="F286" s="608"/>
      <c r="G286" s="608"/>
      <c r="H286" s="608"/>
      <c r="I286" s="608"/>
      <c r="J286" s="608"/>
      <c r="K286" s="608"/>
      <c r="L286" s="608"/>
    </row>
    <row r="287" spans="1:12" ht="15.75" customHeight="1" x14ac:dyDescent="0.2">
      <c r="A287" s="644" t="s">
        <v>95</v>
      </c>
      <c r="B287" s="614"/>
      <c r="C287" s="608"/>
      <c r="D287" s="608"/>
      <c r="E287" s="608"/>
      <c r="F287" s="608"/>
      <c r="G287" s="608"/>
      <c r="H287" s="615"/>
      <c r="I287" s="608"/>
      <c r="J287" s="608"/>
      <c r="K287" s="608"/>
      <c r="L287" s="608"/>
    </row>
    <row r="288" spans="1:12" x14ac:dyDescent="0.2">
      <c r="A288" s="1515" t="s">
        <v>89</v>
      </c>
      <c r="B288" s="606">
        <v>5110</v>
      </c>
      <c r="C288" s="608"/>
      <c r="D288" s="608"/>
      <c r="E288" s="608"/>
      <c r="F288" s="608"/>
      <c r="G288" s="608"/>
      <c r="H288" s="466">
        <v>0</v>
      </c>
      <c r="I288" s="608"/>
      <c r="J288" s="608"/>
      <c r="K288" s="1682">
        <f>H288</f>
        <v>0</v>
      </c>
      <c r="L288" s="466">
        <v>0</v>
      </c>
    </row>
    <row r="289" spans="1:14" x14ac:dyDescent="0.2">
      <c r="A289" s="1515" t="s">
        <v>90</v>
      </c>
      <c r="B289" s="606">
        <v>5120</v>
      </c>
      <c r="C289" s="608"/>
      <c r="D289" s="608"/>
      <c r="E289" s="608"/>
      <c r="F289" s="608"/>
      <c r="G289" s="608"/>
      <c r="H289" s="466">
        <v>0</v>
      </c>
      <c r="I289" s="608"/>
      <c r="J289" s="608"/>
      <c r="K289" s="1682">
        <f>H289</f>
        <v>0</v>
      </c>
      <c r="L289" s="466">
        <v>0</v>
      </c>
    </row>
    <row r="290" spans="1:14" ht="12.75" customHeight="1" x14ac:dyDescent="0.2">
      <c r="A290" s="1515" t="s">
        <v>1232</v>
      </c>
      <c r="B290" s="620" t="s">
        <v>638</v>
      </c>
      <c r="C290" s="608"/>
      <c r="D290" s="608"/>
      <c r="E290" s="608"/>
      <c r="F290" s="608"/>
      <c r="G290" s="608"/>
      <c r="H290" s="466">
        <v>0</v>
      </c>
      <c r="I290" s="608"/>
      <c r="J290" s="608"/>
      <c r="K290" s="1682">
        <f>H290</f>
        <v>0</v>
      </c>
      <c r="L290" s="466">
        <v>0</v>
      </c>
    </row>
    <row r="291" spans="1:14" x14ac:dyDescent="0.2">
      <c r="A291" s="1515" t="s">
        <v>91</v>
      </c>
      <c r="B291" s="606" t="s">
        <v>610</v>
      </c>
      <c r="C291" s="608"/>
      <c r="D291" s="608"/>
      <c r="E291" s="608"/>
      <c r="F291" s="608"/>
      <c r="G291" s="608"/>
      <c r="H291" s="466">
        <v>0</v>
      </c>
      <c r="I291" s="608"/>
      <c r="J291" s="608"/>
      <c r="K291" s="1682">
        <f>H291</f>
        <v>0</v>
      </c>
      <c r="L291" s="466">
        <v>0</v>
      </c>
    </row>
    <row r="292" spans="1:14" x14ac:dyDescent="0.2">
      <c r="A292" s="1515" t="s">
        <v>786</v>
      </c>
      <c r="B292" s="606" t="s">
        <v>639</v>
      </c>
      <c r="C292" s="608"/>
      <c r="D292" s="608"/>
      <c r="E292" s="608"/>
      <c r="F292" s="608"/>
      <c r="G292" s="608"/>
      <c r="H292" s="466">
        <v>0</v>
      </c>
      <c r="I292" s="608"/>
      <c r="J292" s="608"/>
      <c r="K292" s="1682">
        <f>H292</f>
        <v>0</v>
      </c>
      <c r="L292" s="466">
        <v>0</v>
      </c>
    </row>
    <row r="293" spans="1:14" ht="12.75" customHeight="1" thickBot="1" x14ac:dyDescent="0.25">
      <c r="A293" s="1679" t="s">
        <v>505</v>
      </c>
      <c r="B293" s="1680" t="s">
        <v>513</v>
      </c>
      <c r="C293" s="608"/>
      <c r="D293" s="608"/>
      <c r="E293" s="608"/>
      <c r="F293" s="608"/>
      <c r="G293" s="608"/>
      <c r="H293" s="1681">
        <f>SUM(H288:H292)</f>
        <v>0</v>
      </c>
      <c r="I293" s="608"/>
      <c r="J293" s="608"/>
      <c r="K293" s="1681">
        <f>SUM(K288:K292)</f>
        <v>0</v>
      </c>
      <c r="L293" s="1681">
        <f>SUM(L288:L292)</f>
        <v>0</v>
      </c>
    </row>
    <row r="294" spans="1:14" ht="15.75" customHeight="1" thickTop="1" thickBot="1" x14ac:dyDescent="0.25">
      <c r="A294" s="1636" t="s">
        <v>932</v>
      </c>
      <c r="B294" s="1624" t="s">
        <v>916</v>
      </c>
      <c r="C294" s="608"/>
      <c r="D294" s="615"/>
      <c r="E294" s="608"/>
      <c r="F294" s="608"/>
      <c r="G294" s="608"/>
      <c r="H294" s="677"/>
      <c r="I294" s="608"/>
      <c r="J294" s="608"/>
      <c r="K294" s="677"/>
      <c r="L294" s="572">
        <v>0</v>
      </c>
    </row>
    <row r="295" spans="1:14" ht="12.75" customHeight="1" thickTop="1" thickBot="1" x14ac:dyDescent="0.25">
      <c r="A295" s="2181" t="s">
        <v>526</v>
      </c>
      <c r="B295" s="2182"/>
      <c r="C295" s="608"/>
      <c r="D295" s="1681">
        <f>SUM(D229,D279,D280,D285)</f>
        <v>274822</v>
      </c>
      <c r="E295" s="608"/>
      <c r="F295" s="608"/>
      <c r="G295" s="608"/>
      <c r="H295" s="1681">
        <f>H293</f>
        <v>0</v>
      </c>
      <c r="I295" s="608"/>
      <c r="J295" s="608"/>
      <c r="K295" s="1681">
        <f>SUM(K229,K279,K280,K285,K293,K294)</f>
        <v>274822</v>
      </c>
      <c r="L295" s="1681">
        <f>SUM(L229,L279,L280,L285,L293,L294)</f>
        <v>296828</v>
      </c>
    </row>
    <row r="296" spans="1:14" ht="13.5" thickTop="1" x14ac:dyDescent="0.2">
      <c r="A296" s="2163" t="s">
        <v>1053</v>
      </c>
      <c r="B296" s="2164"/>
      <c r="C296" s="608"/>
      <c r="D296" s="610"/>
      <c r="E296" s="608"/>
      <c r="F296" s="608"/>
      <c r="G296" s="608"/>
      <c r="H296" s="678"/>
      <c r="I296" s="608"/>
      <c r="J296" s="608"/>
      <c r="K296" s="1695">
        <f>'Revenues 9-14'!G275-'Expenditures 15-22'!K295</f>
        <v>164626</v>
      </c>
      <c r="L296" s="678"/>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173" t="s">
        <v>145</v>
      </c>
      <c r="B298" s="2167"/>
      <c r="C298" s="1562"/>
      <c r="D298" s="1563"/>
      <c r="E298" s="1563"/>
      <c r="F298" s="1563"/>
      <c r="G298" s="1563"/>
      <c r="H298" s="1563"/>
      <c r="I298" s="1563"/>
      <c r="J298" s="1563"/>
      <c r="K298" s="1563"/>
      <c r="L298" s="1564"/>
    </row>
    <row r="299" spans="1:14" ht="15.75" customHeight="1" x14ac:dyDescent="0.2">
      <c r="A299" s="1623" t="s">
        <v>146</v>
      </c>
      <c r="B299" s="1626" t="s">
        <v>590</v>
      </c>
      <c r="C299" s="608"/>
      <c r="D299" s="608"/>
      <c r="E299" s="608"/>
      <c r="F299" s="608"/>
      <c r="G299" s="608"/>
      <c r="H299" s="608"/>
      <c r="I299" s="608"/>
      <c r="J299" s="608"/>
      <c r="K299" s="608"/>
      <c r="L299" s="608"/>
    </row>
    <row r="300" spans="1:14" ht="15.75" customHeight="1" x14ac:dyDescent="0.2">
      <c r="A300" s="679" t="s">
        <v>633</v>
      </c>
      <c r="B300" s="623"/>
      <c r="C300" s="615"/>
      <c r="D300" s="615"/>
      <c r="E300" s="615"/>
      <c r="F300" s="615"/>
      <c r="G300" s="615"/>
      <c r="H300" s="615"/>
      <c r="I300" s="608"/>
      <c r="J300" s="608"/>
      <c r="K300" s="615"/>
      <c r="L300" s="615"/>
    </row>
    <row r="301" spans="1:14" x14ac:dyDescent="0.2">
      <c r="A301" s="1528" t="s">
        <v>629</v>
      </c>
      <c r="B301" s="680">
        <v>2530</v>
      </c>
      <c r="C301" s="466">
        <v>0</v>
      </c>
      <c r="D301" s="466">
        <v>0</v>
      </c>
      <c r="E301" s="466">
        <v>320605</v>
      </c>
      <c r="F301" s="466">
        <v>0</v>
      </c>
      <c r="G301" s="466">
        <v>954861</v>
      </c>
      <c r="H301" s="466">
        <v>0</v>
      </c>
      <c r="I301" s="466">
        <v>386697</v>
      </c>
      <c r="J301" s="466">
        <v>0</v>
      </c>
      <c r="K301" s="1682">
        <f>SUM(C301:J301)</f>
        <v>1662163</v>
      </c>
      <c r="L301" s="466">
        <v>3000000</v>
      </c>
    </row>
    <row r="302" spans="1:14" ht="13.5" customHeight="1" x14ac:dyDescent="0.2">
      <c r="A302" s="1528" t="s">
        <v>1037</v>
      </c>
      <c r="B302" s="606" t="s">
        <v>595</v>
      </c>
      <c r="C302" s="466">
        <v>0</v>
      </c>
      <c r="D302" s="466">
        <v>0</v>
      </c>
      <c r="E302" s="466">
        <v>0</v>
      </c>
      <c r="F302" s="466">
        <v>0</v>
      </c>
      <c r="G302" s="466">
        <v>0</v>
      </c>
      <c r="H302" s="466">
        <v>0</v>
      </c>
      <c r="I302" s="466">
        <v>0</v>
      </c>
      <c r="J302" s="466">
        <v>0</v>
      </c>
      <c r="K302" s="1682">
        <f>SUM(C302:J302)</f>
        <v>0</v>
      </c>
      <c r="L302" s="466">
        <v>0</v>
      </c>
    </row>
    <row r="303" spans="1:14" ht="12.75" customHeight="1" thickBot="1" x14ac:dyDescent="0.25">
      <c r="A303" s="1679" t="s">
        <v>865</v>
      </c>
      <c r="B303" s="1680" t="s">
        <v>590</v>
      </c>
      <c r="C303" s="1688">
        <f>SUM(C301:C302)</f>
        <v>0</v>
      </c>
      <c r="D303" s="1688">
        <f t="shared" ref="D303:L303" si="23">SUM(D301:D302)</f>
        <v>0</v>
      </c>
      <c r="E303" s="1688">
        <f t="shared" si="23"/>
        <v>320605</v>
      </c>
      <c r="F303" s="1688">
        <f t="shared" si="23"/>
        <v>0</v>
      </c>
      <c r="G303" s="1688">
        <f t="shared" si="23"/>
        <v>954861</v>
      </c>
      <c r="H303" s="1688">
        <f t="shared" si="23"/>
        <v>0</v>
      </c>
      <c r="I303" s="1688">
        <f t="shared" si="23"/>
        <v>386697</v>
      </c>
      <c r="J303" s="1688">
        <f t="shared" si="23"/>
        <v>0</v>
      </c>
      <c r="K303" s="1688">
        <f t="shared" si="23"/>
        <v>1662163</v>
      </c>
      <c r="L303" s="1688">
        <f t="shared" si="23"/>
        <v>3000000</v>
      </c>
    </row>
    <row r="304" spans="1:14" ht="15.75" customHeight="1" thickTop="1" x14ac:dyDescent="0.2">
      <c r="A304" s="1623" t="s">
        <v>147</v>
      </c>
      <c r="B304" s="1624" t="s">
        <v>915</v>
      </c>
      <c r="C304" s="608"/>
      <c r="D304" s="608"/>
      <c r="E304" s="608"/>
      <c r="F304" s="608"/>
      <c r="G304" s="608"/>
      <c r="H304" s="608"/>
      <c r="I304" s="608"/>
      <c r="J304" s="608"/>
      <c r="K304" s="608"/>
      <c r="L304" s="608"/>
    </row>
    <row r="305" spans="1:14" ht="15.75" customHeight="1" x14ac:dyDescent="0.2">
      <c r="A305" s="644" t="s">
        <v>953</v>
      </c>
      <c r="B305" s="614"/>
      <c r="C305" s="608"/>
      <c r="D305" s="608"/>
      <c r="E305" s="608"/>
      <c r="F305" s="608"/>
      <c r="G305" s="608"/>
      <c r="H305" s="608"/>
      <c r="I305" s="608"/>
      <c r="J305" s="608"/>
      <c r="K305" s="608"/>
      <c r="L305" s="608"/>
    </row>
    <row r="306" spans="1:14" x14ac:dyDescent="0.2">
      <c r="A306" s="1529" t="s">
        <v>1962</v>
      </c>
      <c r="B306" s="681" t="s">
        <v>1957</v>
      </c>
      <c r="C306" s="608"/>
      <c r="D306" s="608"/>
      <c r="E306" s="466">
        <v>0</v>
      </c>
      <c r="F306" s="608"/>
      <c r="G306" s="608"/>
      <c r="H306" s="466">
        <v>0</v>
      </c>
      <c r="I306" s="608"/>
      <c r="J306" s="608"/>
      <c r="K306" s="1682">
        <f>SUM(E306,H306)</f>
        <v>0</v>
      </c>
      <c r="L306" s="466">
        <v>0</v>
      </c>
    </row>
    <row r="307" spans="1:14" x14ac:dyDescent="0.2">
      <c r="A307" s="1515" t="s">
        <v>322</v>
      </c>
      <c r="B307" s="606">
        <v>4120</v>
      </c>
      <c r="C307" s="608"/>
      <c r="D307" s="608"/>
      <c r="E307" s="466">
        <v>0</v>
      </c>
      <c r="F307" s="608"/>
      <c r="G307" s="608"/>
      <c r="H307" s="466">
        <v>0</v>
      </c>
      <c r="I307" s="474"/>
      <c r="J307" s="608"/>
      <c r="K307" s="1682">
        <f>SUM(E307,H307)</f>
        <v>0</v>
      </c>
      <c r="L307" s="466">
        <v>0</v>
      </c>
    </row>
    <row r="308" spans="1:14" x14ac:dyDescent="0.2">
      <c r="A308" s="1515" t="s">
        <v>721</v>
      </c>
      <c r="B308" s="606">
        <v>4140</v>
      </c>
      <c r="C308" s="608"/>
      <c r="D308" s="608"/>
      <c r="E308" s="466">
        <v>0</v>
      </c>
      <c r="F308" s="608"/>
      <c r="G308" s="608"/>
      <c r="H308" s="466">
        <v>0</v>
      </c>
      <c r="I308" s="474"/>
      <c r="J308" s="608"/>
      <c r="K308" s="1682">
        <f>SUM(E308,H308)</f>
        <v>0</v>
      </c>
      <c r="L308" s="466">
        <v>0</v>
      </c>
    </row>
    <row r="309" spans="1:14" ht="12.75" customHeight="1" x14ac:dyDescent="0.2">
      <c r="A309" s="1519" t="s">
        <v>722</v>
      </c>
      <c r="B309" s="620">
        <v>4190</v>
      </c>
      <c r="C309" s="608"/>
      <c r="D309" s="608"/>
      <c r="E309" s="466">
        <v>0</v>
      </c>
      <c r="F309" s="608"/>
      <c r="G309" s="608"/>
      <c r="H309" s="466">
        <v>0</v>
      </c>
      <c r="I309" s="474"/>
      <c r="J309" s="608"/>
      <c r="K309" s="1682">
        <f>SUM(E309,H309)</f>
        <v>0</v>
      </c>
      <c r="L309" s="466">
        <v>0</v>
      </c>
    </row>
    <row r="310" spans="1:14" ht="12.75" customHeight="1" thickBot="1" x14ac:dyDescent="0.25">
      <c r="A310" s="1679" t="s">
        <v>1567</v>
      </c>
      <c r="B310" s="1686" t="s">
        <v>915</v>
      </c>
      <c r="C310" s="608"/>
      <c r="D310" s="608"/>
      <c r="E310" s="1681">
        <f>SUM(E306:E309)</f>
        <v>0</v>
      </c>
      <c r="F310" s="608"/>
      <c r="G310" s="608"/>
      <c r="H310" s="1681">
        <f>SUM(H306:H309)</f>
        <v>0</v>
      </c>
      <c r="I310" s="474"/>
      <c r="J310" s="608"/>
      <c r="K310" s="1681">
        <f>SUM(K306:K309)</f>
        <v>0</v>
      </c>
      <c r="L310" s="1688">
        <f>SUM(L306:L309)</f>
        <v>0</v>
      </c>
    </row>
    <row r="311" spans="1:14" ht="15.75" customHeight="1" thickTop="1" thickBot="1" x14ac:dyDescent="0.25">
      <c r="A311" s="1630" t="s">
        <v>951</v>
      </c>
      <c r="B311" s="1622" t="s">
        <v>916</v>
      </c>
      <c r="C311" s="615"/>
      <c r="D311" s="615"/>
      <c r="E311" s="615"/>
      <c r="F311" s="615"/>
      <c r="G311" s="615"/>
      <c r="H311" s="615"/>
      <c r="I311" s="615"/>
      <c r="J311" s="608"/>
      <c r="K311" s="615"/>
      <c r="L311" s="570">
        <v>0</v>
      </c>
    </row>
    <row r="312" spans="1:14" s="665" customFormat="1" ht="12.75" customHeight="1" thickTop="1" thickBot="1" x14ac:dyDescent="0.25">
      <c r="A312" s="2178" t="s">
        <v>295</v>
      </c>
      <c r="B312" s="2179"/>
      <c r="C312" s="1681">
        <f>SUM(C303)</f>
        <v>0</v>
      </c>
      <c r="D312" s="1681">
        <f>SUM(D303)</f>
        <v>0</v>
      </c>
      <c r="E312" s="1681">
        <f>SUM(E303,E310)</f>
        <v>320605</v>
      </c>
      <c r="F312" s="1681">
        <f>SUM(F303)</f>
        <v>0</v>
      </c>
      <c r="G312" s="1681">
        <f>SUM(G303)</f>
        <v>954861</v>
      </c>
      <c r="H312" s="1681">
        <f>SUM(H303,H310)</f>
        <v>0</v>
      </c>
      <c r="I312" s="1681">
        <f>SUM(I303)</f>
        <v>386697</v>
      </c>
      <c r="J312" s="1681">
        <f>SUM(J303)</f>
        <v>0</v>
      </c>
      <c r="K312" s="1681">
        <f>SUM(K303,K310,K311)</f>
        <v>1662163</v>
      </c>
      <c r="L312" s="1681">
        <f>SUM(L303,L310,L311)</f>
        <v>3000000</v>
      </c>
      <c r="M312" s="656"/>
      <c r="N312" s="656"/>
    </row>
    <row r="313" spans="1:14" ht="13.5" thickTop="1" x14ac:dyDescent="0.2">
      <c r="A313" s="2174" t="s">
        <v>1053</v>
      </c>
      <c r="B313" s="2175"/>
      <c r="C313" s="618"/>
      <c r="D313" s="618"/>
      <c r="E313" s="618"/>
      <c r="F313" s="618"/>
      <c r="G313" s="618"/>
      <c r="H313" s="618"/>
      <c r="I313" s="618"/>
      <c r="J313" s="618"/>
      <c r="K313" s="1696">
        <f>'Revenues 9-14'!H275-'Expenditures 15-22'!K312</f>
        <v>-1662163</v>
      </c>
      <c r="L313" s="618"/>
    </row>
    <row r="314" spans="1:14" s="657" customFormat="1" ht="9" customHeight="1" x14ac:dyDescent="0.2">
      <c r="A314" s="682"/>
      <c r="B314" s="683"/>
      <c r="C314" s="684"/>
      <c r="D314" s="684"/>
      <c r="E314" s="684"/>
      <c r="F314" s="684"/>
      <c r="G314" s="684"/>
      <c r="H314" s="684"/>
      <c r="I314" s="684"/>
      <c r="J314" s="684"/>
      <c r="K314" s="684"/>
      <c r="L314" s="684"/>
      <c r="M314" s="656"/>
      <c r="N314" s="656"/>
    </row>
    <row r="315" spans="1:14" ht="16.7" customHeight="1" x14ac:dyDescent="0.2">
      <c r="A315" s="2187" t="s">
        <v>151</v>
      </c>
      <c r="B315" s="2188"/>
      <c r="C315" s="1567"/>
      <c r="D315" s="1568"/>
      <c r="E315" s="1568"/>
      <c r="F315" s="1568"/>
      <c r="G315" s="1568"/>
      <c r="H315" s="1568"/>
      <c r="I315" s="1568"/>
      <c r="J315" s="1568"/>
      <c r="K315" s="1568"/>
      <c r="L315" s="1569"/>
    </row>
    <row r="316" spans="1:14" s="665" customFormat="1" ht="9" customHeight="1" x14ac:dyDescent="0.2">
      <c r="A316" s="682"/>
      <c r="B316" s="683"/>
      <c r="C316" s="685"/>
      <c r="D316" s="685"/>
      <c r="E316" s="685"/>
      <c r="F316" s="685"/>
      <c r="G316" s="685"/>
      <c r="H316" s="685"/>
      <c r="I316" s="685"/>
      <c r="J316" s="685"/>
      <c r="K316" s="685"/>
      <c r="L316" s="685"/>
      <c r="M316" s="656"/>
      <c r="N316" s="656"/>
    </row>
    <row r="317" spans="1:14" ht="16.7" customHeight="1" x14ac:dyDescent="0.2">
      <c r="A317" s="2189" t="s">
        <v>954</v>
      </c>
      <c r="B317" s="2188"/>
      <c r="C317" s="1567"/>
      <c r="D317" s="1568"/>
      <c r="E317" s="1568"/>
      <c r="F317" s="1568"/>
      <c r="G317" s="1568"/>
      <c r="H317" s="1568"/>
      <c r="I317" s="1568"/>
      <c r="J317" s="1568"/>
      <c r="K317" s="1568"/>
      <c r="L317" s="1569"/>
    </row>
    <row r="318" spans="1:14" s="665" customFormat="1" ht="15.75" customHeight="1" x14ac:dyDescent="0.2">
      <c r="A318" s="686" t="s">
        <v>631</v>
      </c>
      <c r="B318" s="687"/>
      <c r="C318" s="629"/>
      <c r="D318" s="629"/>
      <c r="E318" s="629"/>
      <c r="F318" s="629"/>
      <c r="G318" s="629"/>
      <c r="H318" s="629"/>
      <c r="I318" s="629"/>
      <c r="J318" s="629"/>
      <c r="K318" s="629"/>
      <c r="L318" s="629"/>
      <c r="M318" s="656"/>
      <c r="N318" s="656"/>
    </row>
    <row r="319" spans="1:14" s="665" customFormat="1" x14ac:dyDescent="0.2">
      <c r="A319" s="1530" t="s">
        <v>317</v>
      </c>
      <c r="B319" s="688" t="s">
        <v>299</v>
      </c>
      <c r="C319" s="466">
        <v>0</v>
      </c>
      <c r="D319" s="466">
        <v>0</v>
      </c>
      <c r="E319" s="466">
        <v>0</v>
      </c>
      <c r="F319" s="466">
        <v>0</v>
      </c>
      <c r="G319" s="466">
        <v>0</v>
      </c>
      <c r="H319" s="466">
        <v>0</v>
      </c>
      <c r="I319" s="466">
        <v>0</v>
      </c>
      <c r="J319" s="466">
        <v>0</v>
      </c>
      <c r="K319" s="1682">
        <f>SUM(C319:J319)</f>
        <v>0</v>
      </c>
      <c r="L319" s="466">
        <v>0</v>
      </c>
      <c r="M319" s="656"/>
      <c r="N319" s="656"/>
    </row>
    <row r="320" spans="1:14" s="665" customFormat="1" x14ac:dyDescent="0.2">
      <c r="A320" s="1534" t="s">
        <v>1908</v>
      </c>
      <c r="B320" s="689" t="s">
        <v>300</v>
      </c>
      <c r="C320" s="466">
        <v>0</v>
      </c>
      <c r="D320" s="466">
        <v>0</v>
      </c>
      <c r="E320" s="466">
        <v>0</v>
      </c>
      <c r="F320" s="466">
        <v>0</v>
      </c>
      <c r="G320" s="466">
        <v>0</v>
      </c>
      <c r="H320" s="466">
        <v>0</v>
      </c>
      <c r="I320" s="466">
        <v>0</v>
      </c>
      <c r="J320" s="466">
        <v>0</v>
      </c>
      <c r="K320" s="1682">
        <f t="shared" ref="K320:K327" si="24">SUM(C320:J320)</f>
        <v>0</v>
      </c>
      <c r="L320" s="466">
        <v>0</v>
      </c>
      <c r="M320" s="656"/>
      <c r="N320" s="656"/>
    </row>
    <row r="321" spans="1:14" s="665" customFormat="1" x14ac:dyDescent="0.2">
      <c r="A321" s="1530" t="s">
        <v>318</v>
      </c>
      <c r="B321" s="688" t="s">
        <v>301</v>
      </c>
      <c r="C321" s="466">
        <v>0</v>
      </c>
      <c r="D321" s="466">
        <v>0</v>
      </c>
      <c r="E321" s="466">
        <v>0</v>
      </c>
      <c r="F321" s="466">
        <v>0</v>
      </c>
      <c r="G321" s="466">
        <v>0</v>
      </c>
      <c r="H321" s="466">
        <v>0</v>
      </c>
      <c r="I321" s="466">
        <v>0</v>
      </c>
      <c r="J321" s="466">
        <v>0</v>
      </c>
      <c r="K321" s="1682">
        <f t="shared" si="24"/>
        <v>0</v>
      </c>
      <c r="L321" s="466">
        <v>0</v>
      </c>
      <c r="M321" s="656"/>
      <c r="N321" s="656"/>
    </row>
    <row r="322" spans="1:14" s="665" customFormat="1" x14ac:dyDescent="0.2">
      <c r="A322" s="1530" t="s">
        <v>256</v>
      </c>
      <c r="B322" s="688" t="s">
        <v>302</v>
      </c>
      <c r="C322" s="466">
        <v>0</v>
      </c>
      <c r="D322" s="466">
        <v>0</v>
      </c>
      <c r="E322" s="466">
        <v>54448</v>
      </c>
      <c r="F322" s="466">
        <v>0</v>
      </c>
      <c r="G322" s="466">
        <v>0</v>
      </c>
      <c r="H322" s="466">
        <v>0</v>
      </c>
      <c r="I322" s="466">
        <v>0</v>
      </c>
      <c r="J322" s="466">
        <v>0</v>
      </c>
      <c r="K322" s="1682">
        <f t="shared" si="24"/>
        <v>54448</v>
      </c>
      <c r="L322" s="466">
        <v>65000</v>
      </c>
      <c r="M322" s="656"/>
      <c r="N322" s="656"/>
    </row>
    <row r="323" spans="1:14" s="665" customFormat="1" x14ac:dyDescent="0.2">
      <c r="A323" s="1530" t="s">
        <v>726</v>
      </c>
      <c r="B323" s="688" t="s">
        <v>303</v>
      </c>
      <c r="C323" s="466">
        <v>0</v>
      </c>
      <c r="D323" s="466">
        <v>0</v>
      </c>
      <c r="E323" s="466">
        <v>0</v>
      </c>
      <c r="F323" s="466">
        <v>0</v>
      </c>
      <c r="G323" s="466">
        <v>0</v>
      </c>
      <c r="H323" s="466">
        <v>0</v>
      </c>
      <c r="I323" s="466">
        <v>0</v>
      </c>
      <c r="J323" s="466">
        <v>0</v>
      </c>
      <c r="K323" s="1682">
        <f t="shared" si="24"/>
        <v>0</v>
      </c>
      <c r="L323" s="466">
        <v>0</v>
      </c>
      <c r="M323" s="656"/>
      <c r="N323" s="656"/>
    </row>
    <row r="324" spans="1:14" s="665" customFormat="1" x14ac:dyDescent="0.2">
      <c r="A324" s="1530" t="s">
        <v>257</v>
      </c>
      <c r="B324" s="688" t="s">
        <v>304</v>
      </c>
      <c r="C324" s="466">
        <v>0</v>
      </c>
      <c r="D324" s="466">
        <v>0</v>
      </c>
      <c r="E324" s="466">
        <v>0</v>
      </c>
      <c r="F324" s="466">
        <v>0</v>
      </c>
      <c r="G324" s="466">
        <v>0</v>
      </c>
      <c r="H324" s="466">
        <v>0</v>
      </c>
      <c r="I324" s="466">
        <v>0</v>
      </c>
      <c r="J324" s="466">
        <v>0</v>
      </c>
      <c r="K324" s="1682">
        <f t="shared" si="24"/>
        <v>0</v>
      </c>
      <c r="L324" s="466">
        <v>0</v>
      </c>
      <c r="M324" s="656"/>
      <c r="N324" s="656"/>
    </row>
    <row r="325" spans="1:14" s="665" customFormat="1" ht="22.5" x14ac:dyDescent="0.2">
      <c r="A325" s="1530" t="s">
        <v>1087</v>
      </c>
      <c r="B325" s="689" t="s">
        <v>305</v>
      </c>
      <c r="C325" s="466">
        <v>0</v>
      </c>
      <c r="D325" s="466">
        <v>0</v>
      </c>
      <c r="E325" s="466">
        <v>0</v>
      </c>
      <c r="F325" s="466">
        <v>0</v>
      </c>
      <c r="G325" s="466">
        <v>0</v>
      </c>
      <c r="H325" s="466">
        <v>0</v>
      </c>
      <c r="I325" s="466">
        <v>0</v>
      </c>
      <c r="J325" s="466">
        <v>0</v>
      </c>
      <c r="K325" s="1682">
        <f t="shared" si="24"/>
        <v>0</v>
      </c>
      <c r="L325" s="466">
        <v>0</v>
      </c>
      <c r="M325" s="656"/>
      <c r="N325" s="656"/>
    </row>
    <row r="326" spans="1:14" s="665" customFormat="1" x14ac:dyDescent="0.2">
      <c r="A326" s="1530" t="s">
        <v>1088</v>
      </c>
      <c r="B326" s="688" t="s">
        <v>306</v>
      </c>
      <c r="C326" s="466">
        <v>0</v>
      </c>
      <c r="D326" s="466">
        <v>0</v>
      </c>
      <c r="E326" s="466">
        <v>0</v>
      </c>
      <c r="F326" s="466">
        <v>0</v>
      </c>
      <c r="G326" s="466">
        <v>0</v>
      </c>
      <c r="H326" s="466">
        <v>0</v>
      </c>
      <c r="I326" s="466">
        <v>0</v>
      </c>
      <c r="J326" s="466">
        <v>0</v>
      </c>
      <c r="K326" s="1682">
        <f t="shared" si="24"/>
        <v>0</v>
      </c>
      <c r="L326" s="466">
        <v>0</v>
      </c>
      <c r="M326" s="656"/>
      <c r="N326" s="656"/>
    </row>
    <row r="327" spans="1:14" s="665" customFormat="1" x14ac:dyDescent="0.2">
      <c r="A327" s="1530" t="s">
        <v>1028</v>
      </c>
      <c r="B327" s="688" t="s">
        <v>307</v>
      </c>
      <c r="C327" s="466">
        <v>0</v>
      </c>
      <c r="D327" s="466">
        <v>0</v>
      </c>
      <c r="E327" s="466">
        <v>0</v>
      </c>
      <c r="F327" s="466">
        <v>0</v>
      </c>
      <c r="G327" s="466">
        <v>0</v>
      </c>
      <c r="H327" s="466">
        <v>0</v>
      </c>
      <c r="I327" s="466">
        <v>0</v>
      </c>
      <c r="J327" s="466">
        <v>0</v>
      </c>
      <c r="K327" s="1682">
        <f t="shared" si="24"/>
        <v>0</v>
      </c>
      <c r="L327" s="466">
        <v>0</v>
      </c>
      <c r="M327" s="656"/>
      <c r="N327" s="656"/>
    </row>
    <row r="328" spans="1:14" s="665" customFormat="1" x14ac:dyDescent="0.2">
      <c r="A328" s="1531" t="s">
        <v>492</v>
      </c>
      <c r="B328" s="681" t="s">
        <v>1194</v>
      </c>
      <c r="C328" s="466">
        <v>0</v>
      </c>
      <c r="D328" s="466">
        <v>0</v>
      </c>
      <c r="E328" s="466">
        <v>0</v>
      </c>
      <c r="F328" s="466">
        <v>0</v>
      </c>
      <c r="G328" s="466">
        <v>0</v>
      </c>
      <c r="H328" s="466">
        <v>0</v>
      </c>
      <c r="I328" s="466">
        <v>0</v>
      </c>
      <c r="J328" s="466">
        <v>0</v>
      </c>
      <c r="K328" s="1710">
        <f>SUM(C328:J328)</f>
        <v>0</v>
      </c>
      <c r="L328" s="466">
        <v>0</v>
      </c>
      <c r="M328" s="656"/>
      <c r="N328" s="656"/>
    </row>
    <row r="329" spans="1:14" s="665" customFormat="1" x14ac:dyDescent="0.2">
      <c r="A329" s="1531" t="s">
        <v>1195</v>
      </c>
      <c r="B329" s="681" t="s">
        <v>1196</v>
      </c>
      <c r="C329" s="466">
        <v>0</v>
      </c>
      <c r="D329" s="466">
        <v>0</v>
      </c>
      <c r="E329" s="466">
        <v>0</v>
      </c>
      <c r="F329" s="466">
        <v>0</v>
      </c>
      <c r="G329" s="466">
        <v>0</v>
      </c>
      <c r="H329" s="466">
        <v>0</v>
      </c>
      <c r="I329" s="466">
        <v>0</v>
      </c>
      <c r="J329" s="466">
        <v>0</v>
      </c>
      <c r="K329" s="1710">
        <f>SUM(C329:J329)</f>
        <v>0</v>
      </c>
      <c r="L329" s="466">
        <v>0</v>
      </c>
      <c r="M329" s="656"/>
      <c r="N329" s="656"/>
    </row>
    <row r="330" spans="1:14" s="665" customFormat="1" ht="12.75" customHeight="1" thickBot="1" x14ac:dyDescent="0.25">
      <c r="A330" s="1711" t="s">
        <v>741</v>
      </c>
      <c r="B330" s="1680" t="s">
        <v>590</v>
      </c>
      <c r="C330" s="1681">
        <f>SUM(C319:C329)</f>
        <v>0</v>
      </c>
      <c r="D330" s="1681">
        <f t="shared" ref="D330:J330" si="25">SUM(D319:D329)</f>
        <v>0</v>
      </c>
      <c r="E330" s="1681">
        <f t="shared" si="25"/>
        <v>54448</v>
      </c>
      <c r="F330" s="1681">
        <f t="shared" si="25"/>
        <v>0</v>
      </c>
      <c r="G330" s="1681">
        <f t="shared" si="25"/>
        <v>0</v>
      </c>
      <c r="H330" s="1681">
        <f t="shared" si="25"/>
        <v>0</v>
      </c>
      <c r="I330" s="1681">
        <f t="shared" si="25"/>
        <v>0</v>
      </c>
      <c r="J330" s="1681">
        <f t="shared" si="25"/>
        <v>0</v>
      </c>
      <c r="K330" s="1681">
        <f>SUM(K319:K329)</f>
        <v>54448</v>
      </c>
      <c r="L330" s="1681">
        <f>SUM(L319:L329)</f>
        <v>65000</v>
      </c>
      <c r="M330" s="656"/>
      <c r="N330" s="656"/>
    </row>
    <row r="331" spans="1:14" s="665" customFormat="1" ht="12.75" customHeight="1" thickTop="1" x14ac:dyDescent="0.2">
      <c r="A331" s="1843" t="s">
        <v>1963</v>
      </c>
      <c r="B331" s="638" t="s">
        <v>915</v>
      </c>
      <c r="C331" s="1845"/>
      <c r="D331" s="1845"/>
      <c r="E331" s="1845"/>
      <c r="F331" s="1845"/>
      <c r="G331" s="1845"/>
      <c r="H331" s="1845"/>
      <c r="I331" s="1845"/>
      <c r="J331" s="1845"/>
      <c r="K331" s="1845"/>
      <c r="L331" s="1845"/>
      <c r="M331" s="656"/>
      <c r="N331" s="656"/>
    </row>
    <row r="332" spans="1:14" s="665" customFormat="1" ht="12.75" customHeight="1" x14ac:dyDescent="0.2">
      <c r="A332" s="1844" t="s">
        <v>517</v>
      </c>
      <c r="B332" s="1839" t="s">
        <v>1957</v>
      </c>
      <c r="C332" s="1845"/>
      <c r="D332" s="1845"/>
      <c r="E332" s="1845"/>
      <c r="F332" s="1845"/>
      <c r="G332" s="1845"/>
      <c r="H332" s="466">
        <v>0</v>
      </c>
      <c r="I332" s="1845"/>
      <c r="J332" s="1845"/>
      <c r="K332" s="1682">
        <f>H332</f>
        <v>0</v>
      </c>
      <c r="L332" s="466">
        <v>0</v>
      </c>
      <c r="M332" s="656"/>
      <c r="N332" s="656"/>
    </row>
    <row r="333" spans="1:14" s="665" customFormat="1" ht="12.75" customHeight="1" x14ac:dyDescent="0.2">
      <c r="A333" s="1844" t="s">
        <v>322</v>
      </c>
      <c r="B333" s="1839" t="s">
        <v>1959</v>
      </c>
      <c r="C333" s="1845"/>
      <c r="D333" s="1845"/>
      <c r="E333" s="1845"/>
      <c r="F333" s="1845"/>
      <c r="G333" s="1845"/>
      <c r="H333" s="466">
        <v>0</v>
      </c>
      <c r="I333" s="1845"/>
      <c r="J333" s="1845"/>
      <c r="K333" s="1682">
        <f>H333</f>
        <v>0</v>
      </c>
      <c r="L333" s="466">
        <v>0</v>
      </c>
      <c r="M333" s="656"/>
      <c r="N333" s="656"/>
    </row>
    <row r="334" spans="1:14" s="665" customFormat="1" ht="12.75" customHeight="1" thickBot="1" x14ac:dyDescent="0.25">
      <c r="A334" s="1844" t="s">
        <v>1964</v>
      </c>
      <c r="B334" s="1839" t="s">
        <v>915</v>
      </c>
      <c r="C334" s="1845"/>
      <c r="D334" s="1845"/>
      <c r="E334" s="1845"/>
      <c r="F334" s="1845"/>
      <c r="G334" s="1845"/>
      <c r="H334" s="1681">
        <f>SUM(H332:H333)</f>
        <v>0</v>
      </c>
      <c r="I334" s="1845"/>
      <c r="J334" s="1845"/>
      <c r="K334" s="1681">
        <f>SUM(K332:K333)</f>
        <v>0</v>
      </c>
      <c r="L334" s="1681">
        <f>SUM(L332:L333)</f>
        <v>0</v>
      </c>
      <c r="M334" s="656"/>
      <c r="N334" s="656"/>
    </row>
    <row r="335" spans="1:14" ht="15.75" customHeight="1" thickTop="1" x14ac:dyDescent="0.2">
      <c r="A335" s="1627" t="s">
        <v>955</v>
      </c>
      <c r="B335" s="1618" t="s">
        <v>513</v>
      </c>
      <c r="C335" s="608"/>
      <c r="D335" s="608"/>
      <c r="E335" s="608"/>
      <c r="F335" s="608"/>
      <c r="G335" s="608"/>
      <c r="H335" s="608"/>
      <c r="I335" s="608"/>
      <c r="J335" s="608"/>
      <c r="K335" s="608"/>
      <c r="L335" s="608"/>
    </row>
    <row r="336" spans="1:14" ht="15.75" customHeight="1" x14ac:dyDescent="0.2">
      <c r="A336" s="644" t="s">
        <v>636</v>
      </c>
      <c r="B336" s="614"/>
      <c r="C336" s="608"/>
      <c r="D336" s="608"/>
      <c r="E336" s="608"/>
      <c r="F336" s="608"/>
      <c r="G336" s="608"/>
      <c r="H336" s="615"/>
      <c r="I336" s="608"/>
      <c r="J336" s="608"/>
      <c r="K336" s="615"/>
      <c r="L336" s="615"/>
    </row>
    <row r="337" spans="1:14" x14ac:dyDescent="0.2">
      <c r="A337" s="1529" t="s">
        <v>89</v>
      </c>
      <c r="B337" s="681" t="s">
        <v>956</v>
      </c>
      <c r="C337" s="629"/>
      <c r="D337" s="629"/>
      <c r="E337" s="629"/>
      <c r="F337" s="629"/>
      <c r="G337" s="629"/>
      <c r="H337" s="466">
        <v>0</v>
      </c>
      <c r="I337" s="629"/>
      <c r="J337" s="629"/>
      <c r="K337" s="1682">
        <f>H337</f>
        <v>0</v>
      </c>
      <c r="L337" s="466">
        <v>0</v>
      </c>
    </row>
    <row r="338" spans="1:14" ht="12.75" customHeight="1" x14ac:dyDescent="0.2">
      <c r="A338" s="1529" t="s">
        <v>1232</v>
      </c>
      <c r="B338" s="681" t="s">
        <v>638</v>
      </c>
      <c r="C338" s="629"/>
      <c r="D338" s="629"/>
      <c r="E338" s="629"/>
      <c r="F338" s="629"/>
      <c r="G338" s="629"/>
      <c r="H338" s="466">
        <v>0</v>
      </c>
      <c r="I338" s="629"/>
      <c r="J338" s="629"/>
      <c r="K338" s="1682">
        <f>H338</f>
        <v>0</v>
      </c>
      <c r="L338" s="466">
        <v>0</v>
      </c>
    </row>
    <row r="339" spans="1:14" x14ac:dyDescent="0.2">
      <c r="A339" s="1515" t="s">
        <v>957</v>
      </c>
      <c r="B339" s="620">
        <v>5150</v>
      </c>
      <c r="C339" s="629"/>
      <c r="D339" s="629"/>
      <c r="E339" s="629"/>
      <c r="F339" s="629"/>
      <c r="G339" s="629"/>
      <c r="H339" s="466">
        <v>0</v>
      </c>
      <c r="I339" s="629"/>
      <c r="J339" s="629"/>
      <c r="K339" s="1682">
        <f>H339</f>
        <v>0</v>
      </c>
      <c r="L339" s="466">
        <v>0</v>
      </c>
    </row>
    <row r="340" spans="1:14" ht="13.5" thickBot="1" x14ac:dyDescent="0.25">
      <c r="A340" s="1705" t="s">
        <v>958</v>
      </c>
      <c r="B340" s="1680" t="s">
        <v>513</v>
      </c>
      <c r="C340" s="608"/>
      <c r="D340" s="608"/>
      <c r="E340" s="608"/>
      <c r="F340" s="608"/>
      <c r="G340" s="608"/>
      <c r="H340" s="1699">
        <f>SUM(H337:H339)</f>
        <v>0</v>
      </c>
      <c r="I340" s="608"/>
      <c r="J340" s="608"/>
      <c r="K340" s="1699">
        <f>SUM(K337:K339)</f>
        <v>0</v>
      </c>
      <c r="L340" s="1699">
        <f>SUM(L337:L339)</f>
        <v>0</v>
      </c>
    </row>
    <row r="341" spans="1:14" ht="15.75" customHeight="1" thickTop="1" thickBot="1" x14ac:dyDescent="0.25">
      <c r="A341" s="1630" t="s">
        <v>959</v>
      </c>
      <c r="B341" s="1622" t="s">
        <v>916</v>
      </c>
      <c r="C341" s="608"/>
      <c r="D341" s="608"/>
      <c r="E341" s="474"/>
      <c r="F341" s="468"/>
      <c r="G341" s="468"/>
      <c r="H341" s="474"/>
      <c r="I341" s="474"/>
      <c r="J341" s="468"/>
      <c r="K341" s="474"/>
      <c r="L341" s="570">
        <v>0</v>
      </c>
    </row>
    <row r="342" spans="1:14" ht="12.75" customHeight="1" thickTop="1" thickBot="1" x14ac:dyDescent="0.25">
      <c r="A342" s="1697" t="s">
        <v>526</v>
      </c>
      <c r="B342" s="1712"/>
      <c r="C342" s="1681">
        <f>SUM(C330)</f>
        <v>0</v>
      </c>
      <c r="D342" s="1681">
        <f>SUM(D330)</f>
        <v>0</v>
      </c>
      <c r="E342" s="1681">
        <f>SUM(E330)</f>
        <v>54448</v>
      </c>
      <c r="F342" s="1681">
        <f>SUM(F330)</f>
        <v>0</v>
      </c>
      <c r="G342" s="1681">
        <f>SUM(G330)</f>
        <v>0</v>
      </c>
      <c r="H342" s="1681">
        <f>SUM(H330,H334,H340)</f>
        <v>0</v>
      </c>
      <c r="I342" s="1681">
        <f>SUM(I330)</f>
        <v>0</v>
      </c>
      <c r="J342" s="1681">
        <f>SUM(J330)</f>
        <v>0</v>
      </c>
      <c r="K342" s="1681">
        <f>SUM(K330,K334,K340)</f>
        <v>54448</v>
      </c>
      <c r="L342" s="1688">
        <f>SUM(L330,L340,L341)</f>
        <v>65000</v>
      </c>
    </row>
    <row r="343" spans="1:14" ht="12.75" customHeight="1" thickTop="1" x14ac:dyDescent="0.2">
      <c r="A343" s="2176" t="s">
        <v>1053</v>
      </c>
      <c r="B343" s="2177"/>
      <c r="C343" s="608"/>
      <c r="D343" s="608"/>
      <c r="E343" s="608"/>
      <c r="F343" s="608"/>
      <c r="G343" s="608"/>
      <c r="H343" s="608"/>
      <c r="I343" s="608"/>
      <c r="J343" s="608"/>
      <c r="K343" s="1695">
        <f>'Revenues 9-14'!J275-'Expenditures 15-22'!K342</f>
        <v>26531</v>
      </c>
      <c r="L343" s="608"/>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166" t="s">
        <v>1023</v>
      </c>
      <c r="B345" s="2167"/>
      <c r="C345" s="1562"/>
      <c r="D345" s="1563"/>
      <c r="E345" s="1563"/>
      <c r="F345" s="1563"/>
      <c r="G345" s="1563"/>
      <c r="H345" s="1563"/>
      <c r="I345" s="1563"/>
      <c r="J345" s="1563"/>
      <c r="K345" s="1563"/>
      <c r="L345" s="1564"/>
      <c r="M345" s="658"/>
      <c r="N345" s="658"/>
    </row>
    <row r="346" spans="1:14" s="343" customFormat="1" ht="15.75" customHeight="1" x14ac:dyDescent="0.2">
      <c r="A346" s="1634" t="s">
        <v>899</v>
      </c>
      <c r="B346" s="1626" t="s">
        <v>590</v>
      </c>
      <c r="C346" s="608"/>
      <c r="D346" s="608"/>
      <c r="E346" s="608"/>
      <c r="F346" s="608"/>
      <c r="G346" s="608"/>
      <c r="H346" s="608"/>
      <c r="I346" s="608"/>
      <c r="J346" s="608"/>
      <c r="K346" s="608"/>
      <c r="L346" s="608"/>
      <c r="M346" s="601"/>
      <c r="N346" s="601"/>
    </row>
    <row r="347" spans="1:14" ht="15.75" customHeight="1" x14ac:dyDescent="0.2">
      <c r="A347" s="690" t="s">
        <v>633</v>
      </c>
      <c r="B347" s="691"/>
      <c r="C347" s="615"/>
      <c r="D347" s="615"/>
      <c r="E347" s="615"/>
      <c r="F347" s="615"/>
      <c r="G347" s="615"/>
      <c r="H347" s="615"/>
      <c r="I347" s="608"/>
      <c r="J347" s="608"/>
      <c r="K347" s="615"/>
      <c r="L347" s="615"/>
    </row>
    <row r="348" spans="1:14" x14ac:dyDescent="0.2">
      <c r="A348" s="1515" t="s">
        <v>4</v>
      </c>
      <c r="B348" s="606">
        <v>2530</v>
      </c>
      <c r="C348" s="466">
        <v>0</v>
      </c>
      <c r="D348" s="466">
        <v>0</v>
      </c>
      <c r="E348" s="466">
        <v>0</v>
      </c>
      <c r="F348" s="466">
        <v>0</v>
      </c>
      <c r="G348" s="466">
        <v>50665</v>
      </c>
      <c r="H348" s="466">
        <v>0</v>
      </c>
      <c r="I348" s="466">
        <v>0</v>
      </c>
      <c r="J348" s="466">
        <v>0</v>
      </c>
      <c r="K348" s="1682">
        <f>SUM(C348:J348)</f>
        <v>50665</v>
      </c>
      <c r="L348" s="466">
        <v>0</v>
      </c>
    </row>
    <row r="349" spans="1:14" x14ac:dyDescent="0.2">
      <c r="A349" s="1515" t="s">
        <v>206</v>
      </c>
      <c r="B349" s="606">
        <v>2540</v>
      </c>
      <c r="C349" s="466">
        <v>0</v>
      </c>
      <c r="D349" s="466">
        <v>0</v>
      </c>
      <c r="E349" s="466">
        <v>0</v>
      </c>
      <c r="F349" s="466">
        <v>0</v>
      </c>
      <c r="G349" s="466">
        <v>0</v>
      </c>
      <c r="H349" s="466">
        <v>0</v>
      </c>
      <c r="I349" s="466">
        <v>0</v>
      </c>
      <c r="J349" s="466">
        <v>0</v>
      </c>
      <c r="K349" s="1682">
        <f>SUM(C349:J349)</f>
        <v>0</v>
      </c>
      <c r="L349" s="466">
        <v>0</v>
      </c>
    </row>
    <row r="350" spans="1:14" ht="12.75" customHeight="1" thickBot="1" x14ac:dyDescent="0.25">
      <c r="A350" s="1679" t="s">
        <v>743</v>
      </c>
      <c r="B350" s="1680" t="s">
        <v>35</v>
      </c>
      <c r="C350" s="1681">
        <f>SUM(C348:C349)</f>
        <v>0</v>
      </c>
      <c r="D350" s="1681">
        <f t="shared" ref="D350:L350" si="26">SUM(D348:D349)</f>
        <v>0</v>
      </c>
      <c r="E350" s="1681">
        <f t="shared" si="26"/>
        <v>0</v>
      </c>
      <c r="F350" s="1681">
        <f t="shared" si="26"/>
        <v>0</v>
      </c>
      <c r="G350" s="1681">
        <f t="shared" si="26"/>
        <v>50665</v>
      </c>
      <c r="H350" s="1681">
        <f t="shared" si="26"/>
        <v>0</v>
      </c>
      <c r="I350" s="1681">
        <f t="shared" si="26"/>
        <v>0</v>
      </c>
      <c r="J350" s="1681">
        <f t="shared" si="26"/>
        <v>0</v>
      </c>
      <c r="K350" s="1681">
        <f t="shared" si="26"/>
        <v>50665</v>
      </c>
      <c r="L350" s="1681">
        <f t="shared" si="26"/>
        <v>0</v>
      </c>
    </row>
    <row r="351" spans="1:14" ht="12.75" customHeight="1" thickTop="1" x14ac:dyDescent="0.2">
      <c r="A351" s="1521" t="s">
        <v>1037</v>
      </c>
      <c r="B351" s="634" t="s">
        <v>595</v>
      </c>
      <c r="C351" s="478">
        <v>0</v>
      </c>
      <c r="D351" s="478">
        <v>0</v>
      </c>
      <c r="E351" s="478">
        <v>0</v>
      </c>
      <c r="F351" s="478">
        <v>0</v>
      </c>
      <c r="G351" s="478">
        <v>0</v>
      </c>
      <c r="H351" s="478">
        <v>0</v>
      </c>
      <c r="I351" s="478">
        <v>0</v>
      </c>
      <c r="J351" s="478">
        <v>0</v>
      </c>
      <c r="K351" s="607">
        <f>SUM(C351:J351)</f>
        <v>0</v>
      </c>
      <c r="L351" s="478">
        <v>0</v>
      </c>
    </row>
    <row r="352" spans="1:14" ht="12.75" customHeight="1" thickBot="1" x14ac:dyDescent="0.25">
      <c r="A352" s="1679" t="s">
        <v>645</v>
      </c>
      <c r="B352" s="1686" t="s">
        <v>590</v>
      </c>
      <c r="C352" s="1681">
        <f>SUM(C350:C351)</f>
        <v>0</v>
      </c>
      <c r="D352" s="1681">
        <f t="shared" ref="D352:L352" si="27">SUM(D350:D351)</f>
        <v>0</v>
      </c>
      <c r="E352" s="1681">
        <f t="shared" si="27"/>
        <v>0</v>
      </c>
      <c r="F352" s="1681">
        <f t="shared" si="27"/>
        <v>0</v>
      </c>
      <c r="G352" s="1681">
        <f t="shared" si="27"/>
        <v>50665</v>
      </c>
      <c r="H352" s="1681">
        <f t="shared" si="27"/>
        <v>0</v>
      </c>
      <c r="I352" s="1681">
        <f t="shared" si="27"/>
        <v>0</v>
      </c>
      <c r="J352" s="1681">
        <f t="shared" si="27"/>
        <v>0</v>
      </c>
      <c r="K352" s="1681">
        <f t="shared" si="27"/>
        <v>50665</v>
      </c>
      <c r="L352" s="1681">
        <f t="shared" si="27"/>
        <v>0</v>
      </c>
    </row>
    <row r="353" spans="1:14" s="343" customFormat="1" ht="15.75" customHeight="1" thickTop="1" x14ac:dyDescent="0.2">
      <c r="A353" s="1623" t="s">
        <v>646</v>
      </c>
      <c r="B353" s="1620" t="s">
        <v>915</v>
      </c>
      <c r="C353" s="608"/>
      <c r="D353" s="608"/>
      <c r="E353" s="608"/>
      <c r="F353" s="608"/>
      <c r="G353" s="608"/>
      <c r="H353" s="608"/>
      <c r="I353" s="608"/>
      <c r="J353" s="608"/>
      <c r="K353" s="608"/>
      <c r="L353" s="608"/>
      <c r="M353" s="601"/>
      <c r="N353" s="601"/>
    </row>
    <row r="354" spans="1:14" x14ac:dyDescent="0.2">
      <c r="A354" s="1846" t="s">
        <v>1965</v>
      </c>
      <c r="B354" s="674" t="s">
        <v>1957</v>
      </c>
      <c r="C354" s="608"/>
      <c r="D354" s="608"/>
      <c r="E354" s="608"/>
      <c r="F354" s="608"/>
      <c r="G354" s="608"/>
      <c r="H354" s="466">
        <v>0</v>
      </c>
      <c r="I354" s="692"/>
      <c r="J354" s="608"/>
      <c r="K354" s="1710">
        <f>H354</f>
        <v>0</v>
      </c>
      <c r="L354" s="466">
        <v>0</v>
      </c>
    </row>
    <row r="355" spans="1:14" ht="12.75" customHeight="1" x14ac:dyDescent="0.2">
      <c r="A355" s="1524" t="s">
        <v>1966</v>
      </c>
      <c r="B355" s="681" t="s">
        <v>1959</v>
      </c>
      <c r="C355" s="608"/>
      <c r="D355" s="608"/>
      <c r="E355" s="608"/>
      <c r="F355" s="608"/>
      <c r="G355" s="608"/>
      <c r="H355" s="466">
        <v>0</v>
      </c>
      <c r="I355" s="692"/>
      <c r="J355" s="608"/>
      <c r="K355" s="1754">
        <f>H355</f>
        <v>0</v>
      </c>
      <c r="L355" s="466">
        <v>0</v>
      </c>
    </row>
    <row r="356" spans="1:14" ht="12.75" customHeight="1" x14ac:dyDescent="0.2">
      <c r="A356" s="1846" t="s">
        <v>722</v>
      </c>
      <c r="B356" s="674" t="s">
        <v>579</v>
      </c>
      <c r="C356" s="608"/>
      <c r="D356" s="608"/>
      <c r="E356" s="608"/>
      <c r="F356" s="608"/>
      <c r="G356" s="608"/>
      <c r="H356" s="466">
        <v>0</v>
      </c>
      <c r="I356" s="692"/>
      <c r="J356" s="608"/>
      <c r="K356" s="1751">
        <f>H356</f>
        <v>0</v>
      </c>
      <c r="L356" s="466">
        <v>0</v>
      </c>
    </row>
    <row r="357" spans="1:14" ht="12.75" customHeight="1" thickBot="1" x14ac:dyDescent="0.25">
      <c r="A357" s="1679" t="s">
        <v>1567</v>
      </c>
      <c r="B357" s="1680" t="s">
        <v>915</v>
      </c>
      <c r="C357" s="608"/>
      <c r="D357" s="608"/>
      <c r="E357" s="608"/>
      <c r="F357" s="608"/>
      <c r="G357" s="608"/>
      <c r="H357" s="1699">
        <f>SUM(H354:H356)</f>
        <v>0</v>
      </c>
      <c r="I357" s="692"/>
      <c r="J357" s="608"/>
      <c r="K357" s="1699">
        <f>SUM(K354:K356)</f>
        <v>0</v>
      </c>
      <c r="L357" s="1699">
        <f>SUM(L354:L356)</f>
        <v>0</v>
      </c>
    </row>
    <row r="358" spans="1:14" s="343" customFormat="1" ht="15.75" customHeight="1" thickTop="1" x14ac:dyDescent="0.2">
      <c r="A358" s="1623" t="s">
        <v>1005</v>
      </c>
      <c r="B358" s="1620" t="s">
        <v>513</v>
      </c>
      <c r="C358" s="608"/>
      <c r="D358" s="608"/>
      <c r="E358" s="608"/>
      <c r="F358" s="608"/>
      <c r="G358" s="608"/>
      <c r="H358" s="608"/>
      <c r="I358" s="608"/>
      <c r="J358" s="608"/>
      <c r="K358" s="608"/>
      <c r="L358" s="608"/>
      <c r="M358" s="601"/>
      <c r="N358" s="601"/>
    </row>
    <row r="359" spans="1:14" s="343" customFormat="1" ht="15.75" customHeight="1" x14ac:dyDescent="0.2">
      <c r="A359" s="644" t="s">
        <v>648</v>
      </c>
      <c r="B359" s="614"/>
      <c r="C359" s="608"/>
      <c r="D359" s="608"/>
      <c r="E359" s="608"/>
      <c r="F359" s="608"/>
      <c r="G359" s="608"/>
      <c r="H359" s="608"/>
      <c r="I359" s="608"/>
      <c r="J359" s="608"/>
      <c r="K359" s="615"/>
      <c r="L359" s="615"/>
      <c r="M359" s="601"/>
      <c r="N359" s="601"/>
    </row>
    <row r="360" spans="1:14" x14ac:dyDescent="0.2">
      <c r="A360" s="1515" t="s">
        <v>89</v>
      </c>
      <c r="B360" s="606">
        <v>5110</v>
      </c>
      <c r="C360" s="608"/>
      <c r="D360" s="608"/>
      <c r="E360" s="608"/>
      <c r="F360" s="608"/>
      <c r="G360" s="608"/>
      <c r="H360" s="466">
        <v>0</v>
      </c>
      <c r="I360" s="608"/>
      <c r="J360" s="608"/>
      <c r="K360" s="1682">
        <f>SUM(C360:J360)</f>
        <v>0</v>
      </c>
      <c r="L360" s="466">
        <v>0</v>
      </c>
    </row>
    <row r="361" spans="1:14" ht="12.75" customHeight="1" x14ac:dyDescent="0.2">
      <c r="A361" s="1516" t="s">
        <v>640</v>
      </c>
      <c r="B361" s="594" t="s">
        <v>639</v>
      </c>
      <c r="C361" s="608"/>
      <c r="D361" s="608"/>
      <c r="E361" s="608"/>
      <c r="F361" s="608"/>
      <c r="G361" s="608"/>
      <c r="H361" s="466">
        <v>0</v>
      </c>
      <c r="I361" s="608"/>
      <c r="J361" s="608"/>
      <c r="K361" s="1682">
        <f>SUM(C361:J361)</f>
        <v>0</v>
      </c>
      <c r="L361" s="466">
        <v>0</v>
      </c>
    </row>
    <row r="362" spans="1:14" ht="12.75" customHeight="1" thickBot="1" x14ac:dyDescent="0.25">
      <c r="A362" s="1679" t="s">
        <v>647</v>
      </c>
      <c r="B362" s="1680" t="s">
        <v>742</v>
      </c>
      <c r="C362" s="608"/>
      <c r="D362" s="608"/>
      <c r="E362" s="608"/>
      <c r="F362" s="608"/>
      <c r="G362" s="608"/>
      <c r="H362" s="1714">
        <f>SUM(H360:H361)</f>
        <v>0</v>
      </c>
      <c r="I362" s="608"/>
      <c r="J362" s="608"/>
      <c r="K362" s="1714">
        <f>SUM(K360:K361)</f>
        <v>0</v>
      </c>
      <c r="L362" s="1714">
        <f>SUM(L360:L361)</f>
        <v>0</v>
      </c>
    </row>
    <row r="363" spans="1:14" s="665" customFormat="1" ht="15.75" customHeight="1" thickTop="1" x14ac:dyDescent="0.2">
      <c r="A363" s="651" t="s">
        <v>85</v>
      </c>
      <c r="B363" s="652" t="s">
        <v>38</v>
      </c>
      <c r="C363" s="629"/>
      <c r="D363" s="629"/>
      <c r="E363" s="629"/>
      <c r="F363" s="629"/>
      <c r="G363" s="629"/>
      <c r="H363" s="476">
        <v>0</v>
      </c>
      <c r="I363" s="629"/>
      <c r="J363" s="629"/>
      <c r="K363" s="1710">
        <f>SUM(C363:J363)</f>
        <v>0</v>
      </c>
      <c r="L363" s="476">
        <v>0</v>
      </c>
      <c r="M363" s="656"/>
      <c r="N363" s="656"/>
    </row>
    <row r="364" spans="1:14" s="698" customFormat="1" ht="29.25" customHeight="1" x14ac:dyDescent="0.2">
      <c r="A364" s="693" t="s">
        <v>1771</v>
      </c>
      <c r="B364" s="694">
        <v>5300</v>
      </c>
      <c r="C364" s="695"/>
      <c r="D364" s="696"/>
      <c r="E364" s="696"/>
      <c r="F364" s="695"/>
      <c r="G364" s="696"/>
      <c r="H364" s="697">
        <v>0</v>
      </c>
      <c r="I364" s="696"/>
      <c r="J364" s="696"/>
      <c r="K364" s="1682">
        <f>SUM(C364:J364)</f>
        <v>0</v>
      </c>
      <c r="L364" s="697">
        <v>0</v>
      </c>
    </row>
    <row r="365" spans="1:14" s="665" customFormat="1" ht="12.75" customHeight="1" thickBot="1" x14ac:dyDescent="0.25">
      <c r="A365" s="1532" t="s">
        <v>611</v>
      </c>
      <c r="B365" s="650" t="s">
        <v>513</v>
      </c>
      <c r="C365" s="629"/>
      <c r="D365" s="629"/>
      <c r="E365" s="629"/>
      <c r="F365" s="629"/>
      <c r="G365" s="629"/>
      <c r="H365" s="1714">
        <f>SUM(H362,H363,H364)</f>
        <v>0</v>
      </c>
      <c r="I365" s="629"/>
      <c r="J365" s="629"/>
      <c r="K365" s="1714">
        <f>SUM(K362,K363,K364)</f>
        <v>0</v>
      </c>
      <c r="L365" s="1714">
        <f>SUM(L362,L363,L364)</f>
        <v>0</v>
      </c>
      <c r="M365" s="656"/>
      <c r="N365" s="656"/>
    </row>
    <row r="366" spans="1:14" s="343" customFormat="1" ht="15.75" customHeight="1" thickTop="1" thickBot="1" x14ac:dyDescent="0.25">
      <c r="A366" s="1617" t="s">
        <v>1006</v>
      </c>
      <c r="B366" s="1624" t="s">
        <v>916</v>
      </c>
      <c r="C366" s="615"/>
      <c r="D366" s="615"/>
      <c r="E366" s="615"/>
      <c r="F366" s="615"/>
      <c r="G366" s="615"/>
      <c r="H366" s="615"/>
      <c r="I366" s="615"/>
      <c r="J366" s="608"/>
      <c r="K366" s="615"/>
      <c r="L366" s="567">
        <v>0</v>
      </c>
      <c r="M366" s="601"/>
      <c r="N366" s="601"/>
    </row>
    <row r="367" spans="1:14" ht="12.75" customHeight="1" thickTop="1" thickBot="1" x14ac:dyDescent="0.25">
      <c r="A367" s="1703" t="s">
        <v>526</v>
      </c>
      <c r="B367" s="1715"/>
      <c r="C367" s="1681">
        <f t="shared" ref="C367:L367" si="28">SUM(C352,C357,C365,C366)</f>
        <v>0</v>
      </c>
      <c r="D367" s="1681">
        <f t="shared" si="28"/>
        <v>0</v>
      </c>
      <c r="E367" s="1681">
        <f t="shared" si="28"/>
        <v>0</v>
      </c>
      <c r="F367" s="1681">
        <f t="shared" si="28"/>
        <v>0</v>
      </c>
      <c r="G367" s="1681">
        <f t="shared" si="28"/>
        <v>50665</v>
      </c>
      <c r="H367" s="1681">
        <f t="shared" si="28"/>
        <v>0</v>
      </c>
      <c r="I367" s="1681">
        <f t="shared" si="28"/>
        <v>0</v>
      </c>
      <c r="J367" s="1681">
        <f t="shared" si="28"/>
        <v>0</v>
      </c>
      <c r="K367" s="1681">
        <f t="shared" si="28"/>
        <v>50665</v>
      </c>
      <c r="L367" s="1681">
        <f t="shared" si="28"/>
        <v>0</v>
      </c>
    </row>
    <row r="368" spans="1:14" ht="13.5" thickTop="1" x14ac:dyDescent="0.2">
      <c r="A368" s="2163" t="s">
        <v>1053</v>
      </c>
      <c r="B368" s="2164"/>
      <c r="C368" s="645"/>
      <c r="D368" s="645"/>
      <c r="E368" s="618"/>
      <c r="F368" s="618"/>
      <c r="G368" s="618"/>
      <c r="H368" s="618"/>
      <c r="I368" s="618"/>
      <c r="J368" s="615"/>
      <c r="K368" s="1682">
        <f>'Revenues 9-14'!K275-'Expenditures 15-22'!K367</f>
        <v>-48250</v>
      </c>
      <c r="L368" s="64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heetViews>
  <sheetFormatPr defaultRowHeight="12.75" x14ac:dyDescent="0.2"/>
  <cols>
    <col min="1" max="1" width="41.42578125" style="252" customWidth="1"/>
    <col min="2" max="3" width="17.7109375" style="702" customWidth="1"/>
    <col min="4" max="5" width="17.7109375" style="70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6" t="s">
        <v>106</v>
      </c>
    </row>
    <row r="2" spans="1:6" ht="39.75" customHeight="1" x14ac:dyDescent="0.2">
      <c r="A2" s="2190" t="s">
        <v>1905</v>
      </c>
      <c r="B2" s="1539" t="s">
        <v>2037</v>
      </c>
      <c r="C2" s="704" t="s">
        <v>1910</v>
      </c>
      <c r="D2" s="704" t="s">
        <v>1911</v>
      </c>
      <c r="E2" s="704" t="s">
        <v>1912</v>
      </c>
      <c r="F2" s="704" t="s">
        <v>1913</v>
      </c>
    </row>
    <row r="3" spans="1:6" ht="12" customHeight="1" x14ac:dyDescent="0.2">
      <c r="A3" s="2191"/>
      <c r="B3" s="1536"/>
      <c r="C3" s="1537"/>
      <c r="D3" s="1538" t="s">
        <v>274</v>
      </c>
      <c r="E3" s="1537"/>
      <c r="F3" s="1538" t="s">
        <v>275</v>
      </c>
    </row>
    <row r="4" spans="1:6" ht="13.7" customHeight="1" x14ac:dyDescent="0.2">
      <c r="A4" s="705" t="s">
        <v>1217</v>
      </c>
      <c r="B4" s="1760">
        <f>'Revenues 9-14'!C5</f>
        <v>7895298</v>
      </c>
      <c r="C4" s="1535">
        <v>4174663</v>
      </c>
      <c r="D4" s="1763">
        <f>B4-C4</f>
        <v>3720635</v>
      </c>
      <c r="E4" s="1535">
        <v>7839975</v>
      </c>
      <c r="F4" s="1763">
        <f>E4-C4</f>
        <v>3665312</v>
      </c>
    </row>
    <row r="5" spans="1:6" ht="13.7" customHeight="1" x14ac:dyDescent="0.2">
      <c r="A5" s="705" t="s">
        <v>925</v>
      </c>
      <c r="B5" s="1761">
        <f>'Revenues 9-14'!D5</f>
        <v>664371</v>
      </c>
      <c r="C5" s="578">
        <v>348235</v>
      </c>
      <c r="D5" s="1764">
        <f t="shared" ref="D5:D18" si="0">B5-C5</f>
        <v>316136</v>
      </c>
      <c r="E5" s="578">
        <v>653754</v>
      </c>
      <c r="F5" s="1764">
        <f>E5-C5</f>
        <v>305519</v>
      </c>
    </row>
    <row r="6" spans="1:6" ht="13.7" customHeight="1" x14ac:dyDescent="0.2">
      <c r="A6" s="705" t="s">
        <v>431</v>
      </c>
      <c r="B6" s="1761">
        <f>'Revenues 9-14'!E5</f>
        <v>1235713</v>
      </c>
      <c r="C6" s="578">
        <v>644770</v>
      </c>
      <c r="D6" s="1764">
        <f t="shared" si="0"/>
        <v>590943</v>
      </c>
      <c r="E6" s="578">
        <v>1210988</v>
      </c>
      <c r="F6" s="1764">
        <f t="shared" ref="F6:F18" si="1">E6-C6</f>
        <v>566218</v>
      </c>
    </row>
    <row r="7" spans="1:6" ht="13.7" customHeight="1" x14ac:dyDescent="0.2">
      <c r="A7" s="705" t="s">
        <v>157</v>
      </c>
      <c r="B7" s="1761">
        <f>'Revenues 9-14'!F5</f>
        <v>377674</v>
      </c>
      <c r="C7" s="578">
        <v>186597</v>
      </c>
      <c r="D7" s="1764">
        <f t="shared" si="0"/>
        <v>191077</v>
      </c>
      <c r="E7" s="578">
        <v>349912</v>
      </c>
      <c r="F7" s="1764">
        <f t="shared" si="1"/>
        <v>163315</v>
      </c>
    </row>
    <row r="8" spans="1:6" ht="13.7" customHeight="1" x14ac:dyDescent="0.2">
      <c r="A8" s="705" t="s">
        <v>1241</v>
      </c>
      <c r="B8" s="1761">
        <f>'Revenues 9-14'!G5</f>
        <v>214006</v>
      </c>
      <c r="C8" s="578">
        <v>109343</v>
      </c>
      <c r="D8" s="1764">
        <f t="shared" si="0"/>
        <v>104663</v>
      </c>
      <c r="E8" s="578">
        <v>205018</v>
      </c>
      <c r="F8" s="1764">
        <f t="shared" si="1"/>
        <v>95675</v>
      </c>
    </row>
    <row r="9" spans="1:6" ht="13.7" customHeight="1" x14ac:dyDescent="0.2">
      <c r="A9" s="705" t="s">
        <v>428</v>
      </c>
      <c r="B9" s="1761">
        <f>'Revenues 9-14'!H5</f>
        <v>0</v>
      </c>
      <c r="C9" s="578"/>
      <c r="D9" s="1764">
        <f t="shared" si="0"/>
        <v>0</v>
      </c>
      <c r="E9" s="578"/>
      <c r="F9" s="1764">
        <f t="shared" si="1"/>
        <v>0</v>
      </c>
    </row>
    <row r="10" spans="1:6" ht="13.7" customHeight="1" x14ac:dyDescent="0.2">
      <c r="A10" s="705" t="s">
        <v>427</v>
      </c>
      <c r="B10" s="1761">
        <f>'Revenues 9-14'!I5</f>
        <v>0</v>
      </c>
      <c r="C10" s="578"/>
      <c r="D10" s="1764">
        <f t="shared" si="0"/>
        <v>0</v>
      </c>
      <c r="E10" s="578"/>
      <c r="F10" s="1764">
        <f t="shared" si="1"/>
        <v>0</v>
      </c>
    </row>
    <row r="11" spans="1:6" x14ac:dyDescent="0.2">
      <c r="A11" s="705" t="s">
        <v>429</v>
      </c>
      <c r="B11" s="1761">
        <f>'Revenues 9-14'!J5</f>
        <v>80665</v>
      </c>
      <c r="C11" s="578">
        <v>40410</v>
      </c>
      <c r="D11" s="1764">
        <f t="shared" si="0"/>
        <v>40255</v>
      </c>
      <c r="E11" s="578">
        <v>76018</v>
      </c>
      <c r="F11" s="1764">
        <f t="shared" si="1"/>
        <v>35608</v>
      </c>
    </row>
    <row r="12" spans="1:6" ht="13.7" customHeight="1" x14ac:dyDescent="0.2">
      <c r="A12" s="705" t="s">
        <v>159</v>
      </c>
      <c r="B12" s="1761">
        <f>'Revenues 9-14'!K5</f>
        <v>0</v>
      </c>
      <c r="C12" s="578"/>
      <c r="D12" s="1764">
        <f t="shared" si="0"/>
        <v>0</v>
      </c>
      <c r="E12" s="578"/>
      <c r="F12" s="1764">
        <f t="shared" si="1"/>
        <v>0</v>
      </c>
    </row>
    <row r="13" spans="1:6" ht="13.7" customHeight="1" x14ac:dyDescent="0.2">
      <c r="A13" s="705" t="s">
        <v>993</v>
      </c>
      <c r="B13" s="1761">
        <f>SUM('Revenues 9-14'!C6:D6)</f>
        <v>0</v>
      </c>
      <c r="C13" s="578"/>
      <c r="D13" s="1764">
        <f t="shared" si="0"/>
        <v>0</v>
      </c>
      <c r="E13" s="578"/>
      <c r="F13" s="1764">
        <f t="shared" si="1"/>
        <v>0</v>
      </c>
    </row>
    <row r="14" spans="1:6" ht="13.7" customHeight="1" x14ac:dyDescent="0.2">
      <c r="A14" s="705" t="s">
        <v>430</v>
      </c>
      <c r="B14" s="1761">
        <f>SUM('Revenues 9-14'!C7:D7,'Revenues 9-14'!F7:H7)</f>
        <v>628179</v>
      </c>
      <c r="C14" s="578">
        <v>329219</v>
      </c>
      <c r="D14" s="1764">
        <f t="shared" si="0"/>
        <v>298960</v>
      </c>
      <c r="E14" s="578">
        <v>618509</v>
      </c>
      <c r="F14" s="1764">
        <f t="shared" si="1"/>
        <v>289290</v>
      </c>
    </row>
    <row r="15" spans="1:6" ht="13.7" customHeight="1" x14ac:dyDescent="0.2">
      <c r="A15" s="705" t="s">
        <v>1220</v>
      </c>
      <c r="B15" s="1761">
        <f>'Revenues 9-14'!E9</f>
        <v>0</v>
      </c>
      <c r="C15" s="578"/>
      <c r="D15" s="1764">
        <f t="shared" si="0"/>
        <v>0</v>
      </c>
      <c r="E15" s="578"/>
      <c r="F15" s="1764">
        <f t="shared" si="1"/>
        <v>0</v>
      </c>
    </row>
    <row r="16" spans="1:6" ht="13.7" customHeight="1" x14ac:dyDescent="0.2">
      <c r="A16" s="705" t="s">
        <v>1221</v>
      </c>
      <c r="B16" s="1761">
        <f>'Revenues 9-14'!G8</f>
        <v>214006</v>
      </c>
      <c r="C16" s="578">
        <v>109343</v>
      </c>
      <c r="D16" s="1764">
        <f t="shared" si="0"/>
        <v>104663</v>
      </c>
      <c r="E16" s="578">
        <v>205018</v>
      </c>
      <c r="F16" s="1764">
        <f t="shared" si="1"/>
        <v>95675</v>
      </c>
    </row>
    <row r="17" spans="1:6" ht="13.7" customHeight="1" x14ac:dyDescent="0.2">
      <c r="A17" s="705" t="s">
        <v>1222</v>
      </c>
      <c r="B17" s="1761">
        <f>'Revenues 9-14'!C10</f>
        <v>0</v>
      </c>
      <c r="C17" s="578"/>
      <c r="D17" s="1764">
        <f t="shared" si="0"/>
        <v>0</v>
      </c>
      <c r="E17" s="578"/>
      <c r="F17" s="1764">
        <f t="shared" si="1"/>
        <v>0</v>
      </c>
    </row>
    <row r="18" spans="1:6" ht="13.7" customHeight="1" x14ac:dyDescent="0.2">
      <c r="A18" s="705" t="s">
        <v>786</v>
      </c>
      <c r="B18" s="1761">
        <f>SUM('Revenues 9-14'!C11:K11)</f>
        <v>0</v>
      </c>
      <c r="C18" s="578"/>
      <c r="D18" s="1764">
        <f t="shared" si="0"/>
        <v>0</v>
      </c>
      <c r="E18" s="578"/>
      <c r="F18" s="1764">
        <f t="shared" si="1"/>
        <v>0</v>
      </c>
    </row>
    <row r="19" spans="1:6" ht="13.7" customHeight="1" thickBot="1" x14ac:dyDescent="0.25">
      <c r="A19" s="1765" t="s">
        <v>1223</v>
      </c>
      <c r="B19" s="1762">
        <f>SUM(B4:B18)</f>
        <v>11309912</v>
      </c>
      <c r="C19" s="1762">
        <f>SUM(C4:C18)</f>
        <v>5942580</v>
      </c>
      <c r="D19" s="1762">
        <f>SUM(D4:D18)</f>
        <v>5367332</v>
      </c>
      <c r="E19" s="1762">
        <f>SUM(E4:E18)</f>
        <v>11159192</v>
      </c>
      <c r="F19" s="1762">
        <f>SUM(F4:F18)</f>
        <v>5216612</v>
      </c>
    </row>
    <row r="20" spans="1:6" ht="13.5" thickTop="1" x14ac:dyDescent="0.2">
      <c r="B20" s="703"/>
      <c r="F20" s="706"/>
    </row>
    <row r="21" spans="1:6" x14ac:dyDescent="0.2">
      <c r="A21" s="707" t="s">
        <v>1915</v>
      </c>
      <c r="B21" s="708"/>
      <c r="F21" s="706"/>
    </row>
    <row r="22" spans="1:6" x14ac:dyDescent="0.2">
      <c r="A22" s="709" t="s">
        <v>649</v>
      </c>
      <c r="B22" s="71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Normal="100" workbookViewId="0"/>
  </sheetViews>
  <sheetFormatPr defaultColWidth="9.140625" defaultRowHeight="12.75" x14ac:dyDescent="0.2"/>
  <cols>
    <col min="1" max="1" width="44" style="401" customWidth="1"/>
    <col min="2" max="2" width="12.140625" style="712" customWidth="1"/>
    <col min="3" max="5" width="16.7109375" style="71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650</v>
      </c>
      <c r="B1" s="2210"/>
      <c r="C1" s="711"/>
    </row>
    <row r="2" spans="1:7" ht="33.75" x14ac:dyDescent="0.2">
      <c r="A2" s="2217" t="s">
        <v>1905</v>
      </c>
      <c r="B2" s="2218"/>
      <c r="C2" s="1897" t="s">
        <v>2038</v>
      </c>
      <c r="D2" s="713" t="s">
        <v>2045</v>
      </c>
      <c r="E2" s="713" t="s">
        <v>2046</v>
      </c>
      <c r="F2" s="1897" t="s">
        <v>2039</v>
      </c>
    </row>
    <row r="3" spans="1:7" ht="15.75" customHeight="1" x14ac:dyDescent="0.2">
      <c r="A3" s="2219" t="s">
        <v>1176</v>
      </c>
      <c r="B3" s="2220"/>
      <c r="C3" s="2213"/>
      <c r="D3" s="2214"/>
      <c r="E3" s="2214"/>
      <c r="F3" s="2215"/>
    </row>
    <row r="4" spans="1:7" ht="12.75" customHeight="1" thickBot="1" x14ac:dyDescent="0.25">
      <c r="A4" s="2207" t="s">
        <v>651</v>
      </c>
      <c r="B4" s="2208"/>
      <c r="C4" s="575"/>
      <c r="D4" s="575"/>
      <c r="E4" s="575"/>
      <c r="F4" s="1766">
        <f>SUM(C4+D4)-E4</f>
        <v>0</v>
      </c>
    </row>
    <row r="5" spans="1:7" ht="15.75" customHeight="1" thickTop="1" x14ac:dyDescent="0.2">
      <c r="A5" s="2211" t="s">
        <v>1172</v>
      </c>
      <c r="B5" s="2206"/>
      <c r="C5" s="2200"/>
      <c r="D5" s="2201"/>
      <c r="E5" s="2201"/>
      <c r="F5" s="2202"/>
    </row>
    <row r="6" spans="1:7" ht="12.75" customHeight="1" thickBot="1" x14ac:dyDescent="0.25">
      <c r="A6" s="714" t="s">
        <v>66</v>
      </c>
      <c r="B6" s="715"/>
      <c r="C6" s="716"/>
      <c r="D6" s="578"/>
      <c r="E6" s="716"/>
      <c r="F6" s="1766">
        <f t="shared" ref="F6:F14" si="0">SUM(C6+D6)-E6</f>
        <v>0</v>
      </c>
    </row>
    <row r="7" spans="1:7" ht="12.75" customHeight="1" thickTop="1" thickBot="1" x14ac:dyDescent="0.25">
      <c r="A7" s="714" t="s">
        <v>6</v>
      </c>
      <c r="B7" s="715"/>
      <c r="C7" s="716"/>
      <c r="D7" s="578"/>
      <c r="E7" s="716"/>
      <c r="F7" s="1766">
        <f t="shared" si="0"/>
        <v>0</v>
      </c>
    </row>
    <row r="8" spans="1:7" ht="12.75" customHeight="1" thickTop="1" thickBot="1" x14ac:dyDescent="0.25">
      <c r="A8" s="714" t="s">
        <v>529</v>
      </c>
      <c r="B8" s="715"/>
      <c r="C8" s="716"/>
      <c r="D8" s="578"/>
      <c r="E8" s="716"/>
      <c r="F8" s="1766">
        <f t="shared" si="0"/>
        <v>0</v>
      </c>
    </row>
    <row r="9" spans="1:7" ht="12.75" customHeight="1" thickTop="1" thickBot="1" x14ac:dyDescent="0.25">
      <c r="A9" s="714" t="s">
        <v>530</v>
      </c>
      <c r="B9" s="715"/>
      <c r="C9" s="716"/>
      <c r="D9" s="578"/>
      <c r="E9" s="716"/>
      <c r="F9" s="1766">
        <f t="shared" si="0"/>
        <v>0</v>
      </c>
    </row>
    <row r="10" spans="1:7" ht="12.75" customHeight="1" thickTop="1" thickBot="1" x14ac:dyDescent="0.25">
      <c r="A10" s="714" t="s">
        <v>531</v>
      </c>
      <c r="B10" s="715"/>
      <c r="C10" s="716"/>
      <c r="D10" s="578"/>
      <c r="E10" s="716"/>
      <c r="F10" s="1766">
        <f t="shared" si="0"/>
        <v>0</v>
      </c>
    </row>
    <row r="11" spans="1:7" ht="12.75" customHeight="1" thickTop="1" thickBot="1" x14ac:dyDescent="0.25">
      <c r="A11" s="714" t="s">
        <v>359</v>
      </c>
      <c r="B11" s="715"/>
      <c r="C11" s="716"/>
      <c r="D11" s="578"/>
      <c r="E11" s="716"/>
      <c r="F11" s="1766">
        <f t="shared" si="0"/>
        <v>0</v>
      </c>
    </row>
    <row r="12" spans="1:7" ht="12.75" customHeight="1" thickTop="1" thickBot="1" x14ac:dyDescent="0.25">
      <c r="A12" s="714" t="s">
        <v>1219</v>
      </c>
      <c r="B12" s="715"/>
      <c r="C12" s="716"/>
      <c r="D12" s="578"/>
      <c r="E12" s="716"/>
      <c r="F12" s="1766">
        <f t="shared" si="0"/>
        <v>0</v>
      </c>
    </row>
    <row r="13" spans="1:7" ht="12.75" customHeight="1" thickTop="1" thickBot="1" x14ac:dyDescent="0.25">
      <c r="A13" s="714" t="s">
        <v>406</v>
      </c>
      <c r="B13" s="715"/>
      <c r="C13" s="716"/>
      <c r="D13" s="578"/>
      <c r="E13" s="716"/>
      <c r="F13" s="1766">
        <f t="shared" si="0"/>
        <v>0</v>
      </c>
    </row>
    <row r="14" spans="1:7" ht="12.75" customHeight="1" thickTop="1" thickBot="1" x14ac:dyDescent="0.25">
      <c r="A14" s="714" t="s">
        <v>468</v>
      </c>
      <c r="B14" s="715"/>
      <c r="C14" s="716"/>
      <c r="D14" s="578"/>
      <c r="E14" s="716"/>
      <c r="F14" s="1766">
        <f t="shared" si="0"/>
        <v>0</v>
      </c>
    </row>
    <row r="15" spans="1:7" ht="14.25" thickTop="1" thickBot="1" x14ac:dyDescent="0.25">
      <c r="A15" s="2203" t="s">
        <v>652</v>
      </c>
      <c r="B15" s="2204"/>
      <c r="C15" s="1766">
        <f>SUM(C6:C14)</f>
        <v>0</v>
      </c>
      <c r="D15" s="1766">
        <f>SUM(D6:D14)</f>
        <v>0</v>
      </c>
      <c r="E15" s="1766">
        <f>SUM(E6:E14)</f>
        <v>0</v>
      </c>
      <c r="F15" s="1766">
        <f>SUM(F6:F14)</f>
        <v>0</v>
      </c>
      <c r="G15" s="547"/>
    </row>
    <row r="16" spans="1:7" s="202" customFormat="1" ht="15.75" customHeight="1" thickTop="1" x14ac:dyDescent="0.2">
      <c r="A16" s="2216" t="s">
        <v>1173</v>
      </c>
      <c r="B16" s="2206"/>
      <c r="C16" s="2200"/>
      <c r="D16" s="2201"/>
      <c r="E16" s="2201"/>
      <c r="F16" s="2202"/>
    </row>
    <row r="17" spans="1:11" ht="12.75" customHeight="1" thickBot="1" x14ac:dyDescent="0.25">
      <c r="A17" s="2198" t="s">
        <v>66</v>
      </c>
      <c r="B17" s="2199"/>
      <c r="C17" s="716"/>
      <c r="D17" s="578"/>
      <c r="E17" s="716"/>
      <c r="F17" s="1766">
        <f>SUM(C17+D17)-E17</f>
        <v>0</v>
      </c>
    </row>
    <row r="18" spans="1:11" ht="12.75" customHeight="1" thickTop="1" thickBot="1" x14ac:dyDescent="0.25">
      <c r="A18" s="2198" t="s">
        <v>6</v>
      </c>
      <c r="B18" s="2199"/>
      <c r="C18" s="716"/>
      <c r="D18" s="578"/>
      <c r="E18" s="716"/>
      <c r="F18" s="1766">
        <f>SUM(C18+D18)-E18</f>
        <v>0</v>
      </c>
    </row>
    <row r="19" spans="1:11" ht="12.75" customHeight="1" thickTop="1" thickBot="1" x14ac:dyDescent="0.25">
      <c r="A19" s="2198" t="s">
        <v>406</v>
      </c>
      <c r="B19" s="2199"/>
      <c r="C19" s="716"/>
      <c r="D19" s="578"/>
      <c r="E19" s="716"/>
      <c r="F19" s="1766">
        <f>SUM(C19+D19)-E19</f>
        <v>0</v>
      </c>
    </row>
    <row r="20" spans="1:11" ht="12.75" customHeight="1" thickTop="1" thickBot="1" x14ac:dyDescent="0.25">
      <c r="A20" s="2198" t="s">
        <v>468</v>
      </c>
      <c r="B20" s="2199"/>
      <c r="C20" s="716"/>
      <c r="D20" s="578"/>
      <c r="E20" s="716"/>
      <c r="F20" s="1766">
        <f>SUM(C20+D20)-E20</f>
        <v>0</v>
      </c>
    </row>
    <row r="21" spans="1:11" ht="14.25" thickTop="1" thickBot="1" x14ac:dyDescent="0.25">
      <c r="A21" s="2203" t="s">
        <v>653</v>
      </c>
      <c r="B21" s="2204"/>
      <c r="C21" s="1766">
        <f>SUM(C17:C20)</f>
        <v>0</v>
      </c>
      <c r="D21" s="1766">
        <f>SUM(D17:D20)</f>
        <v>0</v>
      </c>
      <c r="E21" s="1766">
        <f>SUM(E17:E20)</f>
        <v>0</v>
      </c>
      <c r="F21" s="1766">
        <f>SUM(F17:F20)</f>
        <v>0</v>
      </c>
      <c r="G21" s="547"/>
    </row>
    <row r="22" spans="1:11" ht="15.75" customHeight="1" thickTop="1" x14ac:dyDescent="0.2">
      <c r="A22" s="2205" t="s">
        <v>1174</v>
      </c>
      <c r="B22" s="2206"/>
      <c r="C22" s="2200"/>
      <c r="D22" s="2201"/>
      <c r="E22" s="2201"/>
      <c r="F22" s="2202"/>
    </row>
    <row r="23" spans="1:11" ht="13.5" thickBot="1" x14ac:dyDescent="0.25">
      <c r="A23" s="2207" t="s">
        <v>654</v>
      </c>
      <c r="B23" s="2208"/>
      <c r="C23" s="575"/>
      <c r="D23" s="575"/>
      <c r="E23" s="575"/>
      <c r="F23" s="1766">
        <f>SUM(C23+D23)-E23</f>
        <v>0</v>
      </c>
      <c r="G23" s="547"/>
    </row>
    <row r="24" spans="1:11" ht="15.75" customHeight="1" thickTop="1" x14ac:dyDescent="0.2">
      <c r="A24" s="2205" t="s">
        <v>1175</v>
      </c>
      <c r="B24" s="2206"/>
      <c r="C24" s="2200"/>
      <c r="D24" s="2201"/>
      <c r="E24" s="2201"/>
      <c r="F24" s="2202"/>
    </row>
    <row r="25" spans="1:11" ht="13.5" thickBot="1" x14ac:dyDescent="0.25">
      <c r="A25" s="2207" t="s">
        <v>655</v>
      </c>
      <c r="B25" s="2208"/>
      <c r="C25" s="575"/>
      <c r="D25" s="575"/>
      <c r="E25" s="575"/>
      <c r="F25" s="1766">
        <f>SUM(C25+D25)-E25</f>
        <v>0</v>
      </c>
      <c r="G25" s="547"/>
    </row>
    <row r="26" spans="1:11" ht="15.75" customHeight="1" thickTop="1" x14ac:dyDescent="0.2">
      <c r="A26" s="2211" t="s">
        <v>678</v>
      </c>
      <c r="B26" s="2206"/>
      <c r="C26" s="717"/>
      <c r="D26" s="717"/>
      <c r="E26" s="717"/>
      <c r="F26" s="718"/>
    </row>
    <row r="27" spans="1:11" ht="13.5" thickBot="1" x14ac:dyDescent="0.25">
      <c r="A27" s="2203" t="s">
        <v>1130</v>
      </c>
      <c r="B27" s="2204"/>
      <c r="C27" s="578"/>
      <c r="D27" s="578"/>
      <c r="E27" s="578"/>
      <c r="F27" s="1766">
        <f>SUM(C27+D27)-E27</f>
        <v>0</v>
      </c>
      <c r="G27" s="547"/>
    </row>
    <row r="28" spans="1:11" ht="7.5" customHeight="1" thickTop="1" x14ac:dyDescent="0.2">
      <c r="A28" s="585"/>
    </row>
    <row r="29" spans="1:11" ht="23.25" customHeight="1" x14ac:dyDescent="0.2">
      <c r="A29" s="2209" t="s">
        <v>603</v>
      </c>
      <c r="B29" s="2210"/>
      <c r="C29" s="719"/>
      <c r="D29" s="719"/>
      <c r="E29" s="719"/>
      <c r="F29" s="719"/>
      <c r="G29" s="719"/>
      <c r="H29" s="719"/>
      <c r="I29" s="719"/>
      <c r="J29" s="719"/>
    </row>
    <row r="30" spans="1:11" ht="33.75" x14ac:dyDescent="0.2">
      <c r="A30" s="1540" t="s">
        <v>1131</v>
      </c>
      <c r="B30" s="720" t="s">
        <v>1186</v>
      </c>
      <c r="C30" s="1898" t="s">
        <v>604</v>
      </c>
      <c r="D30" s="1898" t="s">
        <v>1772</v>
      </c>
      <c r="E30" s="1898" t="s">
        <v>2040</v>
      </c>
      <c r="F30" s="1898" t="s">
        <v>2041</v>
      </c>
      <c r="G30" s="1898" t="s">
        <v>2044</v>
      </c>
      <c r="H30" s="1898" t="s">
        <v>2042</v>
      </c>
      <c r="I30" s="1898" t="s">
        <v>2043</v>
      </c>
      <c r="J30" s="1899" t="s">
        <v>2</v>
      </c>
      <c r="K30" s="721"/>
    </row>
    <row r="31" spans="1:11" ht="12" customHeight="1" x14ac:dyDescent="0.2">
      <c r="A31" s="722" t="s">
        <v>2093</v>
      </c>
      <c r="B31" s="723">
        <v>40981</v>
      </c>
      <c r="C31" s="724">
        <v>1795000</v>
      </c>
      <c r="D31" s="725">
        <v>3</v>
      </c>
      <c r="E31" s="724">
        <v>1045000</v>
      </c>
      <c r="F31" s="724"/>
      <c r="G31" s="724"/>
      <c r="H31" s="724">
        <v>515000</v>
      </c>
      <c r="I31" s="1767">
        <f>((E31+F31)-H31)+G31</f>
        <v>530000</v>
      </c>
      <c r="J31" s="724">
        <v>37189</v>
      </c>
      <c r="K31" s="726"/>
    </row>
    <row r="32" spans="1:11" ht="12" customHeight="1" x14ac:dyDescent="0.2">
      <c r="A32" s="722" t="s">
        <v>2094</v>
      </c>
      <c r="B32" s="723">
        <v>40981</v>
      </c>
      <c r="C32" s="724">
        <v>1735000</v>
      </c>
      <c r="D32" s="725">
        <v>3</v>
      </c>
      <c r="E32" s="724">
        <v>1170000</v>
      </c>
      <c r="F32" s="724"/>
      <c r="G32" s="724"/>
      <c r="H32" s="724">
        <v>575000</v>
      </c>
      <c r="I32" s="1767">
        <f>((E32+F32)-H32)+G32</f>
        <v>595000</v>
      </c>
      <c r="J32" s="724">
        <v>310793</v>
      </c>
      <c r="K32" s="726"/>
    </row>
    <row r="33" spans="1:11" ht="12" customHeight="1" x14ac:dyDescent="0.2">
      <c r="A33" s="722" t="s">
        <v>2095</v>
      </c>
      <c r="B33" s="723">
        <v>42809</v>
      </c>
      <c r="C33" s="724">
        <v>2030000</v>
      </c>
      <c r="D33" s="725">
        <v>1</v>
      </c>
      <c r="E33" s="724">
        <v>2030000</v>
      </c>
      <c r="F33" s="724"/>
      <c r="G33" s="724"/>
      <c r="H33" s="724"/>
      <c r="I33" s="1767">
        <f t="shared" ref="I33:I48" si="1">((E33+F33)-H33)+G33</f>
        <v>2030000</v>
      </c>
      <c r="J33" s="724">
        <v>2007161</v>
      </c>
      <c r="K33" s="726"/>
    </row>
    <row r="34" spans="1:11" ht="12" customHeight="1" x14ac:dyDescent="0.2">
      <c r="A34" s="722" t="s">
        <v>2092</v>
      </c>
      <c r="B34" s="723">
        <v>43040</v>
      </c>
      <c r="C34" s="724">
        <v>170000</v>
      </c>
      <c r="D34" s="725">
        <v>7</v>
      </c>
      <c r="E34" s="724">
        <v>68607</v>
      </c>
      <c r="F34" s="724"/>
      <c r="G34" s="724">
        <v>114756</v>
      </c>
      <c r="H34" s="724">
        <v>34616</v>
      </c>
      <c r="I34" s="1767">
        <f t="shared" si="1"/>
        <v>148747</v>
      </c>
      <c r="J34" s="724">
        <v>148747</v>
      </c>
      <c r="K34" s="727"/>
    </row>
    <row r="35" spans="1:11" ht="12" customHeight="1" x14ac:dyDescent="0.2">
      <c r="A35" s="722" t="s">
        <v>2096</v>
      </c>
      <c r="B35" s="723">
        <v>43167</v>
      </c>
      <c r="C35" s="728">
        <v>4940000</v>
      </c>
      <c r="D35" s="725">
        <v>1</v>
      </c>
      <c r="E35" s="728"/>
      <c r="F35" s="728">
        <v>4940000</v>
      </c>
      <c r="G35" s="728"/>
      <c r="H35" s="728"/>
      <c r="I35" s="1767">
        <f t="shared" si="1"/>
        <v>4940000</v>
      </c>
      <c r="J35" s="728">
        <v>4930168</v>
      </c>
      <c r="K35" s="727"/>
    </row>
    <row r="36" spans="1:11" ht="12" customHeight="1" x14ac:dyDescent="0.2">
      <c r="A36" s="722"/>
      <c r="B36" s="723"/>
      <c r="C36" s="724"/>
      <c r="D36" s="725"/>
      <c r="E36" s="724"/>
      <c r="F36" s="724"/>
      <c r="G36" s="724"/>
      <c r="H36" s="724"/>
      <c r="I36" s="1767">
        <f t="shared" si="1"/>
        <v>0</v>
      </c>
      <c r="J36" s="724"/>
      <c r="K36" s="729"/>
    </row>
    <row r="37" spans="1:11" ht="12" customHeight="1" x14ac:dyDescent="0.2">
      <c r="A37" s="722"/>
      <c r="B37" s="723"/>
      <c r="C37" s="467"/>
      <c r="D37" s="730"/>
      <c r="E37" s="467"/>
      <c r="F37" s="467"/>
      <c r="G37" s="467"/>
      <c r="H37" s="467"/>
      <c r="I37" s="1767">
        <f t="shared" si="1"/>
        <v>0</v>
      </c>
      <c r="J37" s="467"/>
      <c r="K37" s="727"/>
    </row>
    <row r="38" spans="1:11" ht="12" customHeight="1" x14ac:dyDescent="0.2">
      <c r="A38" s="722"/>
      <c r="B38" s="723"/>
      <c r="C38" s="724"/>
      <c r="D38" s="731"/>
      <c r="E38" s="732"/>
      <c r="F38" s="732"/>
      <c r="G38" s="732"/>
      <c r="H38" s="732"/>
      <c r="I38" s="1767">
        <f t="shared" si="1"/>
        <v>0</v>
      </c>
      <c r="J38" s="733" t="s">
        <v>282</v>
      </c>
      <c r="K38" s="734"/>
    </row>
    <row r="39" spans="1:11" ht="12" customHeight="1" x14ac:dyDescent="0.2">
      <c r="A39" s="722"/>
      <c r="B39" s="723"/>
      <c r="C39" s="724"/>
      <c r="D39" s="731"/>
      <c r="E39" s="732"/>
      <c r="F39" s="732"/>
      <c r="G39" s="732"/>
      <c r="H39" s="732"/>
      <c r="I39" s="1767">
        <f t="shared" si="1"/>
        <v>0</v>
      </c>
      <c r="J39" s="733"/>
      <c r="K39" s="734"/>
    </row>
    <row r="40" spans="1:11" ht="12" customHeight="1" x14ac:dyDescent="0.2">
      <c r="A40" s="722"/>
      <c r="B40" s="723"/>
      <c r="C40" s="724"/>
      <c r="D40" s="731"/>
      <c r="E40" s="732"/>
      <c r="F40" s="732"/>
      <c r="G40" s="732"/>
      <c r="H40" s="732"/>
      <c r="I40" s="1767">
        <f t="shared" si="1"/>
        <v>0</v>
      </c>
      <c r="J40" s="733"/>
      <c r="K40" s="734"/>
    </row>
    <row r="41" spans="1:11" ht="12" customHeight="1" x14ac:dyDescent="0.2">
      <c r="A41" s="722"/>
      <c r="B41" s="723"/>
      <c r="C41" s="724"/>
      <c r="D41" s="731"/>
      <c r="E41" s="732"/>
      <c r="F41" s="732"/>
      <c r="G41" s="732"/>
      <c r="H41" s="732"/>
      <c r="I41" s="1767">
        <f t="shared" si="1"/>
        <v>0</v>
      </c>
      <c r="J41" s="733"/>
      <c r="K41" s="734"/>
    </row>
    <row r="42" spans="1:11" ht="12" customHeight="1" x14ac:dyDescent="0.2">
      <c r="A42" s="722"/>
      <c r="B42" s="723"/>
      <c r="C42" s="724"/>
      <c r="D42" s="731"/>
      <c r="E42" s="732"/>
      <c r="F42" s="732"/>
      <c r="G42" s="732"/>
      <c r="H42" s="732"/>
      <c r="I42" s="1767">
        <f t="shared" si="1"/>
        <v>0</v>
      </c>
      <c r="J42" s="733"/>
      <c r="K42" s="734"/>
    </row>
    <row r="43" spans="1:11" ht="12" customHeight="1" x14ac:dyDescent="0.2">
      <c r="A43" s="722"/>
      <c r="B43" s="723"/>
      <c r="C43" s="724"/>
      <c r="D43" s="731"/>
      <c r="E43" s="732"/>
      <c r="F43" s="732"/>
      <c r="G43" s="732"/>
      <c r="H43" s="732"/>
      <c r="I43" s="1767">
        <f t="shared" si="1"/>
        <v>0</v>
      </c>
      <c r="J43" s="733"/>
      <c r="K43" s="734"/>
    </row>
    <row r="44" spans="1:11" ht="12" customHeight="1" x14ac:dyDescent="0.2">
      <c r="A44" s="722"/>
      <c r="B44" s="723"/>
      <c r="C44" s="724"/>
      <c r="D44" s="725"/>
      <c r="E44" s="724"/>
      <c r="F44" s="724"/>
      <c r="G44" s="724"/>
      <c r="H44" s="724"/>
      <c r="I44" s="1767">
        <f t="shared" si="1"/>
        <v>0</v>
      </c>
      <c r="J44" s="724"/>
      <c r="K44" s="727"/>
    </row>
    <row r="45" spans="1:11" ht="12" customHeight="1" x14ac:dyDescent="0.2">
      <c r="A45" s="722"/>
      <c r="B45" s="723"/>
      <c r="C45" s="724"/>
      <c r="D45" s="725"/>
      <c r="E45" s="724"/>
      <c r="F45" s="724"/>
      <c r="G45" s="724"/>
      <c r="H45" s="724"/>
      <c r="I45" s="1767">
        <f t="shared" si="1"/>
        <v>0</v>
      </c>
      <c r="J45" s="724"/>
      <c r="K45" s="727"/>
    </row>
    <row r="46" spans="1:11" ht="12" customHeight="1" x14ac:dyDescent="0.2">
      <c r="A46" s="722"/>
      <c r="B46" s="723"/>
      <c r="C46" s="724"/>
      <c r="D46" s="725"/>
      <c r="E46" s="724"/>
      <c r="F46" s="724"/>
      <c r="G46" s="724"/>
      <c r="H46" s="724"/>
      <c r="I46" s="1767">
        <f t="shared" si="1"/>
        <v>0</v>
      </c>
      <c r="J46" s="724"/>
      <c r="K46" s="727"/>
    </row>
    <row r="47" spans="1:11" ht="12" customHeight="1" x14ac:dyDescent="0.2">
      <c r="A47" s="722"/>
      <c r="B47" s="723"/>
      <c r="C47" s="728"/>
      <c r="D47" s="725"/>
      <c r="E47" s="728"/>
      <c r="F47" s="728"/>
      <c r="G47" s="728"/>
      <c r="H47" s="728"/>
      <c r="I47" s="1767">
        <f t="shared" si="1"/>
        <v>0</v>
      </c>
      <c r="J47" s="728"/>
      <c r="K47" s="727"/>
    </row>
    <row r="48" spans="1:11" ht="12" customHeight="1" x14ac:dyDescent="0.2">
      <c r="A48" s="722"/>
      <c r="B48" s="723"/>
      <c r="C48" s="724"/>
      <c r="D48" s="725"/>
      <c r="E48" s="724"/>
      <c r="F48" s="724"/>
      <c r="G48" s="724"/>
      <c r="H48" s="724"/>
      <c r="I48" s="1767">
        <f t="shared" si="1"/>
        <v>0</v>
      </c>
      <c r="J48" s="724"/>
      <c r="K48" s="727"/>
    </row>
    <row r="49" spans="1:11" ht="12" customHeight="1" x14ac:dyDescent="0.2">
      <c r="A49" s="722"/>
      <c r="B49" s="723"/>
      <c r="C49" s="1767">
        <f>SUM(C31:C48)</f>
        <v>10670000</v>
      </c>
      <c r="D49" s="735"/>
      <c r="E49" s="1767">
        <f t="shared" ref="E49:J49" si="2">SUM(E31:E48)</f>
        <v>4313607</v>
      </c>
      <c r="F49" s="1767">
        <f t="shared" si="2"/>
        <v>4940000</v>
      </c>
      <c r="G49" s="1767">
        <f t="shared" si="2"/>
        <v>114756</v>
      </c>
      <c r="H49" s="1767">
        <f t="shared" si="2"/>
        <v>1124616</v>
      </c>
      <c r="I49" s="1767">
        <f t="shared" si="2"/>
        <v>8243747</v>
      </c>
      <c r="J49" s="1767">
        <f t="shared" si="2"/>
        <v>7434058</v>
      </c>
      <c r="K49" s="727"/>
    </row>
    <row r="50" spans="1:11" ht="6" customHeight="1" x14ac:dyDescent="0.2">
      <c r="A50" s="736"/>
      <c r="B50" s="726"/>
      <c r="C50" s="726"/>
      <c r="D50" s="726"/>
      <c r="E50" s="726"/>
      <c r="F50" s="726"/>
      <c r="G50" s="726"/>
      <c r="H50" s="726"/>
      <c r="I50" s="726"/>
      <c r="J50" s="736"/>
    </row>
    <row r="51" spans="1:11" x14ac:dyDescent="0.2">
      <c r="A51" s="737" t="s">
        <v>1914</v>
      </c>
      <c r="B51" s="736"/>
      <c r="C51" s="727"/>
      <c r="D51" s="727"/>
      <c r="E51" s="727"/>
      <c r="F51" s="727"/>
      <c r="G51" s="727"/>
      <c r="H51" s="726"/>
      <c r="I51" s="726"/>
      <c r="J51" s="736"/>
    </row>
    <row r="52" spans="1:11" ht="11.25" customHeight="1" x14ac:dyDescent="0.2">
      <c r="A52" s="738" t="s">
        <v>968</v>
      </c>
      <c r="B52" s="2192" t="s">
        <v>605</v>
      </c>
      <c r="C52" s="2193"/>
      <c r="D52" s="2193"/>
      <c r="E52" s="739" t="s">
        <v>900</v>
      </c>
      <c r="F52" s="2194" t="s">
        <v>2092</v>
      </c>
      <c r="G52" s="2195"/>
      <c r="H52" s="726"/>
      <c r="I52" s="726"/>
      <c r="J52" s="736"/>
    </row>
    <row r="53" spans="1:11" ht="11.25" customHeight="1" x14ac:dyDescent="0.2">
      <c r="A53" s="740" t="s">
        <v>969</v>
      </c>
      <c r="B53" s="741" t="s">
        <v>1008</v>
      </c>
      <c r="C53" s="736"/>
      <c r="D53" s="727"/>
      <c r="E53" s="739" t="s">
        <v>518</v>
      </c>
      <c r="F53" s="2196"/>
      <c r="G53" s="2197"/>
      <c r="H53" s="726"/>
      <c r="I53" s="726"/>
      <c r="J53" s="736"/>
    </row>
    <row r="54" spans="1:11" ht="11.25" customHeight="1" x14ac:dyDescent="0.2">
      <c r="A54" s="742" t="s">
        <v>970</v>
      </c>
      <c r="B54" s="737" t="s">
        <v>1009</v>
      </c>
      <c r="C54" s="736"/>
      <c r="D54" s="727"/>
      <c r="E54" s="739" t="s">
        <v>519</v>
      </c>
      <c r="F54" s="2196"/>
      <c r="G54" s="2197"/>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3" colorId="8" zoomScaleNormal="10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1" t="s">
        <v>911</v>
      </c>
      <c r="B1" s="2222"/>
      <c r="C1" s="2222"/>
      <c r="D1" s="2222"/>
      <c r="E1" s="2222"/>
      <c r="F1" s="2222"/>
      <c r="G1" s="2223"/>
      <c r="H1" s="1541"/>
      <c r="I1" s="750"/>
      <c r="J1" s="433"/>
    </row>
    <row r="2" spans="1:11" ht="26.25" x14ac:dyDescent="0.2">
      <c r="A2" s="2240" t="s">
        <v>1776</v>
      </c>
      <c r="B2" s="2241"/>
      <c r="C2" s="2241"/>
      <c r="D2" s="2241"/>
      <c r="E2" s="2242"/>
      <c r="F2" s="751" t="s">
        <v>960</v>
      </c>
      <c r="G2" s="752" t="s">
        <v>1773</v>
      </c>
      <c r="H2" s="752" t="s">
        <v>430</v>
      </c>
      <c r="I2" s="752" t="s">
        <v>1220</v>
      </c>
      <c r="J2" s="752" t="s">
        <v>1919</v>
      </c>
      <c r="K2" s="752" t="s">
        <v>140</v>
      </c>
    </row>
    <row r="3" spans="1:11" x14ac:dyDescent="0.2">
      <c r="A3" s="2243" t="s">
        <v>1698</v>
      </c>
      <c r="B3" s="2244"/>
      <c r="C3" s="2244"/>
      <c r="D3" s="2244"/>
      <c r="E3" s="2245"/>
      <c r="F3" s="753"/>
      <c r="G3" s="754"/>
      <c r="H3" s="754"/>
      <c r="I3" s="754"/>
      <c r="J3" s="755"/>
      <c r="K3" s="755"/>
    </row>
    <row r="4" spans="1:11" x14ac:dyDescent="0.2">
      <c r="A4" s="2246" t="s">
        <v>387</v>
      </c>
      <c r="B4" s="2247"/>
      <c r="C4" s="2247"/>
      <c r="D4" s="2247"/>
      <c r="E4" s="2193"/>
      <c r="F4" s="756"/>
      <c r="G4" s="757"/>
      <c r="H4" s="758"/>
      <c r="I4" s="757"/>
      <c r="J4" s="759"/>
      <c r="K4" s="759"/>
    </row>
    <row r="5" spans="1:11" x14ac:dyDescent="0.2">
      <c r="A5" s="2224" t="s">
        <v>1129</v>
      </c>
      <c r="B5" s="2225"/>
      <c r="C5" s="2225"/>
      <c r="D5" s="2225"/>
      <c r="E5" s="2226"/>
      <c r="F5" s="760" t="s">
        <v>903</v>
      </c>
      <c r="G5" s="761"/>
      <c r="H5" s="754">
        <v>628179</v>
      </c>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row>
    <row r="10" spans="1:11" x14ac:dyDescent="0.2">
      <c r="A10" s="2224" t="s">
        <v>1920</v>
      </c>
      <c r="B10" s="2225"/>
      <c r="C10" s="2225"/>
      <c r="D10" s="2225"/>
      <c r="E10" s="2227"/>
      <c r="F10" s="773" t="s">
        <v>917</v>
      </c>
      <c r="G10" s="772"/>
      <c r="H10" s="774"/>
      <c r="I10" s="754"/>
      <c r="J10" s="755"/>
      <c r="K10" s="755"/>
    </row>
    <row r="11" spans="1:11" x14ac:dyDescent="0.2">
      <c r="A11" s="2224" t="s">
        <v>162</v>
      </c>
      <c r="B11" s="2225"/>
      <c r="C11" s="2225"/>
      <c r="D11" s="2225"/>
      <c r="E11" s="2226"/>
      <c r="F11" s="760" t="s">
        <v>907</v>
      </c>
      <c r="G11" s="761"/>
      <c r="H11" s="754"/>
      <c r="I11" s="754"/>
      <c r="J11" s="755"/>
      <c r="K11" s="763"/>
    </row>
    <row r="12" spans="1:11" ht="13.5" thickBot="1" x14ac:dyDescent="0.25">
      <c r="A12" s="2251" t="s">
        <v>961</v>
      </c>
      <c r="B12" s="2252"/>
      <c r="C12" s="2252"/>
      <c r="D12" s="2252"/>
      <c r="E12" s="2253"/>
      <c r="F12" s="1768"/>
      <c r="G12" s="1769">
        <f>SUM(G5:G11)</f>
        <v>0</v>
      </c>
      <c r="H12" s="1769">
        <f>SUM(H5:H11)</f>
        <v>628179</v>
      </c>
      <c r="I12" s="1769">
        <f>SUM(I5:I11)</f>
        <v>0</v>
      </c>
      <c r="J12" s="1769">
        <f>SUM(J5:J11)</f>
        <v>0</v>
      </c>
      <c r="K12" s="1769">
        <f>SUM(K5:K11)</f>
        <v>0</v>
      </c>
    </row>
    <row r="13" spans="1:11" ht="13.5" thickTop="1" x14ac:dyDescent="0.2">
      <c r="A13" s="2248" t="s">
        <v>388</v>
      </c>
      <c r="B13" s="2249"/>
      <c r="C13" s="2249"/>
      <c r="D13" s="2249"/>
      <c r="E13" s="2250"/>
      <c r="F13" s="775"/>
      <c r="G13" s="776"/>
      <c r="H13" s="777"/>
      <c r="I13" s="778"/>
      <c r="J13" s="778"/>
      <c r="K13" s="778"/>
    </row>
    <row r="14" spans="1:11" x14ac:dyDescent="0.2">
      <c r="A14" s="2231" t="s">
        <v>476</v>
      </c>
      <c r="B14" s="2231"/>
      <c r="C14" s="2231"/>
      <c r="D14" s="2231"/>
      <c r="E14" s="2232"/>
      <c r="F14" s="779" t="s">
        <v>909</v>
      </c>
      <c r="G14" s="772"/>
      <c r="H14" s="754">
        <v>628179</v>
      </c>
      <c r="I14" s="761"/>
      <c r="J14" s="763"/>
      <c r="K14" s="755"/>
    </row>
    <row r="15" spans="1:11" x14ac:dyDescent="0.2">
      <c r="A15" s="2225" t="s">
        <v>4</v>
      </c>
      <c r="B15" s="2225"/>
      <c r="C15" s="2225"/>
      <c r="D15" s="2225"/>
      <c r="E15" s="2226"/>
      <c r="F15" s="779" t="s">
        <v>910</v>
      </c>
      <c r="G15" s="761"/>
      <c r="H15" s="754"/>
      <c r="I15" s="754"/>
      <c r="J15" s="755"/>
      <c r="K15" s="755"/>
    </row>
    <row r="16" spans="1:11" x14ac:dyDescent="0.2">
      <c r="A16" s="2225" t="s">
        <v>316</v>
      </c>
      <c r="B16" s="2225"/>
      <c r="C16" s="2225"/>
      <c r="D16" s="2225"/>
      <c r="E16" s="2226"/>
      <c r="F16" s="779" t="s">
        <v>980</v>
      </c>
      <c r="G16" s="762"/>
      <c r="H16" s="757"/>
      <c r="I16" s="757"/>
      <c r="J16" s="759"/>
      <c r="K16" s="759"/>
    </row>
    <row r="17" spans="1:11" x14ac:dyDescent="0.2">
      <c r="A17" s="2256" t="s">
        <v>992</v>
      </c>
      <c r="B17" s="2256"/>
      <c r="C17" s="2256"/>
      <c r="D17" s="2256"/>
      <c r="E17" s="2257"/>
      <c r="F17" s="780"/>
      <c r="G17" s="781"/>
      <c r="H17" s="782"/>
      <c r="I17" s="782"/>
      <c r="J17" s="783"/>
      <c r="K17" s="784"/>
    </row>
    <row r="18" spans="1:11" x14ac:dyDescent="0.2">
      <c r="A18" s="2235" t="s">
        <v>386</v>
      </c>
      <c r="B18" s="2236"/>
      <c r="C18" s="2236"/>
      <c r="D18" s="2236"/>
      <c r="E18" s="2237"/>
      <c r="F18" s="779" t="s">
        <v>989</v>
      </c>
      <c r="G18" s="772"/>
      <c r="H18" s="772"/>
      <c r="I18" s="772"/>
      <c r="J18" s="755"/>
      <c r="K18" s="785"/>
    </row>
    <row r="19" spans="1:11" ht="21.75" customHeight="1" x14ac:dyDescent="0.2">
      <c r="A19" s="2233" t="s">
        <v>1916</v>
      </c>
      <c r="B19" s="2233"/>
      <c r="C19" s="2233"/>
      <c r="D19" s="2233"/>
      <c r="E19" s="2234"/>
      <c r="F19" s="779" t="s">
        <v>990</v>
      </c>
      <c r="G19" s="772"/>
      <c r="H19" s="772"/>
      <c r="I19" s="772"/>
      <c r="J19" s="755"/>
      <c r="K19" s="785"/>
    </row>
    <row r="20" spans="1:11" x14ac:dyDescent="0.2">
      <c r="A20" s="2235" t="s">
        <v>1921</v>
      </c>
      <c r="B20" s="2236"/>
      <c r="C20" s="2236"/>
      <c r="D20" s="2236"/>
      <c r="E20" s="2237"/>
      <c r="F20" s="779" t="s">
        <v>991</v>
      </c>
      <c r="G20" s="772"/>
      <c r="H20" s="772"/>
      <c r="I20" s="772"/>
      <c r="J20" s="755"/>
      <c r="K20" s="785"/>
    </row>
    <row r="21" spans="1:11" ht="13.5" thickBot="1" x14ac:dyDescent="0.25">
      <c r="A21" s="2254" t="s">
        <v>659</v>
      </c>
      <c r="B21" s="2254"/>
      <c r="C21" s="2254"/>
      <c r="D21" s="2254"/>
      <c r="E21" s="2254"/>
      <c r="F21" s="1770"/>
      <c r="G21" s="782"/>
      <c r="H21" s="786"/>
      <c r="I21" s="786"/>
      <c r="J21" s="1771">
        <f>SUM(J18:J20)</f>
        <v>0</v>
      </c>
      <c r="K21" s="783"/>
    </row>
    <row r="22" spans="1:11" ht="13.5" thickTop="1" x14ac:dyDescent="0.2">
      <c r="A22" s="2225" t="s">
        <v>1922</v>
      </c>
      <c r="B22" s="2225"/>
      <c r="C22" s="2225"/>
      <c r="D22" s="2225"/>
      <c r="E22" s="2226"/>
      <c r="F22" s="779" t="s">
        <v>917</v>
      </c>
      <c r="G22" s="772"/>
      <c r="H22" s="754"/>
      <c r="I22" s="754"/>
      <c r="J22" s="787"/>
      <c r="K22" s="755"/>
    </row>
    <row r="23" spans="1:11" ht="13.5" thickBot="1" x14ac:dyDescent="0.25">
      <c r="A23" s="2255" t="s">
        <v>962</v>
      </c>
      <c r="B23" s="2254"/>
      <c r="C23" s="2254"/>
      <c r="D23" s="2254"/>
      <c r="E23" s="2254"/>
      <c r="F23" s="1772"/>
      <c r="G23" s="1769">
        <f>SUM(G14:G16,G21,G22)</f>
        <v>0</v>
      </c>
      <c r="H23" s="1769">
        <f>SUM(H14:H16,H21,H22)</f>
        <v>628179</v>
      </c>
      <c r="I23" s="1769">
        <f>SUM(I14:I16,I21,I22)</f>
        <v>0</v>
      </c>
      <c r="J23" s="1769">
        <f>SUM(J14:J16,J21,J22)</f>
        <v>0</v>
      </c>
      <c r="K23" s="1769">
        <f>SUM(K14:K16,K21,K22)</f>
        <v>0</v>
      </c>
    </row>
    <row r="24" spans="1:11" ht="14.25" thickTop="1" thickBot="1" x14ac:dyDescent="0.25">
      <c r="A24" s="2255" t="s">
        <v>2026</v>
      </c>
      <c r="B24" s="2254"/>
      <c r="C24" s="2254"/>
      <c r="D24" s="2254"/>
      <c r="E24" s="2254"/>
      <c r="F24" s="1773"/>
      <c r="G24" s="1774">
        <f>SUM(G3,G12)-G23</f>
        <v>0</v>
      </c>
      <c r="H24" s="1774">
        <f>SUM(H3,H12)-H23</f>
        <v>0</v>
      </c>
      <c r="I24" s="1774">
        <f>SUM(I3,I12)-I23</f>
        <v>0</v>
      </c>
      <c r="J24" s="1774">
        <f>SUM(J3,J12)-J23</f>
        <v>0</v>
      </c>
      <c r="K24" s="1774">
        <f>SUM(K3,K12)-K23</f>
        <v>0</v>
      </c>
    </row>
    <row r="25" spans="1:11" ht="13.5" thickTop="1" x14ac:dyDescent="0.2">
      <c r="A25" s="788" t="s">
        <v>440</v>
      </c>
      <c r="B25" s="789"/>
      <c r="C25" s="789"/>
      <c r="D25" s="789"/>
      <c r="E25" s="790"/>
      <c r="F25" s="791">
        <v>714</v>
      </c>
      <c r="G25" s="792"/>
      <c r="H25" s="792"/>
      <c r="I25" s="792"/>
      <c r="J25" s="787"/>
      <c r="K25" s="787"/>
    </row>
    <row r="26" spans="1:11" ht="13.5" thickBot="1" x14ac:dyDescent="0.25">
      <c r="A26" s="788" t="s">
        <v>360</v>
      </c>
      <c r="B26" s="789"/>
      <c r="C26" s="789"/>
      <c r="D26" s="789"/>
      <c r="E26" s="790"/>
      <c r="F26" s="791">
        <v>730</v>
      </c>
      <c r="G26" s="1769">
        <f>G24-G25</f>
        <v>0</v>
      </c>
      <c r="H26" s="1769">
        <f>H24-H25</f>
        <v>0</v>
      </c>
      <c r="I26" s="1769">
        <f>I24-I25</f>
        <v>0</v>
      </c>
      <c r="J26" s="1769">
        <f>J24-J25</f>
        <v>0</v>
      </c>
      <c r="K26" s="1769">
        <f>K24-K25</f>
        <v>0</v>
      </c>
    </row>
    <row r="27" spans="1:11" ht="5.25" customHeight="1" thickTop="1" x14ac:dyDescent="0.2">
      <c r="I27" s="202"/>
      <c r="J27" s="202"/>
    </row>
    <row r="28" spans="1:11" ht="29.25" customHeight="1" x14ac:dyDescent="0.2">
      <c r="A28" s="1893" t="s">
        <v>2036</v>
      </c>
      <c r="B28" s="1894"/>
      <c r="C28" s="1894"/>
      <c r="D28" s="1894"/>
      <c r="E28" s="1895"/>
      <c r="F28" s="793"/>
      <c r="G28" s="794"/>
    </row>
    <row r="29" spans="1:11" x14ac:dyDescent="0.2">
      <c r="B29" s="497"/>
      <c r="C29" s="497"/>
      <c r="D29" s="497"/>
      <c r="F29" s="202"/>
      <c r="G29" s="795"/>
    </row>
    <row r="30" spans="1:11" x14ac:dyDescent="0.2">
      <c r="A30" s="796" t="s">
        <v>593</v>
      </c>
      <c r="B30" s="797"/>
      <c r="C30" s="796" t="s">
        <v>401</v>
      </c>
      <c r="D30" s="797"/>
      <c r="E30" s="798" t="s">
        <v>792</v>
      </c>
      <c r="F30" s="202"/>
      <c r="G30" s="795"/>
    </row>
    <row r="31" spans="1:11" x14ac:dyDescent="0.2">
      <c r="A31" s="799"/>
      <c r="D31" s="237"/>
      <c r="E31" s="800" t="s">
        <v>793</v>
      </c>
      <c r="F31" s="801" t="s">
        <v>560</v>
      </c>
      <c r="G31" s="754"/>
      <c r="H31" s="2228"/>
      <c r="I31" s="2229"/>
      <c r="J31" s="2229"/>
      <c r="K31" s="2229"/>
    </row>
    <row r="32" spans="1:11" x14ac:dyDescent="0.2">
      <c r="A32" s="799"/>
      <c r="B32" s="237"/>
      <c r="C32" s="237"/>
      <c r="D32" s="237"/>
      <c r="E32" s="795"/>
      <c r="F32" s="801" t="s">
        <v>561</v>
      </c>
      <c r="G32" s="754"/>
      <c r="H32" s="2230"/>
      <c r="I32" s="2229"/>
      <c r="J32" s="2229"/>
      <c r="K32" s="2229"/>
    </row>
    <row r="33" spans="1:11" ht="1.5" customHeight="1" x14ac:dyDescent="0.2">
      <c r="A33" s="802" t="s">
        <v>1231</v>
      </c>
      <c r="B33" s="364"/>
      <c r="C33" s="364"/>
      <c r="D33" s="364"/>
      <c r="E33" s="364"/>
      <c r="F33" s="364"/>
      <c r="G33" s="803"/>
      <c r="H33" s="2230"/>
      <c r="I33" s="2229"/>
      <c r="J33" s="2229"/>
      <c r="K33" s="2229"/>
    </row>
    <row r="34" spans="1:11" x14ac:dyDescent="0.2">
      <c r="A34" s="804" t="s">
        <v>1923</v>
      </c>
      <c r="B34" s="364"/>
      <c r="C34" s="364"/>
      <c r="D34" s="364"/>
      <c r="E34" s="364"/>
      <c r="F34" s="364"/>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225" t="s">
        <v>562</v>
      </c>
      <c r="B41" s="2238"/>
      <c r="C41" s="2238"/>
      <c r="D41" s="2238"/>
      <c r="E41" s="2238"/>
      <c r="F41" s="2239"/>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42" t="s">
        <v>1917</v>
      </c>
      <c r="B46" s="408" t="s">
        <v>1774</v>
      </c>
    </row>
    <row r="47" spans="1:11" s="813" customFormat="1" ht="12.75" customHeight="1" x14ac:dyDescent="0.2">
      <c r="A47" s="811"/>
      <c r="B47" s="812" t="s">
        <v>1775</v>
      </c>
      <c r="E47" s="812"/>
      <c r="K47" s="814"/>
    </row>
    <row r="48" spans="1:11" ht="12.75" customHeight="1" x14ac:dyDescent="0.2">
      <c r="A48" s="154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2035</v>
      </c>
      <c r="B1" s="2261"/>
      <c r="C1" s="2262"/>
      <c r="D1" s="816"/>
      <c r="E1" s="817"/>
      <c r="F1" s="817"/>
      <c r="G1" s="818"/>
      <c r="H1" s="819"/>
      <c r="I1" s="820"/>
      <c r="J1" s="2258"/>
      <c r="K1" s="2259"/>
      <c r="L1" s="2259"/>
    </row>
    <row r="2" spans="1:14" ht="69.75" customHeight="1" x14ac:dyDescent="0.2">
      <c r="A2" s="821" t="s">
        <v>1777</v>
      </c>
      <c r="B2" s="822" t="s">
        <v>396</v>
      </c>
      <c r="C2" s="823" t="s">
        <v>2030</v>
      </c>
      <c r="D2" s="823" t="s">
        <v>2027</v>
      </c>
      <c r="E2" s="823" t="s">
        <v>2028</v>
      </c>
      <c r="F2" s="823" t="s">
        <v>2029</v>
      </c>
      <c r="G2" s="823" t="s">
        <v>626</v>
      </c>
      <c r="H2" s="823" t="s">
        <v>2031</v>
      </c>
      <c r="I2" s="823" t="s">
        <v>2032</v>
      </c>
      <c r="J2" s="823" t="s">
        <v>2047</v>
      </c>
      <c r="K2" s="823" t="s">
        <v>2033</v>
      </c>
      <c r="L2" s="823" t="s">
        <v>2034</v>
      </c>
      <c r="M2" s="824"/>
      <c r="N2" s="824"/>
    </row>
    <row r="3" spans="1:14" ht="13.5" thickBot="1" x14ac:dyDescent="0.25">
      <c r="A3" s="1640" t="s">
        <v>948</v>
      </c>
      <c r="B3" s="1641">
        <v>210</v>
      </c>
      <c r="C3" s="825">
        <v>0</v>
      </c>
      <c r="D3" s="825">
        <v>0</v>
      </c>
      <c r="E3" s="825">
        <v>0</v>
      </c>
      <c r="F3" s="1771">
        <f>(C3+D3)-E3</f>
        <v>0</v>
      </c>
      <c r="G3" s="826"/>
      <c r="H3" s="825">
        <v>0</v>
      </c>
      <c r="I3" s="825">
        <v>0</v>
      </c>
      <c r="J3" s="825">
        <v>0</v>
      </c>
      <c r="K3" s="1780">
        <f>(H3+I3)-J3</f>
        <v>0</v>
      </c>
      <c r="L3" s="1780">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949</v>
      </c>
      <c r="B5" s="830">
        <v>221</v>
      </c>
      <c r="C5" s="831">
        <v>135061</v>
      </c>
      <c r="D5" s="831">
        <v>0</v>
      </c>
      <c r="E5" s="831">
        <v>0</v>
      </c>
      <c r="F5" s="1771">
        <f>(C5+D5)-E5</f>
        <v>135061</v>
      </c>
      <c r="G5" s="827"/>
      <c r="H5" s="832"/>
      <c r="I5" s="832"/>
      <c r="J5" s="832"/>
      <c r="K5" s="783"/>
      <c r="L5" s="1780">
        <f>F5-K5</f>
        <v>135061</v>
      </c>
    </row>
    <row r="6" spans="1:14" ht="14.25" thickTop="1" thickBot="1" x14ac:dyDescent="0.25">
      <c r="A6" s="768" t="s">
        <v>1179</v>
      </c>
      <c r="B6" s="830">
        <v>222</v>
      </c>
      <c r="C6" s="755">
        <v>0</v>
      </c>
      <c r="D6" s="755">
        <v>0</v>
      </c>
      <c r="E6" s="755">
        <v>0</v>
      </c>
      <c r="F6" s="1771">
        <f>(C6+D6)-E6</f>
        <v>0</v>
      </c>
      <c r="G6" s="827">
        <v>50</v>
      </c>
      <c r="H6" s="755">
        <v>0</v>
      </c>
      <c r="I6" s="755">
        <v>0</v>
      </c>
      <c r="J6" s="755">
        <v>0</v>
      </c>
      <c r="K6" s="1780">
        <f>(H6+I6)-J6</f>
        <v>0</v>
      </c>
      <c r="L6" s="1780">
        <f>F6-K6</f>
        <v>0</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1180</v>
      </c>
      <c r="B8" s="830">
        <v>231</v>
      </c>
      <c r="C8" s="834">
        <v>16278602</v>
      </c>
      <c r="D8" s="834">
        <v>911605</v>
      </c>
      <c r="E8" s="834">
        <v>0</v>
      </c>
      <c r="F8" s="1771">
        <f>(C8+D8)-E8</f>
        <v>17190207</v>
      </c>
      <c r="G8" s="833">
        <v>50</v>
      </c>
      <c r="H8" s="755">
        <v>8970064</v>
      </c>
      <c r="I8" s="755">
        <v>455268</v>
      </c>
      <c r="J8" s="755">
        <v>0</v>
      </c>
      <c r="K8" s="1780">
        <f>(H8+I8)-J8</f>
        <v>9425332</v>
      </c>
      <c r="L8" s="1780">
        <f>F8-K8</f>
        <v>7764875</v>
      </c>
    </row>
    <row r="9" spans="1:14" ht="14.25" thickTop="1" thickBot="1" x14ac:dyDescent="0.25">
      <c r="A9" s="768" t="s">
        <v>1181</v>
      </c>
      <c r="B9" s="830">
        <v>232</v>
      </c>
      <c r="C9" s="755">
        <v>0</v>
      </c>
      <c r="D9" s="755">
        <v>0</v>
      </c>
      <c r="E9" s="755">
        <v>0</v>
      </c>
      <c r="F9" s="1771">
        <f>(C9+D9)-E9</f>
        <v>0</v>
      </c>
      <c r="G9" s="833">
        <v>20</v>
      </c>
      <c r="H9" s="755">
        <v>0</v>
      </c>
      <c r="I9" s="755">
        <v>0</v>
      </c>
      <c r="J9" s="755">
        <v>0</v>
      </c>
      <c r="K9" s="1780">
        <f>(H9+I9)-J9</f>
        <v>0</v>
      </c>
      <c r="L9" s="1780">
        <f>F9-K9</f>
        <v>0</v>
      </c>
    </row>
    <row r="10" spans="1:14" ht="24" thickTop="1" thickBot="1" x14ac:dyDescent="0.25">
      <c r="A10" s="835" t="s">
        <v>1182</v>
      </c>
      <c r="B10" s="830">
        <v>240</v>
      </c>
      <c r="C10" s="836">
        <v>177850</v>
      </c>
      <c r="D10" s="836">
        <v>7391</v>
      </c>
      <c r="E10" s="836">
        <v>0</v>
      </c>
      <c r="F10" s="1775">
        <f>(C10+D10)-E10</f>
        <v>185241</v>
      </c>
      <c r="G10" s="833">
        <v>20</v>
      </c>
      <c r="H10" s="837">
        <v>169306</v>
      </c>
      <c r="I10" s="837">
        <v>5581</v>
      </c>
      <c r="J10" s="837">
        <v>0</v>
      </c>
      <c r="K10" s="1780">
        <f>(H10+I10)-J10</f>
        <v>174887</v>
      </c>
      <c r="L10" s="1780">
        <f>F10-K10</f>
        <v>10354</v>
      </c>
    </row>
    <row r="11" spans="1:14" ht="13.5" thickTop="1" x14ac:dyDescent="0.2">
      <c r="A11" s="1643" t="s">
        <v>1198</v>
      </c>
      <c r="B11" s="1641">
        <v>250</v>
      </c>
      <c r="C11" s="771"/>
      <c r="D11" s="771"/>
      <c r="E11" s="771"/>
      <c r="F11" s="763"/>
      <c r="G11" s="833"/>
      <c r="H11" s="771"/>
      <c r="I11" s="771"/>
      <c r="J11" s="771"/>
      <c r="K11" s="763"/>
      <c r="L11" s="763"/>
    </row>
    <row r="12" spans="1:14" ht="13.5" thickBot="1" x14ac:dyDescent="0.25">
      <c r="A12" s="838" t="s">
        <v>1183</v>
      </c>
      <c r="B12" s="830">
        <v>251</v>
      </c>
      <c r="C12" s="834">
        <v>2476769</v>
      </c>
      <c r="D12" s="834">
        <v>336323</v>
      </c>
      <c r="E12" s="834">
        <v>0</v>
      </c>
      <c r="F12" s="1771">
        <f>(C12+D12)-E12</f>
        <v>2813092</v>
      </c>
      <c r="G12" s="833">
        <v>10</v>
      </c>
      <c r="H12" s="755">
        <v>1927428</v>
      </c>
      <c r="I12" s="755">
        <v>101366</v>
      </c>
      <c r="J12" s="755">
        <v>0</v>
      </c>
      <c r="K12" s="1780">
        <f>(H12+I12)-J12</f>
        <v>2028794</v>
      </c>
      <c r="L12" s="1780">
        <f>F12-K12</f>
        <v>784298</v>
      </c>
    </row>
    <row r="13" spans="1:14" ht="14.25" thickTop="1" thickBot="1" x14ac:dyDescent="0.25">
      <c r="A13" s="838" t="s">
        <v>1184</v>
      </c>
      <c r="B13" s="830">
        <v>252</v>
      </c>
      <c r="C13" s="834">
        <v>0</v>
      </c>
      <c r="D13" s="834">
        <v>0</v>
      </c>
      <c r="E13" s="834">
        <v>0</v>
      </c>
      <c r="F13" s="1771">
        <f>(C13+D13)-E13</f>
        <v>0</v>
      </c>
      <c r="G13" s="833">
        <v>5</v>
      </c>
      <c r="H13" s="755">
        <v>0</v>
      </c>
      <c r="I13" s="755">
        <v>0</v>
      </c>
      <c r="J13" s="755">
        <v>0</v>
      </c>
      <c r="K13" s="1780">
        <f>(H13+I13)-J13</f>
        <v>0</v>
      </c>
      <c r="L13" s="1780">
        <f>F13-K13</f>
        <v>0</v>
      </c>
    </row>
    <row r="14" spans="1:14" ht="14.25" thickTop="1" thickBot="1" x14ac:dyDescent="0.25">
      <c r="A14" s="838" t="s">
        <v>1185</v>
      </c>
      <c r="B14" s="830">
        <v>253</v>
      </c>
      <c r="C14" s="755">
        <v>0</v>
      </c>
      <c r="D14" s="755">
        <v>0</v>
      </c>
      <c r="E14" s="755">
        <v>0</v>
      </c>
      <c r="F14" s="1771">
        <f>(C14+D14)-E14</f>
        <v>0</v>
      </c>
      <c r="G14" s="833">
        <v>3</v>
      </c>
      <c r="H14" s="755">
        <v>0</v>
      </c>
      <c r="I14" s="755">
        <v>0</v>
      </c>
      <c r="J14" s="755">
        <v>0</v>
      </c>
      <c r="K14" s="1780">
        <f>(H14+I14)-J14</f>
        <v>0</v>
      </c>
      <c r="L14" s="1780">
        <f>F14-K14</f>
        <v>0</v>
      </c>
    </row>
    <row r="15" spans="1:14" ht="15" customHeight="1" thickTop="1" thickBot="1" x14ac:dyDescent="0.25">
      <c r="A15" s="1642" t="s">
        <v>549</v>
      </c>
      <c r="B15" s="1641">
        <v>260</v>
      </c>
      <c r="C15" s="834">
        <v>113399</v>
      </c>
      <c r="D15" s="834">
        <v>124473</v>
      </c>
      <c r="E15" s="834">
        <v>113399</v>
      </c>
      <c r="F15" s="1771">
        <f>(C15+D15)-E15</f>
        <v>124473</v>
      </c>
      <c r="G15" s="839" t="s">
        <v>917</v>
      </c>
      <c r="H15" s="771"/>
      <c r="I15" s="771"/>
      <c r="J15" s="771"/>
      <c r="K15" s="771"/>
      <c r="L15" s="1780">
        <f>F15-K15</f>
        <v>124473</v>
      </c>
    </row>
    <row r="16" spans="1:14" ht="15" customHeight="1" thickTop="1" thickBot="1" x14ac:dyDescent="0.25">
      <c r="A16" s="1776" t="s">
        <v>664</v>
      </c>
      <c r="B16" s="1777">
        <v>200</v>
      </c>
      <c r="C16" s="1771">
        <f>SUM(C3,C5:C6,C8:C10,C12:C15)</f>
        <v>19181681</v>
      </c>
      <c r="D16" s="1771">
        <f>SUM(D3,D5:D6,D8:D10,D12:D15)</f>
        <v>1379792</v>
      </c>
      <c r="E16" s="1771">
        <f>SUM(E3,E5:E6,E8:E10,E12:E15)</f>
        <v>113399</v>
      </c>
      <c r="F16" s="1771">
        <f>SUM(F3,F5:F6,F8:F10,F12:F15)</f>
        <v>20448074</v>
      </c>
      <c r="G16" s="833"/>
      <c r="H16" s="1771">
        <f>SUM(H3,H6,H8:H10,H12:H14,)</f>
        <v>11066798</v>
      </c>
      <c r="I16" s="1771">
        <f>SUM(I3,I6,I8:I10,I12:I14,)</f>
        <v>562215</v>
      </c>
      <c r="J16" s="1771">
        <f>SUM(J3,J6,J8:J10,J12:J14,)</f>
        <v>0</v>
      </c>
      <c r="K16" s="1771">
        <f>(H16+I16)-J16</f>
        <v>11629013</v>
      </c>
      <c r="L16" s="1771">
        <f>F16-K16</f>
        <v>8819061</v>
      </c>
    </row>
    <row r="17" spans="1:12" ht="15" customHeight="1" thickTop="1" thickBot="1" x14ac:dyDescent="0.25">
      <c r="A17" s="1644" t="s">
        <v>309</v>
      </c>
      <c r="B17" s="1641">
        <v>700</v>
      </c>
      <c r="C17" s="759"/>
      <c r="D17" s="759"/>
      <c r="E17" s="759"/>
      <c r="F17" s="1771">
        <f>SUM('Expenditures 15-22'!I114,'Expenditures 15-22'!I151,'Expenditures 15-22'!I210,'Expenditures 15-22'!I312,'Expenditures 15-22'!I342,'Expenditures 15-22'!I367)</f>
        <v>387224</v>
      </c>
      <c r="G17" s="827">
        <v>10</v>
      </c>
      <c r="H17" s="759"/>
      <c r="I17" s="1780">
        <f>F17/G17</f>
        <v>38722.400000000001</v>
      </c>
      <c r="J17" s="759"/>
      <c r="K17" s="785"/>
      <c r="L17" s="785"/>
    </row>
    <row r="18" spans="1:12" ht="14.25" thickTop="1" thickBot="1" x14ac:dyDescent="0.25">
      <c r="A18" s="1778" t="s">
        <v>706</v>
      </c>
      <c r="B18" s="1779"/>
      <c r="C18" s="761"/>
      <c r="D18" s="761"/>
      <c r="E18" s="761"/>
      <c r="F18" s="840"/>
      <c r="G18" s="841"/>
      <c r="H18" s="763"/>
      <c r="I18" s="1771">
        <f>SUM(I16,I17)</f>
        <v>600937.4</v>
      </c>
      <c r="J18" s="763"/>
      <c r="K18" s="763"/>
      <c r="L18" s="763"/>
    </row>
    <row r="19" spans="1:12" ht="12" customHeight="1" thickTop="1" x14ac:dyDescent="0.2">
      <c r="F19" s="499"/>
      <c r="L19" s="499"/>
    </row>
    <row r="20" spans="1:12" ht="12" customHeight="1" x14ac:dyDescent="0.2">
      <c r="A20" s="842"/>
      <c r="B20" s="497"/>
      <c r="F20" s="499"/>
      <c r="L20" s="499"/>
    </row>
    <row r="21" spans="1:12" ht="12" customHeight="1" x14ac:dyDescent="0.2">
      <c r="B21" s="497"/>
      <c r="F21" s="499"/>
      <c r="L21" s="499"/>
    </row>
    <row r="22" spans="1:12" ht="12" customHeight="1" x14ac:dyDescent="0.2">
      <c r="B22" s="497"/>
      <c r="F22" s="499"/>
      <c r="L22" s="499"/>
    </row>
    <row r="23" spans="1:12" ht="12" customHeight="1" x14ac:dyDescent="0.2">
      <c r="A23" s="843"/>
      <c r="B23" s="497"/>
      <c r="F23" s="499"/>
      <c r="L23" s="499"/>
    </row>
    <row r="24" spans="1:12" ht="12" customHeight="1" x14ac:dyDescent="0.2">
      <c r="B24" s="497"/>
      <c r="F24" s="499"/>
      <c r="L24" s="499"/>
    </row>
    <row r="25" spans="1:12" x14ac:dyDescent="0.2">
      <c r="F25" s="499"/>
      <c r="L25" s="499"/>
    </row>
    <row r="26" spans="1:12" ht="10.9" customHeight="1" x14ac:dyDescent="0.2">
      <c r="A26" s="844"/>
      <c r="B26" s="247"/>
      <c r="D26" s="347"/>
    </row>
    <row r="27" spans="1:12" x14ac:dyDescent="0.2">
      <c r="A27" s="84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127" activePane="bottomLeft" state="frozen"/>
      <selection pane="bottomLeft"/>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66" t="s">
        <v>1699</v>
      </c>
      <c r="B1" s="2267"/>
      <c r="C1" s="2267"/>
      <c r="D1" s="2267"/>
      <c r="E1" s="2267"/>
      <c r="F1" s="2268"/>
      <c r="G1" s="845"/>
    </row>
    <row r="2" spans="1:7" ht="15" customHeight="1" thickBot="1" x14ac:dyDescent="0.25">
      <c r="A2" s="2269" t="s">
        <v>498</v>
      </c>
      <c r="B2" s="2270"/>
      <c r="C2" s="2270"/>
      <c r="D2" s="2270"/>
      <c r="E2" s="2270"/>
      <c r="F2" s="2271"/>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272"/>
      <c r="B5" s="2273"/>
      <c r="C5" s="2273"/>
      <c r="D5" s="2273"/>
      <c r="E5" s="2273"/>
      <c r="F5" s="2273"/>
    </row>
    <row r="6" spans="1:7" ht="13.5" customHeight="1" thickBot="1" x14ac:dyDescent="0.25">
      <c r="A6" s="2263" t="s">
        <v>1166</v>
      </c>
      <c r="B6" s="2264"/>
      <c r="C6" s="2264"/>
      <c r="D6" s="2264"/>
      <c r="E6" s="2264"/>
      <c r="F6" s="2265"/>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22">
        <f>'Expenditures 15-22'!K114</f>
        <v>8842413</v>
      </c>
      <c r="G8" s="855"/>
    </row>
    <row r="9" spans="1:7" x14ac:dyDescent="0.2">
      <c r="A9" s="859" t="s">
        <v>480</v>
      </c>
      <c r="B9" s="860" t="s">
        <v>1989</v>
      </c>
      <c r="C9" s="861"/>
      <c r="D9" s="859" t="s">
        <v>522</v>
      </c>
      <c r="E9" s="858"/>
      <c r="F9" s="1923">
        <f>'Expenditures 15-22'!K151</f>
        <v>767783</v>
      </c>
      <c r="G9" s="862"/>
    </row>
    <row r="10" spans="1:7" x14ac:dyDescent="0.2">
      <c r="A10" s="859" t="s">
        <v>520</v>
      </c>
      <c r="B10" s="860" t="s">
        <v>1990</v>
      </c>
      <c r="C10" s="861"/>
      <c r="D10" s="859" t="s">
        <v>522</v>
      </c>
      <c r="E10" s="858"/>
      <c r="F10" s="1923">
        <f>'Expenditures 15-22'!K174</f>
        <v>1270868</v>
      </c>
      <c r="G10" s="862"/>
    </row>
    <row r="11" spans="1:7" x14ac:dyDescent="0.2">
      <c r="A11" s="859" t="s">
        <v>481</v>
      </c>
      <c r="B11" s="860" t="s">
        <v>1991</v>
      </c>
      <c r="C11" s="861"/>
      <c r="D11" s="859" t="s">
        <v>522</v>
      </c>
      <c r="E11" s="858"/>
      <c r="F11" s="1923">
        <f>'Expenditures 15-22'!K210</f>
        <v>416847</v>
      </c>
      <c r="G11" s="862"/>
    </row>
    <row r="12" spans="1:7" x14ac:dyDescent="0.2">
      <c r="A12" s="859" t="s">
        <v>482</v>
      </c>
      <c r="B12" s="860" t="s">
        <v>1992</v>
      </c>
      <c r="C12" s="861"/>
      <c r="D12" s="859" t="s">
        <v>522</v>
      </c>
      <c r="E12" s="858"/>
      <c r="F12" s="1923">
        <f>'Expenditures 15-22'!K295</f>
        <v>274822</v>
      </c>
      <c r="G12" s="862"/>
    </row>
    <row r="13" spans="1:7" x14ac:dyDescent="0.2">
      <c r="A13" s="859" t="s">
        <v>108</v>
      </c>
      <c r="B13" s="860" t="s">
        <v>1993</v>
      </c>
      <c r="C13" s="861"/>
      <c r="D13" s="859" t="s">
        <v>522</v>
      </c>
      <c r="E13" s="858"/>
      <c r="F13" s="1923">
        <f>'Expenditures 15-22'!K342</f>
        <v>54448</v>
      </c>
      <c r="G13" s="863"/>
    </row>
    <row r="14" spans="1:7" ht="12" customHeight="1" thickBot="1" x14ac:dyDescent="0.25">
      <c r="A14" s="1781"/>
      <c r="B14" s="1782"/>
      <c r="C14" s="1783"/>
      <c r="D14" s="1784" t="s">
        <v>522</v>
      </c>
      <c r="E14" s="1785" t="s">
        <v>1015</v>
      </c>
      <c r="F14" s="1786">
        <f>SUM(F8:F13)</f>
        <v>11627181</v>
      </c>
      <c r="G14" s="855"/>
    </row>
    <row r="15" spans="1:7" ht="3.75" customHeight="1" thickTop="1" x14ac:dyDescent="0.2">
      <c r="A15" s="855"/>
      <c r="B15" s="855"/>
      <c r="C15" s="861"/>
      <c r="D15" s="855"/>
      <c r="E15" s="858"/>
      <c r="F15" s="855"/>
      <c r="G15" s="855"/>
    </row>
    <row r="16" spans="1:7" ht="12" customHeight="1" x14ac:dyDescent="0.2">
      <c r="A16" s="864" t="s">
        <v>533</v>
      </c>
      <c r="B16" s="231"/>
      <c r="C16" s="231"/>
      <c r="D16" s="857"/>
      <c r="E16" s="858"/>
      <c r="F16" s="857"/>
      <c r="G16" s="855"/>
    </row>
    <row r="17" spans="1:7" ht="4.5" customHeight="1" x14ac:dyDescent="0.2">
      <c r="A17" s="864"/>
      <c r="B17" s="231"/>
      <c r="C17" s="231"/>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24">
        <f>'Revenues 9-14'!F43</f>
        <v>3778</v>
      </c>
      <c r="G18" s="855"/>
    </row>
    <row r="19" spans="1:7" x14ac:dyDescent="0.2">
      <c r="A19" s="859" t="s">
        <v>481</v>
      </c>
      <c r="B19" s="860" t="s">
        <v>1069</v>
      </c>
      <c r="C19" s="867">
        <f>'Revenues 9-14'!B47</f>
        <v>1421</v>
      </c>
      <c r="D19" s="868" t="str">
        <f>'Revenues 9-14'!A47</f>
        <v>Summer Sch - Transp. Fees from Pupils or Parents (In State)</v>
      </c>
      <c r="E19" s="869"/>
      <c r="F19" s="1925">
        <f>'Revenues 9-14'!F47</f>
        <v>0</v>
      </c>
      <c r="G19" s="855"/>
    </row>
    <row r="20" spans="1:7" x14ac:dyDescent="0.2">
      <c r="A20" s="859" t="s">
        <v>481</v>
      </c>
      <c r="B20" s="860" t="s">
        <v>1070</v>
      </c>
      <c r="C20" s="865">
        <f>'Revenues 9-14'!B48</f>
        <v>1422</v>
      </c>
      <c r="D20" s="866" t="str">
        <f>'Revenues 9-14'!A48</f>
        <v>Summer Sch - Transp. Fees from Other Districts (In State)</v>
      </c>
      <c r="E20" s="858"/>
      <c r="F20" s="1926">
        <f>'Revenues 9-14'!F48</f>
        <v>0</v>
      </c>
      <c r="G20" s="855"/>
    </row>
    <row r="21" spans="1:7" x14ac:dyDescent="0.2">
      <c r="A21" s="859" t="s">
        <v>481</v>
      </c>
      <c r="B21" s="860" t="s">
        <v>1071</v>
      </c>
      <c r="C21" s="867">
        <f>'Revenues 9-14'!B49</f>
        <v>1423</v>
      </c>
      <c r="D21" s="866" t="str">
        <f>'Revenues 9-14'!A49</f>
        <v>Summer Sch - Transp. Fees from Other Sources (In State)</v>
      </c>
      <c r="E21" s="858"/>
      <c r="F21" s="1927">
        <f>'Revenues 9-14'!F49</f>
        <v>0</v>
      </c>
      <c r="G21" s="855"/>
    </row>
    <row r="22" spans="1:7" x14ac:dyDescent="0.2">
      <c r="A22" s="859" t="s">
        <v>481</v>
      </c>
      <c r="B22" s="860" t="s">
        <v>1072</v>
      </c>
      <c r="C22" s="867">
        <f>'Revenues 9-14'!B50</f>
        <v>1424</v>
      </c>
      <c r="D22" s="866" t="str">
        <f>'Revenues 9-14'!A50</f>
        <v>Summer Sch - Transp. Fees from Other Sources (Out of State)</v>
      </c>
      <c r="E22" s="858"/>
      <c r="F22" s="1927">
        <f>'Revenues 9-14'!F50</f>
        <v>0</v>
      </c>
      <c r="G22" s="855"/>
    </row>
    <row r="23" spans="1:7" x14ac:dyDescent="0.2">
      <c r="A23" s="859" t="s">
        <v>481</v>
      </c>
      <c r="B23" s="860" t="s">
        <v>1073</v>
      </c>
      <c r="C23" s="865">
        <f>'Revenues 9-14'!B52</f>
        <v>1432</v>
      </c>
      <c r="D23" s="866" t="str">
        <f>'Revenues 9-14'!A52</f>
        <v>CTE - Transp Fees from Other Districts (In State)</v>
      </c>
      <c r="E23" s="858"/>
      <c r="F23" s="1927">
        <f>'Revenues 9-14'!F52</f>
        <v>0</v>
      </c>
      <c r="G23" s="855"/>
    </row>
    <row r="24" spans="1:7" x14ac:dyDescent="0.2">
      <c r="A24" s="859" t="s">
        <v>481</v>
      </c>
      <c r="B24" s="860" t="s">
        <v>1074</v>
      </c>
      <c r="C24" s="865">
        <f>'Revenues 9-14'!B56</f>
        <v>1442</v>
      </c>
      <c r="D24" s="866" t="str">
        <f>'Revenues 9-14'!A56</f>
        <v>Special Ed - Transp Fees from Other Districts (In State)</v>
      </c>
      <c r="E24" s="858"/>
      <c r="F24" s="1927">
        <f>'Revenues 9-14'!F56</f>
        <v>0</v>
      </c>
      <c r="G24" s="855"/>
    </row>
    <row r="25" spans="1:7" x14ac:dyDescent="0.2">
      <c r="A25" s="859" t="s">
        <v>481</v>
      </c>
      <c r="B25" s="860" t="s">
        <v>1075</v>
      </c>
      <c r="C25" s="865">
        <f>'Revenues 9-14'!B59</f>
        <v>1451</v>
      </c>
      <c r="D25" s="866" t="str">
        <f>'Revenues 9-14'!A59</f>
        <v>Adult - Transp Fees from Pupils or Parents (In State)</v>
      </c>
      <c r="E25" s="858"/>
      <c r="F25" s="1927">
        <f>'Revenues 9-14'!F59</f>
        <v>0</v>
      </c>
      <c r="G25" s="855"/>
    </row>
    <row r="26" spans="1:7" x14ac:dyDescent="0.2">
      <c r="A26" s="859" t="s">
        <v>481</v>
      </c>
      <c r="B26" s="860" t="s">
        <v>1076</v>
      </c>
      <c r="C26" s="865">
        <f>'Revenues 9-14'!B60</f>
        <v>1452</v>
      </c>
      <c r="D26" s="866" t="str">
        <f>'Revenues 9-14'!A60</f>
        <v>Adult - Transp Fees from Other Districts (In State)</v>
      </c>
      <c r="E26" s="858"/>
      <c r="F26" s="1927">
        <f>'Revenues 9-14'!F60</f>
        <v>0</v>
      </c>
      <c r="G26" s="855"/>
    </row>
    <row r="27" spans="1:7" x14ac:dyDescent="0.2">
      <c r="A27" s="859" t="s">
        <v>481</v>
      </c>
      <c r="B27" s="860" t="s">
        <v>1077</v>
      </c>
      <c r="C27" s="865">
        <f>'Revenues 9-14'!B61</f>
        <v>1453</v>
      </c>
      <c r="D27" s="866" t="str">
        <f>'Revenues 9-14'!A61</f>
        <v>Adult - Transp Fees from Other Sources (In State)</v>
      </c>
      <c r="E27" s="858"/>
      <c r="F27" s="1927">
        <f>'Revenues 9-14'!F61</f>
        <v>0</v>
      </c>
      <c r="G27" s="855"/>
    </row>
    <row r="28" spans="1:7" x14ac:dyDescent="0.2">
      <c r="A28" s="859" t="s">
        <v>481</v>
      </c>
      <c r="B28" s="860" t="s">
        <v>1078</v>
      </c>
      <c r="C28" s="865">
        <f>'Revenues 9-14'!B62</f>
        <v>1454</v>
      </c>
      <c r="D28" s="866" t="str">
        <f>'Revenues 9-14'!A62</f>
        <v>Adult - Transp Fees from Other Sources (Out of State)</v>
      </c>
      <c r="E28" s="858"/>
      <c r="F28" s="1927">
        <f>'Revenues 9-14'!F62</f>
        <v>0</v>
      </c>
      <c r="G28" s="855"/>
    </row>
    <row r="29" spans="1:7" x14ac:dyDescent="0.2">
      <c r="A29" s="859" t="s">
        <v>1159</v>
      </c>
      <c r="B29" s="860" t="s">
        <v>1683</v>
      </c>
      <c r="C29" s="870">
        <f>'Revenues 9-14'!B148</f>
        <v>3410</v>
      </c>
      <c r="D29" s="871" t="str">
        <f>'Revenues 9-14'!A148</f>
        <v>Adult Ed (from ICCB)</v>
      </c>
      <c r="E29" s="858"/>
      <c r="F29" s="1927">
        <f>SUM('Revenues 9-14'!D148,F149)</f>
        <v>0</v>
      </c>
      <c r="G29" s="855"/>
    </row>
    <row r="30" spans="1:7" x14ac:dyDescent="0.2">
      <c r="A30" s="859" t="s">
        <v>1159</v>
      </c>
      <c r="B30" s="860" t="s">
        <v>861</v>
      </c>
      <c r="C30" s="870">
        <f>'Revenues 9-14'!B149</f>
        <v>3499</v>
      </c>
      <c r="D30" s="871" t="str">
        <f>'Revenues 9-14'!A149</f>
        <v>Adult Ed - Other (Describe &amp; Itemize)</v>
      </c>
      <c r="E30" s="858"/>
      <c r="F30" s="1928">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27">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27">
        <f>SUM('Revenues 9-14'!D219,'Revenues 9-14'!F219)</f>
        <v>0</v>
      </c>
      <c r="G32" s="855"/>
    </row>
    <row r="33" spans="1:7" x14ac:dyDescent="0.2">
      <c r="A33" s="859" t="s">
        <v>480</v>
      </c>
      <c r="B33" s="860" t="s">
        <v>801</v>
      </c>
      <c r="C33" s="865">
        <f>'Revenues 9-14'!B229</f>
        <v>4810</v>
      </c>
      <c r="D33" s="873" t="str">
        <f>'Revenues 9-14'!A229</f>
        <v>Federal - Adult Education</v>
      </c>
      <c r="E33" s="858"/>
      <c r="F33" s="1927">
        <f>'Revenues 9-14'!D229</f>
        <v>0</v>
      </c>
      <c r="G33" s="855"/>
    </row>
    <row r="34" spans="1:7" x14ac:dyDescent="0.2">
      <c r="A34" s="859" t="s">
        <v>479</v>
      </c>
      <c r="B34" s="859" t="s">
        <v>1545</v>
      </c>
      <c r="C34" s="876" t="str">
        <f>'Expenditures 15-22'!B7</f>
        <v>1125</v>
      </c>
      <c r="D34" s="877" t="str">
        <f>'Expenditures 15-22'!A7</f>
        <v>Pre-K Programs</v>
      </c>
      <c r="E34" s="858"/>
      <c r="F34" s="1927">
        <f>'Expenditures 15-22'!K7-SUM('Expenditures 15-22'!G7,'Expenditures 15-22'!I7)</f>
        <v>0</v>
      </c>
      <c r="G34" s="855"/>
    </row>
    <row r="35" spans="1:7" x14ac:dyDescent="0.2">
      <c r="A35" s="859" t="s">
        <v>479</v>
      </c>
      <c r="B35" s="859" t="s">
        <v>1546</v>
      </c>
      <c r="C35" s="876" t="str">
        <f>'Expenditures 15-22'!B9</f>
        <v>1225</v>
      </c>
      <c r="D35" s="877" t="str">
        <f>'Expenditures 15-22'!A9</f>
        <v>Special Education Programs Pre-K</v>
      </c>
      <c r="E35" s="858"/>
      <c r="F35" s="1927">
        <f>'Expenditures 15-22'!K9-SUM('Expenditures 15-22'!G9+'Expenditures 15-22'!I9)</f>
        <v>0</v>
      </c>
      <c r="G35" s="855"/>
    </row>
    <row r="36" spans="1:7" x14ac:dyDescent="0.2">
      <c r="A36" s="859" t="s">
        <v>479</v>
      </c>
      <c r="B36" s="859" t="s">
        <v>118</v>
      </c>
      <c r="C36" s="876" t="str">
        <f>'Expenditures 15-22'!B11</f>
        <v>1275</v>
      </c>
      <c r="D36" s="877" t="str">
        <f>'Expenditures 15-22'!A11</f>
        <v>Remedial and Supplemental Programs Pre-K</v>
      </c>
      <c r="E36" s="858"/>
      <c r="F36" s="1927">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927">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27">
        <f>'Expenditures 15-22'!K15-SUM('Expenditures 15-22'!G15,'Expenditures 15-22'!I15)</f>
        <v>33238</v>
      </c>
      <c r="G38" s="855"/>
    </row>
    <row r="39" spans="1:7" x14ac:dyDescent="0.2">
      <c r="A39" s="859" t="s">
        <v>479</v>
      </c>
      <c r="B39" s="859" t="s">
        <v>119</v>
      </c>
      <c r="C39" s="876" t="str">
        <f>'Expenditures 15-22'!B20</f>
        <v>1910</v>
      </c>
      <c r="D39" s="878" t="str">
        <f>'Expenditures 15-22'!A20</f>
        <v>Pre-K Programs - Private Tuition</v>
      </c>
      <c r="E39" s="858"/>
      <c r="F39" s="1927">
        <f>'Expenditures 15-22'!K20</f>
        <v>0</v>
      </c>
      <c r="G39" s="855"/>
    </row>
    <row r="40" spans="1:7" x14ac:dyDescent="0.2">
      <c r="A40" s="859" t="s">
        <v>479</v>
      </c>
      <c r="B40" s="859" t="s">
        <v>120</v>
      </c>
      <c r="C40" s="876" t="str">
        <f>'Expenditures 15-22'!B21</f>
        <v>1911</v>
      </c>
      <c r="D40" s="878" t="str">
        <f>'Expenditures 15-22'!A21</f>
        <v>Regular K-12 Programs - Private Tuition</v>
      </c>
      <c r="E40" s="858"/>
      <c r="F40" s="1927">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27">
        <f>'Expenditures 15-22'!K22</f>
        <v>66395</v>
      </c>
      <c r="G41" s="855"/>
    </row>
    <row r="42" spans="1:7" x14ac:dyDescent="0.2">
      <c r="A42" s="859" t="s">
        <v>479</v>
      </c>
      <c r="B42" s="859" t="s">
        <v>122</v>
      </c>
      <c r="C42" s="879" t="str">
        <f>'Expenditures 15-22'!B23</f>
        <v>1913</v>
      </c>
      <c r="D42" s="878" t="str">
        <f>'Expenditures 15-22'!A23</f>
        <v>Special Education Programs Pre-K - Tuition</v>
      </c>
      <c r="E42" s="858"/>
      <c r="F42" s="1927">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27">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27">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27">
        <f>'Expenditures 15-22'!K26</f>
        <v>0</v>
      </c>
      <c r="G45" s="855"/>
    </row>
    <row r="46" spans="1:7" x14ac:dyDescent="0.2">
      <c r="A46" s="859" t="s">
        <v>479</v>
      </c>
      <c r="B46" s="859" t="s">
        <v>126</v>
      </c>
      <c r="C46" s="876" t="str">
        <f>'Expenditures 15-22'!B27</f>
        <v>1917</v>
      </c>
      <c r="D46" s="878" t="str">
        <f>'Expenditures 15-22'!A27</f>
        <v>CTE Programs - Private Tuition</v>
      </c>
      <c r="E46" s="858"/>
      <c r="F46" s="1927">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27">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27">
        <f>'Expenditures 15-22'!K29</f>
        <v>0</v>
      </c>
      <c r="G48" s="855"/>
    </row>
    <row r="49" spans="1:7" x14ac:dyDescent="0.2">
      <c r="A49" s="859" t="s">
        <v>479</v>
      </c>
      <c r="B49" s="859" t="s">
        <v>129</v>
      </c>
      <c r="C49" s="876" t="str">
        <f>'Expenditures 15-22'!B30</f>
        <v>1920</v>
      </c>
      <c r="D49" s="878" t="str">
        <f>'Expenditures 15-22'!A30</f>
        <v>Gifted Programs - Private Tuition</v>
      </c>
      <c r="E49" s="858"/>
      <c r="F49" s="1927">
        <f>'Expenditures 15-22'!K30</f>
        <v>0</v>
      </c>
      <c r="G49" s="855"/>
    </row>
    <row r="50" spans="1:7" x14ac:dyDescent="0.2">
      <c r="A50" s="859" t="s">
        <v>479</v>
      </c>
      <c r="B50" s="859" t="s">
        <v>130</v>
      </c>
      <c r="C50" s="876" t="str">
        <f>'Expenditures 15-22'!B31</f>
        <v>1921</v>
      </c>
      <c r="D50" s="878" t="str">
        <f>'Expenditures 15-22'!A31</f>
        <v>Bilingual Programs - Private Tuition</v>
      </c>
      <c r="E50" s="858"/>
      <c r="F50" s="1927">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27">
        <f>'Expenditures 15-22'!K32</f>
        <v>0</v>
      </c>
      <c r="G51" s="855"/>
    </row>
    <row r="52" spans="1:7" x14ac:dyDescent="0.2">
      <c r="A52" s="859" t="s">
        <v>479</v>
      </c>
      <c r="B52" s="859" t="s">
        <v>1550</v>
      </c>
      <c r="C52" s="879" t="str">
        <f>'Expenditures 15-22'!B75</f>
        <v>3000</v>
      </c>
      <c r="D52" s="878" t="s">
        <v>469</v>
      </c>
      <c r="E52" s="858"/>
      <c r="F52" s="1927">
        <f>'Expenditures 15-22'!K75-SUM('Expenditures 15-22'!G75,'Expenditures 15-22'!I75)</f>
        <v>98</v>
      </c>
      <c r="G52" s="855"/>
    </row>
    <row r="53" spans="1:7" x14ac:dyDescent="0.2">
      <c r="A53" s="859" t="s">
        <v>479</v>
      </c>
      <c r="B53" s="859" t="s">
        <v>1551</v>
      </c>
      <c r="C53" s="879">
        <f>'Expenditures 15-22'!B102</f>
        <v>4000</v>
      </c>
      <c r="D53" s="878" t="str">
        <f>'Expenditures 15-22'!A102</f>
        <v>Total Payments to Other Govt Units</v>
      </c>
      <c r="E53" s="858"/>
      <c r="F53" s="1927">
        <f>'Expenditures 15-22'!K102</f>
        <v>307556</v>
      </c>
      <c r="G53" s="855"/>
    </row>
    <row r="54" spans="1:7" x14ac:dyDescent="0.2">
      <c r="A54" s="859" t="s">
        <v>479</v>
      </c>
      <c r="B54" s="859" t="s">
        <v>1552</v>
      </c>
      <c r="C54" s="879" t="s">
        <v>1039</v>
      </c>
      <c r="D54" s="875" t="s">
        <v>1157</v>
      </c>
      <c r="E54" s="858"/>
      <c r="F54" s="1927">
        <f>'Expenditures 15-22'!G114</f>
        <v>248562</v>
      </c>
      <c r="G54" s="855"/>
    </row>
    <row r="55" spans="1:7" x14ac:dyDescent="0.2">
      <c r="A55" s="859" t="s">
        <v>479</v>
      </c>
      <c r="B55" s="859" t="s">
        <v>1553</v>
      </c>
      <c r="C55" s="879" t="s">
        <v>1039</v>
      </c>
      <c r="D55" s="875" t="s">
        <v>309</v>
      </c>
      <c r="E55" s="858"/>
      <c r="F55" s="1927">
        <f>'Expenditures 15-22'!I114</f>
        <v>527</v>
      </c>
      <c r="G55" s="855"/>
    </row>
    <row r="56" spans="1:7" x14ac:dyDescent="0.2">
      <c r="A56" s="859" t="s">
        <v>480</v>
      </c>
      <c r="B56" s="859" t="s">
        <v>1554</v>
      </c>
      <c r="C56" s="876" t="str">
        <f>'Expenditures 15-22'!B130</f>
        <v>3000</v>
      </c>
      <c r="D56" s="882" t="s">
        <v>469</v>
      </c>
      <c r="E56" s="858"/>
      <c r="F56" s="1927">
        <f>'Expenditures 15-22'!K130-SUM('Expenditures 15-22'!G130+'Expenditures 15-22'!I130)</f>
        <v>0</v>
      </c>
      <c r="G56" s="855"/>
    </row>
    <row r="57" spans="1:7" x14ac:dyDescent="0.2">
      <c r="A57" s="859" t="s">
        <v>480</v>
      </c>
      <c r="B57" s="859" t="s">
        <v>1994</v>
      </c>
      <c r="C57" s="879">
        <f>'Expenditures 15-22'!B139</f>
        <v>4000</v>
      </c>
      <c r="D57" s="877" t="str">
        <f>'Expenditures 15-22'!A139</f>
        <v>Total Payments to Other Govt Units</v>
      </c>
      <c r="E57" s="858"/>
      <c r="F57" s="1927">
        <f>'Expenditures 15-22'!K139</f>
        <v>0</v>
      </c>
      <c r="G57" s="855"/>
    </row>
    <row r="58" spans="1:7" x14ac:dyDescent="0.2">
      <c r="A58" s="859" t="s">
        <v>480</v>
      </c>
      <c r="B58" s="859" t="s">
        <v>1995</v>
      </c>
      <c r="C58" s="876" t="s">
        <v>1039</v>
      </c>
      <c r="D58" s="875" t="s">
        <v>1157</v>
      </c>
      <c r="E58" s="858"/>
      <c r="F58" s="1929">
        <f>'Expenditures 15-22'!G151</f>
        <v>12305</v>
      </c>
      <c r="G58" s="855"/>
    </row>
    <row r="59" spans="1:7" x14ac:dyDescent="0.2">
      <c r="A59" s="883" t="s">
        <v>480</v>
      </c>
      <c r="B59" s="846" t="s">
        <v>1996</v>
      </c>
      <c r="C59" s="884" t="s">
        <v>1039</v>
      </c>
      <c r="D59" s="846" t="s">
        <v>309</v>
      </c>
      <c r="F59" s="1930">
        <f>'Expenditures 15-22'!I151</f>
        <v>0</v>
      </c>
      <c r="G59" s="855"/>
    </row>
    <row r="60" spans="1:7" x14ac:dyDescent="0.2">
      <c r="A60" s="883" t="s">
        <v>520</v>
      </c>
      <c r="B60" s="846" t="s">
        <v>1997</v>
      </c>
      <c r="C60" s="884">
        <v>4000</v>
      </c>
      <c r="D60" s="846" t="s">
        <v>330</v>
      </c>
      <c r="F60" s="1928">
        <f>'Expenditures 15-22'!K160</f>
        <v>0</v>
      </c>
      <c r="G60" s="855"/>
    </row>
    <row r="61" spans="1:7" x14ac:dyDescent="0.2">
      <c r="A61" s="885" t="s">
        <v>520</v>
      </c>
      <c r="B61" s="885" t="s">
        <v>1998</v>
      </c>
      <c r="C61" s="886" t="str">
        <f>'Expenditures 15-22'!B170</f>
        <v>5300</v>
      </c>
      <c r="D61" s="887" t="s">
        <v>329</v>
      </c>
      <c r="E61" s="869"/>
      <c r="F61" s="1927">
        <f>'Expenditures 15-22'!K170</f>
        <v>1124616</v>
      </c>
      <c r="G61" s="855"/>
    </row>
    <row r="62" spans="1:7" x14ac:dyDescent="0.2">
      <c r="A62" s="859" t="s">
        <v>481</v>
      </c>
      <c r="B62" s="859" t="s">
        <v>1999</v>
      </c>
      <c r="C62" s="876">
        <f>'Expenditures 15-22'!B185</f>
        <v>3000</v>
      </c>
      <c r="D62" s="866" t="s">
        <v>469</v>
      </c>
      <c r="E62" s="858"/>
      <c r="F62" s="1927">
        <f>'Expenditures 15-22'!K185-SUM('Expenditures 15-22'!G185,'Expenditures 15-22'!I185)</f>
        <v>0</v>
      </c>
      <c r="G62" s="855"/>
    </row>
    <row r="63" spans="1:7" x14ac:dyDescent="0.2">
      <c r="A63" s="859" t="s">
        <v>481</v>
      </c>
      <c r="B63" s="859" t="s">
        <v>2000</v>
      </c>
      <c r="C63" s="876" t="str">
        <f>'Expenditures 15-22'!B196</f>
        <v>4000</v>
      </c>
      <c r="D63" s="877" t="str">
        <f>'Expenditures 15-22'!A196</f>
        <v>Total Payments to Other Govt Units</v>
      </c>
      <c r="E63" s="858"/>
      <c r="F63" s="1927">
        <f>'Expenditures 15-22'!K196</f>
        <v>0</v>
      </c>
      <c r="G63" s="855"/>
    </row>
    <row r="64" spans="1:7" x14ac:dyDescent="0.2">
      <c r="A64" s="885" t="s">
        <v>481</v>
      </c>
      <c r="B64" s="885" t="s">
        <v>2001</v>
      </c>
      <c r="C64" s="886" t="str">
        <f>'Expenditures 15-22'!B206</f>
        <v>5300</v>
      </c>
      <c r="D64" s="882" t="s">
        <v>329</v>
      </c>
      <c r="E64" s="858"/>
      <c r="F64" s="1927">
        <f>'Expenditures 15-22'!K206</f>
        <v>0</v>
      </c>
      <c r="G64" s="855"/>
    </row>
    <row r="65" spans="1:8" x14ac:dyDescent="0.2">
      <c r="A65" s="859" t="s">
        <v>481</v>
      </c>
      <c r="B65" s="859" t="s">
        <v>2002</v>
      </c>
      <c r="C65" s="876" t="s">
        <v>1039</v>
      </c>
      <c r="D65" s="875" t="s">
        <v>1157</v>
      </c>
      <c r="E65" s="858"/>
      <c r="F65" s="1927">
        <f>'Expenditures 15-22'!G210</f>
        <v>0</v>
      </c>
      <c r="G65" s="855"/>
    </row>
    <row r="66" spans="1:8" x14ac:dyDescent="0.2">
      <c r="A66" s="859" t="s">
        <v>481</v>
      </c>
      <c r="B66" s="859" t="s">
        <v>2003</v>
      </c>
      <c r="C66" s="876" t="s">
        <v>1039</v>
      </c>
      <c r="D66" s="875" t="s">
        <v>309</v>
      </c>
      <c r="E66" s="858"/>
      <c r="F66" s="1927">
        <f>'Expenditures 15-22'!I210</f>
        <v>0</v>
      </c>
      <c r="G66" s="855"/>
    </row>
    <row r="67" spans="1:8" x14ac:dyDescent="0.2">
      <c r="A67" s="859" t="s">
        <v>482</v>
      </c>
      <c r="B67" s="859" t="s">
        <v>2004</v>
      </c>
      <c r="C67" s="876" t="str">
        <f>'Expenditures 15-22'!B216</f>
        <v>1125</v>
      </c>
      <c r="D67" s="882" t="str">
        <f>'Expenditures 15-22'!A216</f>
        <v>Pre-K Programs</v>
      </c>
      <c r="E67" s="858"/>
      <c r="F67" s="1927">
        <f>'Expenditures 15-22'!K216</f>
        <v>0</v>
      </c>
      <c r="G67" s="855"/>
    </row>
    <row r="68" spans="1:8" x14ac:dyDescent="0.2">
      <c r="A68" s="859" t="s">
        <v>482</v>
      </c>
      <c r="B68" s="859" t="s">
        <v>1555</v>
      </c>
      <c r="C68" s="876" t="str">
        <f>'Expenditures 15-22'!B218</f>
        <v>1225</v>
      </c>
      <c r="D68" s="882" t="str">
        <f>'Expenditures 15-22'!A218</f>
        <v>Special Education Programs - Pre-K</v>
      </c>
      <c r="E68" s="858"/>
      <c r="F68" s="1927">
        <f>'Expenditures 15-22'!K218</f>
        <v>0</v>
      </c>
      <c r="G68" s="855"/>
    </row>
    <row r="69" spans="1:8" x14ac:dyDescent="0.2">
      <c r="A69" s="859" t="s">
        <v>482</v>
      </c>
      <c r="B69" s="859" t="s">
        <v>2005</v>
      </c>
      <c r="C69" s="876" t="str">
        <f>'Expenditures 15-22'!B220</f>
        <v>1275</v>
      </c>
      <c r="D69" s="882" t="str">
        <f>'Expenditures 15-22'!A220</f>
        <v>Remedial and Supplemental Programs - Pre-K</v>
      </c>
      <c r="E69" s="858"/>
      <c r="F69" s="1927">
        <f>'Expenditures 15-22'!K220</f>
        <v>0</v>
      </c>
      <c r="G69" s="855"/>
    </row>
    <row r="70" spans="1:8" x14ac:dyDescent="0.2">
      <c r="A70" s="859" t="s">
        <v>482</v>
      </c>
      <c r="B70" s="859" t="s">
        <v>2006</v>
      </c>
      <c r="C70" s="876">
        <f>'Expenditures 15-22'!B221</f>
        <v>1300</v>
      </c>
      <c r="D70" s="877" t="str">
        <f>'Expenditures 15-22'!A221</f>
        <v>Adult/Continuing Education Programs</v>
      </c>
      <c r="E70" s="858"/>
      <c r="F70" s="1927">
        <f>'Expenditures 15-22'!K221</f>
        <v>0</v>
      </c>
      <c r="G70" s="855"/>
    </row>
    <row r="71" spans="1:8" x14ac:dyDescent="0.2">
      <c r="A71" s="859" t="s">
        <v>482</v>
      </c>
      <c r="B71" s="859" t="s">
        <v>2007</v>
      </c>
      <c r="C71" s="876">
        <f>'Expenditures 15-22'!B224</f>
        <v>1600</v>
      </c>
      <c r="D71" s="877" t="str">
        <f>'Expenditures 15-22'!A224</f>
        <v>Summer School Programs</v>
      </c>
      <c r="E71" s="858"/>
      <c r="F71" s="1927">
        <f>'Expenditures 15-22'!K224</f>
        <v>321</v>
      </c>
      <c r="G71" s="855"/>
    </row>
    <row r="72" spans="1:8" x14ac:dyDescent="0.2">
      <c r="A72" s="859" t="s">
        <v>482</v>
      </c>
      <c r="B72" s="859" t="s">
        <v>2008</v>
      </c>
      <c r="C72" s="876">
        <f>'Expenditures 15-22'!B280</f>
        <v>3000</v>
      </c>
      <c r="D72" s="866" t="s">
        <v>469</v>
      </c>
      <c r="E72" s="858"/>
      <c r="F72" s="1927">
        <f>'Expenditures 15-22'!K280</f>
        <v>0</v>
      </c>
      <c r="G72" s="855"/>
    </row>
    <row r="73" spans="1:8" x14ac:dyDescent="0.2">
      <c r="A73" s="859" t="s">
        <v>482</v>
      </c>
      <c r="B73" s="859" t="s">
        <v>2009</v>
      </c>
      <c r="C73" s="876" t="str">
        <f>'Expenditures 15-22'!B285</f>
        <v>4000</v>
      </c>
      <c r="D73" s="877" t="str">
        <f>'Expenditures 15-22'!A285</f>
        <v>Total Payments to Other Govt Units</v>
      </c>
      <c r="E73" s="858"/>
      <c r="F73" s="1927">
        <f>'Expenditures 15-22'!K285</f>
        <v>0</v>
      </c>
      <c r="G73" s="855"/>
    </row>
    <row r="74" spans="1:8" x14ac:dyDescent="0.2">
      <c r="A74" s="859" t="s">
        <v>456</v>
      </c>
      <c r="B74" s="859" t="s">
        <v>2010</v>
      </c>
      <c r="C74" s="876" t="s">
        <v>915</v>
      </c>
      <c r="D74" s="877" t="s">
        <v>1567</v>
      </c>
      <c r="E74" s="858"/>
      <c r="F74" s="1931">
        <f>'Expenditures 15-22'!K334</f>
        <v>0</v>
      </c>
      <c r="G74" s="855"/>
    </row>
    <row r="75" spans="1:8" ht="5.25" customHeight="1" x14ac:dyDescent="0.2">
      <c r="A75" s="855"/>
      <c r="B75" s="865"/>
      <c r="C75" s="865"/>
      <c r="D75" s="855"/>
      <c r="E75" s="858"/>
      <c r="F75" s="872"/>
      <c r="G75" s="857"/>
    </row>
    <row r="76" spans="1:8" ht="12" thickBot="1" x14ac:dyDescent="0.25">
      <c r="A76" s="1781"/>
      <c r="B76" s="1787"/>
      <c r="C76" s="1783"/>
      <c r="D76" s="1788" t="s">
        <v>2011</v>
      </c>
      <c r="E76" s="1785" t="s">
        <v>1015</v>
      </c>
      <c r="F76" s="1789">
        <f>SUM(F18:F74)</f>
        <v>1797396</v>
      </c>
      <c r="G76" s="855"/>
    </row>
    <row r="77" spans="1:8" s="883" customFormat="1" ht="12" customHeight="1" thickTop="1" thickBot="1" x14ac:dyDescent="0.25">
      <c r="A77" s="1790"/>
      <c r="B77" s="1787"/>
      <c r="C77" s="1783"/>
      <c r="D77" s="1788" t="s">
        <v>2012</v>
      </c>
      <c r="E77" s="1785"/>
      <c r="F77" s="1791">
        <f>(F14-F76)</f>
        <v>9829785</v>
      </c>
      <c r="G77" s="859"/>
    </row>
    <row r="78" spans="1:8" s="883" customFormat="1" ht="12" customHeight="1" thickTop="1" x14ac:dyDescent="0.2">
      <c r="A78" s="1792"/>
      <c r="B78" s="1787"/>
      <c r="C78" s="1783"/>
      <c r="D78" s="1788" t="s">
        <v>2059</v>
      </c>
      <c r="E78" s="1785"/>
      <c r="F78" s="888">
        <v>587.24</v>
      </c>
      <c r="G78" s="889"/>
      <c r="H78" s="859"/>
    </row>
    <row r="79" spans="1:8" s="883" customFormat="1" ht="12" customHeight="1" thickBot="1" x14ac:dyDescent="0.25">
      <c r="A79" s="1793"/>
      <c r="B79" s="1787"/>
      <c r="C79" s="1783"/>
      <c r="D79" s="1788" t="s">
        <v>2013</v>
      </c>
      <c r="E79" s="1785" t="s">
        <v>1015</v>
      </c>
      <c r="F79" s="1794">
        <f>IF(F78&gt;0,F77/F78," Complete Line 78")</f>
        <v>16738.956814930862</v>
      </c>
      <c r="G79" s="859"/>
    </row>
    <row r="80" spans="1:8" s="883" customFormat="1" ht="8.25" customHeight="1" thickTop="1" x14ac:dyDescent="0.2">
      <c r="A80" s="890"/>
      <c r="B80" s="859"/>
      <c r="C80" s="861"/>
      <c r="D80" s="891"/>
      <c r="E80" s="858"/>
      <c r="F80" s="892"/>
      <c r="G80" s="859"/>
    </row>
    <row r="81" spans="1:7" s="883" customFormat="1" ht="12" thickBot="1" x14ac:dyDescent="0.25">
      <c r="A81" s="2263" t="s">
        <v>1167</v>
      </c>
      <c r="B81" s="2264"/>
      <c r="C81" s="2264"/>
      <c r="D81" s="2264"/>
      <c r="E81" s="2264"/>
      <c r="F81" s="2265"/>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21">
        <f>'Revenues 9-14'!F42</f>
        <v>5978</v>
      </c>
      <c r="G84" s="902"/>
    </row>
    <row r="85" spans="1:7" x14ac:dyDescent="0.2">
      <c r="A85" s="898" t="s">
        <v>481</v>
      </c>
      <c r="B85" s="898" t="s">
        <v>192</v>
      </c>
      <c r="C85" s="903">
        <f>'Revenues 9-14'!B44</f>
        <v>1413</v>
      </c>
      <c r="D85" s="901" t="str">
        <f>'Revenues 9-14'!A44</f>
        <v>Regular - Transp Fees from Other Sources (In State)</v>
      </c>
      <c r="E85" s="896"/>
      <c r="F85" s="1800">
        <f>'Revenues 9-14'!F44</f>
        <v>0</v>
      </c>
      <c r="G85" s="904"/>
    </row>
    <row r="86" spans="1:7" x14ac:dyDescent="0.2">
      <c r="A86" s="898" t="s">
        <v>481</v>
      </c>
      <c r="B86" s="898" t="s">
        <v>168</v>
      </c>
      <c r="C86" s="900">
        <f>'Revenues 9-14'!B45</f>
        <v>1415</v>
      </c>
      <c r="D86" s="901" t="str">
        <f>'Revenues 9-14'!A45</f>
        <v>Regular - Transp Fees from Co-curricular Activities (In State)</v>
      </c>
      <c r="E86" s="896"/>
      <c r="F86" s="1800">
        <f>'Revenues 9-14'!F45</f>
        <v>0</v>
      </c>
      <c r="G86" s="904"/>
    </row>
    <row r="87" spans="1:7" x14ac:dyDescent="0.2">
      <c r="A87" s="898" t="s">
        <v>481</v>
      </c>
      <c r="B87" s="898" t="s">
        <v>169</v>
      </c>
      <c r="C87" s="900">
        <v>1416</v>
      </c>
      <c r="D87" s="901" t="str">
        <f>'Revenues 9-14'!A46</f>
        <v>Regular Transp Fees from Other Sources (Out of State)</v>
      </c>
      <c r="E87" s="896"/>
      <c r="F87" s="1800">
        <f>'Revenues 9-14'!F46</f>
        <v>0</v>
      </c>
      <c r="G87" s="904"/>
    </row>
    <row r="88" spans="1:7" x14ac:dyDescent="0.2">
      <c r="A88" s="898" t="s">
        <v>481</v>
      </c>
      <c r="B88" s="898" t="s">
        <v>170</v>
      </c>
      <c r="C88" s="900">
        <f>'Revenues 9-14'!B51</f>
        <v>1431</v>
      </c>
      <c r="D88" s="901" t="str">
        <f>'Revenues 9-14'!A51</f>
        <v>CTE - Transp Fees from Pupils or Parents (In State)</v>
      </c>
      <c r="E88" s="896"/>
      <c r="F88" s="1800">
        <f>'Revenues 9-14'!F51</f>
        <v>0</v>
      </c>
      <c r="G88" s="904"/>
    </row>
    <row r="89" spans="1:7" x14ac:dyDescent="0.2">
      <c r="A89" s="898" t="s">
        <v>481</v>
      </c>
      <c r="B89" s="898" t="s">
        <v>171</v>
      </c>
      <c r="C89" s="900">
        <f>'Revenues 9-14'!B53</f>
        <v>1433</v>
      </c>
      <c r="D89" s="901" t="str">
        <f>'Revenues 9-14'!A53</f>
        <v>CTE - Transp Fees from Other Sources (In State)</v>
      </c>
      <c r="E89" s="896"/>
      <c r="F89" s="1800">
        <f>'Revenues 9-14'!F53</f>
        <v>0</v>
      </c>
      <c r="G89" s="904"/>
    </row>
    <row r="90" spans="1:7" x14ac:dyDescent="0.2">
      <c r="A90" s="898" t="s">
        <v>481</v>
      </c>
      <c r="B90" s="898" t="s">
        <v>172</v>
      </c>
      <c r="C90" s="900">
        <f>'Revenues 9-14'!B54</f>
        <v>1434</v>
      </c>
      <c r="D90" s="901" t="str">
        <f>'Revenues 9-14'!A54</f>
        <v>CTE - Transp Fees from Other Sources (Out of State)</v>
      </c>
      <c r="E90" s="896"/>
      <c r="F90" s="1800">
        <f>'Revenues 9-14'!F54</f>
        <v>0</v>
      </c>
      <c r="G90" s="904"/>
    </row>
    <row r="91" spans="1:7" x14ac:dyDescent="0.2">
      <c r="A91" s="898" t="s">
        <v>481</v>
      </c>
      <c r="B91" s="898" t="s">
        <v>173</v>
      </c>
      <c r="C91" s="905">
        <f>'Revenues 9-14'!B55</f>
        <v>1441</v>
      </c>
      <c r="D91" s="901" t="str">
        <f>'Revenues 9-14'!A55</f>
        <v>Special Ed - Transp Fees from Pupils or Parents (In State)</v>
      </c>
      <c r="E91" s="896"/>
      <c r="F91" s="1800">
        <f>'Revenues 9-14'!F55</f>
        <v>0</v>
      </c>
      <c r="G91" s="904"/>
    </row>
    <row r="92" spans="1:7" x14ac:dyDescent="0.2">
      <c r="A92" s="898" t="s">
        <v>481</v>
      </c>
      <c r="B92" s="898" t="s">
        <v>174</v>
      </c>
      <c r="C92" s="900">
        <f>'Revenues 9-14'!B57</f>
        <v>1443</v>
      </c>
      <c r="D92" s="901" t="str">
        <f>'Revenues 9-14'!A57</f>
        <v>Special Ed - Transp Fees from Other Sources (In State)</v>
      </c>
      <c r="E92" s="896"/>
      <c r="F92" s="1800">
        <f>'Revenues 9-14'!F57</f>
        <v>0</v>
      </c>
      <c r="G92" s="906"/>
    </row>
    <row r="93" spans="1:7" x14ac:dyDescent="0.2">
      <c r="A93" s="898" t="s">
        <v>481</v>
      </c>
      <c r="B93" s="898" t="s">
        <v>175</v>
      </c>
      <c r="C93" s="900">
        <f>'Revenues 9-14'!B58</f>
        <v>1444</v>
      </c>
      <c r="D93" s="901" t="str">
        <f>'Revenues 9-14'!A58</f>
        <v>Special Ed - Transp Fees from Other Sources (Out of State)</v>
      </c>
      <c r="E93" s="896"/>
      <c r="F93" s="1800">
        <f>'Revenues 9-14'!F58</f>
        <v>0</v>
      </c>
      <c r="G93" s="906"/>
    </row>
    <row r="94" spans="1:7" x14ac:dyDescent="0.2">
      <c r="A94" s="898" t="s">
        <v>479</v>
      </c>
      <c r="B94" s="898" t="s">
        <v>176</v>
      </c>
      <c r="C94" s="900">
        <v>1600</v>
      </c>
      <c r="D94" s="907" t="str">
        <f>'Revenues 9-14'!A75</f>
        <v>Total Food Service</v>
      </c>
      <c r="E94" s="896"/>
      <c r="F94" s="1800">
        <f>'Revenues 9-14'!C75</f>
        <v>52213</v>
      </c>
      <c r="G94" s="902"/>
    </row>
    <row r="95" spans="1:7" x14ac:dyDescent="0.2">
      <c r="A95" s="898" t="s">
        <v>142</v>
      </c>
      <c r="B95" s="898" t="s">
        <v>177</v>
      </c>
      <c r="C95" s="900">
        <v>1700</v>
      </c>
      <c r="D95" s="908" t="str">
        <f>'Revenues 9-14'!A82</f>
        <v>Total District/School Activity Income</v>
      </c>
      <c r="E95" s="896"/>
      <c r="F95" s="1800">
        <f>SUM('Revenues 9-14'!C82,'Revenues 9-14'!D82)</f>
        <v>27845</v>
      </c>
      <c r="G95" s="902"/>
    </row>
    <row r="96" spans="1:7" x14ac:dyDescent="0.2">
      <c r="A96" s="898" t="s">
        <v>479</v>
      </c>
      <c r="B96" s="898" t="s">
        <v>178</v>
      </c>
      <c r="C96" s="900">
        <f>'Revenues 9-14'!B84</f>
        <v>1811</v>
      </c>
      <c r="D96" s="901" t="str">
        <f>'Revenues 9-14'!A84</f>
        <v>Rentals - Regular Textbooks</v>
      </c>
      <c r="E96" s="896"/>
      <c r="F96" s="1800">
        <f>'Revenues 9-14'!C84</f>
        <v>50954</v>
      </c>
      <c r="G96" s="902"/>
    </row>
    <row r="97" spans="1:7" x14ac:dyDescent="0.2">
      <c r="A97" s="898" t="s">
        <v>479</v>
      </c>
      <c r="B97" s="898" t="s">
        <v>179</v>
      </c>
      <c r="C97" s="900">
        <f>'Revenues 9-14'!B87</f>
        <v>1819</v>
      </c>
      <c r="D97" s="901" t="str">
        <f>'Revenues 9-14'!A87</f>
        <v>Rentals - Other (Describe &amp; Itemize)</v>
      </c>
      <c r="E97" s="896"/>
      <c r="F97" s="1800">
        <f>'Revenues 9-14'!C87</f>
        <v>0</v>
      </c>
      <c r="G97" s="902"/>
    </row>
    <row r="98" spans="1:7" x14ac:dyDescent="0.2">
      <c r="A98" s="898" t="s">
        <v>479</v>
      </c>
      <c r="B98" s="898" t="s">
        <v>180</v>
      </c>
      <c r="C98" s="900">
        <f>'Revenues 9-14'!B88</f>
        <v>1821</v>
      </c>
      <c r="D98" s="901" t="str">
        <f>'Revenues 9-14'!A88</f>
        <v>Sales - Regular Textbooks</v>
      </c>
      <c r="E98" s="896"/>
      <c r="F98" s="1800">
        <f>'Revenues 9-14'!C88</f>
        <v>0</v>
      </c>
      <c r="G98" s="902"/>
    </row>
    <row r="99" spans="1:7" x14ac:dyDescent="0.2">
      <c r="A99" s="898" t="s">
        <v>479</v>
      </c>
      <c r="B99" s="898" t="s">
        <v>181</v>
      </c>
      <c r="C99" s="900">
        <f>'Revenues 9-14'!B91</f>
        <v>1829</v>
      </c>
      <c r="D99" s="901" t="str">
        <f>'Revenues 9-14'!A91</f>
        <v>Sales - Other (Describe &amp; Itemize)</v>
      </c>
      <c r="E99" s="896"/>
      <c r="F99" s="1800">
        <f>'Revenues 9-14'!C91</f>
        <v>0</v>
      </c>
      <c r="G99" s="902"/>
    </row>
    <row r="100" spans="1:7" x14ac:dyDescent="0.2">
      <c r="A100" s="898" t="s">
        <v>479</v>
      </c>
      <c r="B100" s="898" t="s">
        <v>182</v>
      </c>
      <c r="C100" s="900">
        <f>'Revenues 9-14'!B92</f>
        <v>1890</v>
      </c>
      <c r="D100" s="901" t="str">
        <f>'Revenues 9-14'!A92</f>
        <v>Other (Describe &amp; Itemize)</v>
      </c>
      <c r="E100" s="896"/>
      <c r="F100" s="1800">
        <f>'Revenues 9-14'!C92</f>
        <v>0</v>
      </c>
      <c r="G100" s="902"/>
    </row>
    <row r="101" spans="1:7" x14ac:dyDescent="0.2">
      <c r="A101" s="898" t="s">
        <v>142</v>
      </c>
      <c r="B101" s="898" t="s">
        <v>183</v>
      </c>
      <c r="C101" s="900">
        <f>'Revenues 9-14'!B95</f>
        <v>1910</v>
      </c>
      <c r="D101" s="901" t="str">
        <f>'Revenues 9-14'!A95</f>
        <v>Rentals</v>
      </c>
      <c r="E101" s="896"/>
      <c r="F101" s="1800">
        <f>SUM('Revenues 9-14'!C95:D95)</f>
        <v>61198</v>
      </c>
      <c r="G101" s="902"/>
    </row>
    <row r="102" spans="1:7" x14ac:dyDescent="0.2">
      <c r="A102" s="898" t="s">
        <v>524</v>
      </c>
      <c r="B102" s="898" t="s">
        <v>184</v>
      </c>
      <c r="C102" s="900">
        <f>'Revenues 9-14'!B98</f>
        <v>1940</v>
      </c>
      <c r="D102" s="901" t="str">
        <f>'Revenues 9-14'!A98</f>
        <v>Services Provided Other Districts</v>
      </c>
      <c r="E102" s="896"/>
      <c r="F102" s="1800">
        <f>SUM('Revenues 9-14'!C98,'Revenues 9-14'!D98,'Revenues 9-14'!F98)</f>
        <v>0</v>
      </c>
      <c r="G102" s="902"/>
    </row>
    <row r="103" spans="1:7" x14ac:dyDescent="0.2">
      <c r="A103" s="898" t="s">
        <v>1066</v>
      </c>
      <c r="B103" s="898" t="s">
        <v>834</v>
      </c>
      <c r="C103" s="900">
        <f>'Revenues 9-14'!B104</f>
        <v>1991</v>
      </c>
      <c r="D103" s="909" t="str">
        <f>'Revenues 9-14'!A104</f>
        <v>Payment from Other Districts</v>
      </c>
      <c r="E103" s="896"/>
      <c r="F103" s="1800">
        <f>SUM('Revenues 9-14'!C104,'Revenues 9-14'!D104,'Revenues 9-14'!E104,'Revenues 9-14'!F104,'Revenues 9-14'!G104)</f>
        <v>0</v>
      </c>
      <c r="G103" s="902"/>
    </row>
    <row r="104" spans="1:7" x14ac:dyDescent="0.2">
      <c r="A104" s="898" t="s">
        <v>479</v>
      </c>
      <c r="B104" s="898" t="s">
        <v>841</v>
      </c>
      <c r="C104" s="900">
        <f>'Revenues 9-14'!B106</f>
        <v>1993</v>
      </c>
      <c r="D104" s="901" t="str">
        <f>'Revenues 9-14'!A106</f>
        <v>Other Local Fees (Describe &amp; Itemize)</v>
      </c>
      <c r="E104" s="896"/>
      <c r="F104" s="1800">
        <f>('Revenues 9-14'!C106)</f>
        <v>38837</v>
      </c>
      <c r="G104" s="902"/>
    </row>
    <row r="105" spans="1:7" x14ac:dyDescent="0.2">
      <c r="A105" s="898" t="s">
        <v>524</v>
      </c>
      <c r="B105" s="898" t="s">
        <v>842</v>
      </c>
      <c r="C105" s="903">
        <v>3100</v>
      </c>
      <c r="D105" s="909" t="str">
        <f>'Revenues 9-14'!A131</f>
        <v>Total Special Education</v>
      </c>
      <c r="E105" s="896"/>
      <c r="F105" s="1800">
        <f>SUM('Revenues 9-14'!C131:D131,'Revenues 9-14'!F131)</f>
        <v>172526</v>
      </c>
      <c r="G105" s="902"/>
    </row>
    <row r="106" spans="1:7" x14ac:dyDescent="0.2">
      <c r="A106" s="898" t="s">
        <v>694</v>
      </c>
      <c r="B106" s="898" t="s">
        <v>1483</v>
      </c>
      <c r="C106" s="910">
        <v>3200</v>
      </c>
      <c r="D106" s="901" t="str">
        <f>'Revenues 9-14'!A140</f>
        <v>Total Career and Technical Education</v>
      </c>
      <c r="E106" s="896"/>
      <c r="F106" s="1800">
        <f>SUM('Revenues 9-14'!C140,'Revenues 9-14'!D140,'Revenues 9-14'!G140)</f>
        <v>0</v>
      </c>
      <c r="G106" s="902"/>
    </row>
    <row r="107" spans="1:7" x14ac:dyDescent="0.2">
      <c r="A107" s="911" t="s">
        <v>685</v>
      </c>
      <c r="B107" s="898" t="s">
        <v>843</v>
      </c>
      <c r="C107" s="910">
        <v>3300</v>
      </c>
      <c r="D107" s="901" t="str">
        <f>'Revenues 9-14'!A144</f>
        <v>Total Bilingual Ed</v>
      </c>
      <c r="E107" s="896"/>
      <c r="F107" s="1800">
        <f>SUM('Revenues 9-14'!C144,'Revenues 9-14'!G144)</f>
        <v>10197</v>
      </c>
      <c r="G107" s="902"/>
    </row>
    <row r="108" spans="1:7" x14ac:dyDescent="0.2">
      <c r="A108" s="898" t="s">
        <v>479</v>
      </c>
      <c r="B108" s="898" t="s">
        <v>844</v>
      </c>
      <c r="C108" s="910">
        <f>'Revenues 9-14'!B145</f>
        <v>3360</v>
      </c>
      <c r="D108" s="901" t="str">
        <f>'Revenues 9-14'!A145</f>
        <v>State Free Lunch &amp; Breakfast</v>
      </c>
      <c r="E108" s="896"/>
      <c r="F108" s="1800">
        <f>'Revenues 9-14'!C145</f>
        <v>0</v>
      </c>
      <c r="G108" s="902"/>
    </row>
    <row r="109" spans="1:7" x14ac:dyDescent="0.2">
      <c r="A109" s="898" t="s">
        <v>694</v>
      </c>
      <c r="B109" s="898" t="s">
        <v>845</v>
      </c>
      <c r="C109" s="910">
        <f>'Revenues 9-14'!B146</f>
        <v>3365</v>
      </c>
      <c r="D109" s="901" t="str">
        <f>'Revenues 9-14'!A146</f>
        <v>School Breakfast Initiative</v>
      </c>
      <c r="E109" s="896"/>
      <c r="F109" s="1800">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800">
        <f>SUM('Revenues 9-14'!C147,'Revenues 9-14'!D147)</f>
        <v>0</v>
      </c>
      <c r="G110" s="902"/>
    </row>
    <row r="111" spans="1:7" x14ac:dyDescent="0.2">
      <c r="A111" s="898" t="s">
        <v>689</v>
      </c>
      <c r="B111" s="898" t="s">
        <v>802</v>
      </c>
      <c r="C111" s="912">
        <v>3500</v>
      </c>
      <c r="D111" s="901" t="str">
        <f>'Revenues 9-14'!A154</f>
        <v>Total Transportation</v>
      </c>
      <c r="E111" s="896"/>
      <c r="F111" s="1800">
        <f>SUM('Revenues 9-14'!C154,'Revenues 9-14'!D154,'Revenues 9-14'!F154,'Revenues 9-14'!G154)</f>
        <v>235823</v>
      </c>
      <c r="G111" s="902"/>
    </row>
    <row r="112" spans="1:7" x14ac:dyDescent="0.2">
      <c r="A112" s="898" t="s">
        <v>479</v>
      </c>
      <c r="B112" s="898" t="s">
        <v>847</v>
      </c>
      <c r="C112" s="910">
        <f>'Revenues 9-14'!B155</f>
        <v>3610</v>
      </c>
      <c r="D112" s="901" t="str">
        <f>'Revenues 9-14'!A155</f>
        <v>Learning Improvement - Change Grants</v>
      </c>
      <c r="E112" s="896"/>
      <c r="F112" s="1800">
        <f>'Revenues 9-14'!C155</f>
        <v>0</v>
      </c>
      <c r="G112" s="902"/>
    </row>
    <row r="113" spans="1:7" x14ac:dyDescent="0.2">
      <c r="A113" s="898" t="s">
        <v>689</v>
      </c>
      <c r="B113" s="898" t="s">
        <v>848</v>
      </c>
      <c r="C113" s="910">
        <f>'Revenues 9-14'!B156</f>
        <v>3660</v>
      </c>
      <c r="D113" s="901" t="str">
        <f>'Revenues 9-14'!A156</f>
        <v>Scientific Literacy</v>
      </c>
      <c r="E113" s="896"/>
      <c r="F113" s="1800">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800">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800">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800">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800">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20">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800">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800">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21">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21">
        <f>SUM('Revenues 9-14'!C166:G166)</f>
        <v>0</v>
      </c>
      <c r="G122" s="902"/>
    </row>
    <row r="123" spans="1:7" x14ac:dyDescent="0.2">
      <c r="A123" s="913" t="s">
        <v>525</v>
      </c>
      <c r="B123" s="913" t="s">
        <v>853</v>
      </c>
      <c r="C123" s="914">
        <f>'Revenues 9-14'!B167</f>
        <v>3815</v>
      </c>
      <c r="D123" s="915" t="str">
        <f>'Revenues 9-14'!A167</f>
        <v>State Charter Schools</v>
      </c>
      <c r="E123" s="896"/>
      <c r="F123" s="1921">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800">
        <f>'Revenues 9-14'!D170</f>
        <v>0</v>
      </c>
      <c r="G124" s="920"/>
    </row>
    <row r="125" spans="1:7" x14ac:dyDescent="0.2">
      <c r="A125" s="917" t="s">
        <v>521</v>
      </c>
      <c r="B125" s="917" t="s">
        <v>855</v>
      </c>
      <c r="C125" s="918">
        <f>'Revenues 9-14'!B171</f>
        <v>3999</v>
      </c>
      <c r="D125" s="919" t="s">
        <v>564</v>
      </c>
      <c r="E125" s="921"/>
      <c r="F125" s="1800">
        <f>SUM('Revenues 9-14'!C171:G171,'Revenues 9-14'!J171)</f>
        <v>750</v>
      </c>
      <c r="G125" s="920"/>
    </row>
    <row r="126" spans="1:7" x14ac:dyDescent="0.2">
      <c r="A126" s="917" t="s">
        <v>479</v>
      </c>
      <c r="B126" s="917" t="s">
        <v>856</v>
      </c>
      <c r="C126" s="922">
        <f>'Revenues 9-14'!B180</f>
        <v>4045</v>
      </c>
      <c r="D126" s="919" t="str">
        <f>'Revenues 9-14'!A180 &amp; " (Subtract)"</f>
        <v>Head Start (Subtract)</v>
      </c>
      <c r="E126" s="896"/>
      <c r="F126" s="1800">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800">
        <f>SUM('Revenues 9-14'!C184,'Revenues 9-14'!D184,'Revenues 9-14'!F184,'Revenues 9-14'!G184)</f>
        <v>0</v>
      </c>
      <c r="G127" s="920"/>
    </row>
    <row r="128" spans="1:7" x14ac:dyDescent="0.2">
      <c r="A128" s="917" t="s">
        <v>689</v>
      </c>
      <c r="B128" s="917" t="s">
        <v>858</v>
      </c>
      <c r="C128" s="922">
        <v>4100</v>
      </c>
      <c r="D128" s="923" t="str">
        <f>'Revenues 9-14'!A191</f>
        <v>Total Title V</v>
      </c>
      <c r="E128" s="896"/>
      <c r="F128" s="1800">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800">
        <f>SUM('Revenues 9-14'!C201,'Revenues 9-14'!G201)</f>
        <v>9663</v>
      </c>
      <c r="G129" s="920"/>
    </row>
    <row r="130" spans="1:7" x14ac:dyDescent="0.2">
      <c r="A130" s="917" t="s">
        <v>689</v>
      </c>
      <c r="B130" s="917" t="s">
        <v>804</v>
      </c>
      <c r="C130" s="922">
        <v>4300</v>
      </c>
      <c r="D130" s="923" t="str">
        <f>'Revenues 9-14'!A211</f>
        <v>Total Title I</v>
      </c>
      <c r="E130" s="896"/>
      <c r="F130" s="1800">
        <f>SUM('Revenues 9-14'!C211,'Revenues 9-14'!D211,'Revenues 9-14'!F211,'Revenues 9-14'!G211)</f>
        <v>40486</v>
      </c>
      <c r="G130" s="920"/>
    </row>
    <row r="131" spans="1:7" x14ac:dyDescent="0.2">
      <c r="A131" s="917" t="s">
        <v>689</v>
      </c>
      <c r="B131" s="917" t="s">
        <v>805</v>
      </c>
      <c r="C131" s="922">
        <v>4400</v>
      </c>
      <c r="D131" s="923" t="str">
        <f>'Revenues 9-14'!A216</f>
        <v>Total Title IV</v>
      </c>
      <c r="E131" s="896"/>
      <c r="F131" s="1800">
        <f>SUM('Revenues 9-14'!C216,'Revenues 9-14'!D216,'Revenues 9-14'!F216,'Revenues 9-14'!G216)</f>
        <v>8362</v>
      </c>
      <c r="G131" s="920"/>
    </row>
    <row r="132" spans="1:7" x14ac:dyDescent="0.2">
      <c r="A132" s="917" t="s">
        <v>689</v>
      </c>
      <c r="B132" s="917" t="s">
        <v>190</v>
      </c>
      <c r="C132" s="922">
        <f>'Revenues 9-14'!B220</f>
        <v>4620</v>
      </c>
      <c r="D132" s="923" t="str">
        <f>'Revenues 9-14'!A220</f>
        <v>Fed - Spec Education - IDEA - Flow Through</v>
      </c>
      <c r="E132" s="896"/>
      <c r="F132" s="1800">
        <f>SUM('Revenues 9-14'!C220:D220,'Revenues 9-14'!F220:G220)</f>
        <v>259252</v>
      </c>
      <c r="G132" s="920"/>
    </row>
    <row r="133" spans="1:7" x14ac:dyDescent="0.2">
      <c r="A133" s="917" t="s">
        <v>689</v>
      </c>
      <c r="B133" s="917" t="s">
        <v>191</v>
      </c>
      <c r="C133" s="922">
        <f>'Revenues 9-14'!B221</f>
        <v>4625</v>
      </c>
      <c r="D133" s="923" t="str">
        <f>'Revenues 9-14'!A221</f>
        <v>Fed - Spec Education - IDEA - Room &amp; Board</v>
      </c>
      <c r="E133" s="896"/>
      <c r="F133" s="1800">
        <f>SUM('Revenues 9-14'!C221,'Revenues 9-14'!D221,'Revenues 9-14'!F221,'Revenues 9-14'!G221)</f>
        <v>1839</v>
      </c>
      <c r="G133" s="920"/>
    </row>
    <row r="134" spans="1:7" x14ac:dyDescent="0.2">
      <c r="A134" s="917" t="s">
        <v>689</v>
      </c>
      <c r="B134" s="917" t="s">
        <v>859</v>
      </c>
      <c r="C134" s="922">
        <f>'Revenues 9-14'!B222</f>
        <v>4630</v>
      </c>
      <c r="D134" s="923" t="str">
        <f>'Revenues 9-14'!A222</f>
        <v>Fed - Spec Education - IDEA - Discretionary</v>
      </c>
      <c r="E134" s="896"/>
      <c r="F134" s="1800">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800">
        <f>SUM('Revenues 9-14'!C223:D223,'Revenues 9-14'!F223:G223)</f>
        <v>0</v>
      </c>
      <c r="G135" s="920"/>
    </row>
    <row r="136" spans="1:7" x14ac:dyDescent="0.2">
      <c r="A136" s="917" t="s">
        <v>694</v>
      </c>
      <c r="B136" s="917" t="s">
        <v>807</v>
      </c>
      <c r="C136" s="922">
        <v>4700</v>
      </c>
      <c r="D136" s="919" t="str">
        <f>'Revenues 9-14'!A228</f>
        <v>Total CTE - Perkins</v>
      </c>
      <c r="E136" s="896"/>
      <c r="F136" s="1800">
        <f>SUM('Revenues 9-14'!C228,'Revenues 9-14'!D228,'Revenues 9-14'!G228)</f>
        <v>0</v>
      </c>
      <c r="G136" s="920">
        <v>6303</v>
      </c>
    </row>
    <row r="137" spans="1:7" s="857" customFormat="1" hidden="1" x14ac:dyDescent="0.2">
      <c r="A137" s="924" t="s">
        <v>215</v>
      </c>
      <c r="B137" s="924" t="s">
        <v>1484</v>
      </c>
      <c r="C137" s="925" t="s">
        <v>216</v>
      </c>
      <c r="D137" s="926" t="str">
        <f>'Revenues 9-14'!A231</f>
        <v>ARRA - Title I - Low Income</v>
      </c>
      <c r="E137" s="927"/>
      <c r="F137" s="1921">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800">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800">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800">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800">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800">
        <v>0</v>
      </c>
      <c r="G142" s="895"/>
    </row>
    <row r="143" spans="1:7" s="857" customFormat="1" hidden="1" x14ac:dyDescent="0.2">
      <c r="A143" s="924" t="s">
        <v>215</v>
      </c>
      <c r="B143" s="924" t="s">
        <v>228</v>
      </c>
      <c r="C143" s="925" t="s">
        <v>225</v>
      </c>
      <c r="D143" s="926" t="str">
        <f>'Revenues 9-14'!A237</f>
        <v>ARRA - IDEA - Part B - Flow-Through</v>
      </c>
      <c r="E143" s="927"/>
      <c r="F143" s="1800">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800">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800">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800">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800">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800">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800">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800">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800">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800">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800">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800">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800">
        <v>0</v>
      </c>
      <c r="G155" s="895"/>
    </row>
    <row r="156" spans="1:7" s="857" customFormat="1" hidden="1" x14ac:dyDescent="0.2">
      <c r="A156" s="924" t="s">
        <v>215</v>
      </c>
      <c r="B156" s="924" t="s">
        <v>250</v>
      </c>
      <c r="C156" s="925" t="s">
        <v>247</v>
      </c>
      <c r="D156" s="926" t="str">
        <f>'Revenues 9-14'!A254</f>
        <v>Other ARRA Funds VII</v>
      </c>
      <c r="E156" s="927"/>
      <c r="F156" s="1800">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800">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800">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800">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800">
        <f>SUM('Revenues 9-14'!C258:G258,'Revenues 9-14'!J258)</f>
        <v>0</v>
      </c>
      <c r="G160" s="895"/>
    </row>
    <row r="161" spans="1:7" s="857" customFormat="1" x14ac:dyDescent="0.2">
      <c r="A161" s="928" t="s">
        <v>521</v>
      </c>
      <c r="B161" s="929" t="s">
        <v>1564</v>
      </c>
      <c r="C161" s="930" t="s">
        <v>896</v>
      </c>
      <c r="D161" s="931" t="s">
        <v>808</v>
      </c>
      <c r="E161" s="932"/>
      <c r="F161" s="1800">
        <f>SUM(F137:F160)</f>
        <v>0</v>
      </c>
      <c r="G161" s="895"/>
    </row>
    <row r="162" spans="1:7" s="857" customFormat="1" x14ac:dyDescent="0.2">
      <c r="A162" s="928" t="s">
        <v>479</v>
      </c>
      <c r="B162" s="929" t="s">
        <v>1501</v>
      </c>
      <c r="C162" s="930" t="s">
        <v>1499</v>
      </c>
      <c r="D162" s="931" t="s">
        <v>1500</v>
      </c>
      <c r="E162" s="932"/>
      <c r="F162" s="1800">
        <f>SUM('Revenues 9-14'!C260)</f>
        <v>0</v>
      </c>
      <c r="G162" s="895"/>
    </row>
    <row r="163" spans="1:7" s="857" customFormat="1" x14ac:dyDescent="0.2">
      <c r="A163" s="928" t="s">
        <v>521</v>
      </c>
      <c r="B163" s="929" t="s">
        <v>1541</v>
      </c>
      <c r="C163" s="930" t="s">
        <v>1542</v>
      </c>
      <c r="D163" s="931" t="s">
        <v>1543</v>
      </c>
      <c r="E163" s="932"/>
      <c r="F163" s="1800">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800">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800">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800">
        <f>SUM('Revenues 9-14'!C264,'Revenues 9-14'!F264,'Revenues 9-14'!G264)</f>
        <v>0</v>
      </c>
      <c r="G166" s="933"/>
    </row>
    <row r="167" spans="1:7" x14ac:dyDescent="0.2">
      <c r="A167" s="917" t="s">
        <v>5</v>
      </c>
      <c r="B167" s="917" t="s">
        <v>1557</v>
      </c>
      <c r="C167" s="922">
        <f>'Revenues 9-14'!B265</f>
        <v>4910</v>
      </c>
      <c r="D167" s="919" t="str">
        <f>'Revenues 9-14'!A265</f>
        <v>Learn &amp; Serve America</v>
      </c>
      <c r="E167" s="896"/>
      <c r="F167" s="1800">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800">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21">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21">
        <f>SUM('Revenues 9-14'!C268,'Revenues 9-14'!D268,'Revenues 9-14'!F268,'Revenues 9-14'!G268)</f>
        <v>21807</v>
      </c>
      <c r="G170" s="920"/>
    </row>
    <row r="171" spans="1:7" x14ac:dyDescent="0.2">
      <c r="A171" s="917" t="s">
        <v>689</v>
      </c>
      <c r="B171" s="917" t="s">
        <v>864</v>
      </c>
      <c r="C171" s="922">
        <f>'Revenues 9-14'!B269</f>
        <v>4960</v>
      </c>
      <c r="D171" s="919" t="str">
        <f>'Revenues 9-14'!A269</f>
        <v>Federal Charter Schools</v>
      </c>
      <c r="E171" s="896"/>
      <c r="F171" s="1800">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800">
        <f>SUM('Revenues 9-14'!C270:D270,'Revenues 9-14'!F270:G270)</f>
        <v>14188</v>
      </c>
      <c r="G172" s="937">
        <v>6320</v>
      </c>
    </row>
    <row r="173" spans="1:7" x14ac:dyDescent="0.2">
      <c r="A173" s="917" t="s">
        <v>689</v>
      </c>
      <c r="B173" s="917" t="s">
        <v>1503</v>
      </c>
      <c r="C173" s="922">
        <f>'Revenues 9-14'!B271</f>
        <v>4992</v>
      </c>
      <c r="D173" s="923" t="str">
        <f>'Revenues 9-14'!A271</f>
        <v>Medicaid Matching Funds - Fee-for-Service Program</v>
      </c>
      <c r="E173" s="896"/>
      <c r="F173" s="1800">
        <f>SUM('Revenues 9-14'!C271:D271,'Revenues 9-14'!F271:G271)</f>
        <v>22943</v>
      </c>
      <c r="G173" s="937"/>
    </row>
    <row r="174" spans="1:7" x14ac:dyDescent="0.2">
      <c r="A174" s="938" t="s">
        <v>689</v>
      </c>
      <c r="B174" s="934" t="s">
        <v>1558</v>
      </c>
      <c r="C174" s="935">
        <f>'Revenues 9-14'!B272</f>
        <v>4999</v>
      </c>
      <c r="D174" s="936" t="str">
        <f>'Revenues 9-14'!A272</f>
        <v>Other Restricted Revenue from Federal Sources (Describe &amp; Itemize)</v>
      </c>
      <c r="E174" s="896"/>
      <c r="F174" s="1800">
        <f>SUM('Revenues 9-14'!C272:D272,'Revenues 9-14'!F272:G272)</f>
        <v>0</v>
      </c>
      <c r="G174" s="917"/>
    </row>
    <row r="175" spans="1:7" x14ac:dyDescent="0.2">
      <c r="A175" s="1932" t="s">
        <v>5</v>
      </c>
      <c r="B175" s="1933" t="s">
        <v>2058</v>
      </c>
      <c r="C175" s="1934">
        <v>3100</v>
      </c>
      <c r="D175" s="1935" t="s">
        <v>2061</v>
      </c>
      <c r="E175" s="896"/>
      <c r="F175" s="1919"/>
      <c r="G175" s="917"/>
    </row>
    <row r="176" spans="1:7" x14ac:dyDescent="0.2">
      <c r="A176" s="1932" t="s">
        <v>685</v>
      </c>
      <c r="B176" s="1933" t="s">
        <v>2058</v>
      </c>
      <c r="C176" s="1934">
        <v>3300</v>
      </c>
      <c r="D176" s="1935" t="s">
        <v>2062</v>
      </c>
      <c r="E176" s="896"/>
      <c r="F176" s="1919"/>
      <c r="G176" s="917"/>
    </row>
    <row r="177" spans="1:7" ht="6" customHeight="1" x14ac:dyDescent="0.2">
      <c r="A177" s="917"/>
      <c r="B177" s="917"/>
      <c r="C177" s="939"/>
      <c r="D177" s="917"/>
      <c r="E177" s="896"/>
      <c r="F177" s="940"/>
      <c r="G177" s="937"/>
    </row>
    <row r="178" spans="1:7" x14ac:dyDescent="0.2">
      <c r="A178" s="1781"/>
      <c r="B178" s="1795"/>
      <c r="C178" s="1796"/>
      <c r="D178" s="1797" t="s">
        <v>2014</v>
      </c>
      <c r="E178" s="1798" t="s">
        <v>1015</v>
      </c>
      <c r="F178" s="1799">
        <f>SUM(F84:F136,F161:F176)</f>
        <v>1034861</v>
      </c>
    </row>
    <row r="179" spans="1:7" ht="12" customHeight="1" x14ac:dyDescent="0.2">
      <c r="A179" s="1781"/>
      <c r="B179" s="1795"/>
      <c r="C179" s="1796"/>
      <c r="D179" s="1797" t="s">
        <v>2015</v>
      </c>
      <c r="E179" s="1798"/>
      <c r="F179" s="1800">
        <f>'PCTC-OEPP 27-28'!F77-F178</f>
        <v>8794924</v>
      </c>
    </row>
    <row r="180" spans="1:7" ht="12" customHeight="1" x14ac:dyDescent="0.2">
      <c r="A180" s="1781"/>
      <c r="B180" s="1795"/>
      <c r="C180" s="1796"/>
      <c r="D180" s="1797" t="s">
        <v>1924</v>
      </c>
      <c r="E180" s="1798"/>
      <c r="F180" s="1800">
        <f>'Cap Outlay Deprec 26'!I18</f>
        <v>600937.4</v>
      </c>
    </row>
    <row r="181" spans="1:7" ht="12" customHeight="1" x14ac:dyDescent="0.2">
      <c r="A181" s="1781"/>
      <c r="B181" s="1795"/>
      <c r="C181" s="1796"/>
      <c r="D181" s="1797" t="s">
        <v>2016</v>
      </c>
      <c r="E181" s="1798"/>
      <c r="F181" s="1800">
        <f>F179+F180</f>
        <v>9395861.4000000004</v>
      </c>
    </row>
    <row r="182" spans="1:7" ht="12" customHeight="1" x14ac:dyDescent="0.2">
      <c r="A182" s="1781"/>
      <c r="B182" s="1801"/>
      <c r="C182" s="1796"/>
      <c r="D182" s="1797" t="str">
        <f>D78</f>
        <v>9 Month ADA from District Average Daily Attendance/Prior General State Aid Inquiry 2017-2018</v>
      </c>
      <c r="E182" s="1798"/>
      <c r="F182" s="1802">
        <f>'PCTC-OEPP 27-28'!F78</f>
        <v>587.24</v>
      </c>
      <c r="G182" s="920"/>
    </row>
    <row r="183" spans="1:7" ht="12" customHeight="1" thickBot="1" x14ac:dyDescent="0.25">
      <c r="A183" s="1781"/>
      <c r="B183" s="1801"/>
      <c r="C183" s="1796"/>
      <c r="D183" s="1797" t="s">
        <v>2017</v>
      </c>
      <c r="E183" s="1798" t="s">
        <v>1626</v>
      </c>
      <c r="F183" s="1803">
        <f>F181/F182</f>
        <v>16000.036441659287</v>
      </c>
      <c r="G183" s="846">
        <v>6323</v>
      </c>
    </row>
    <row r="184" spans="1:7" ht="12" thickTop="1" x14ac:dyDescent="0.2">
      <c r="B184" s="920"/>
      <c r="C184" s="939"/>
      <c r="D184" s="920"/>
      <c r="E184" s="939"/>
      <c r="F184" s="920"/>
      <c r="G184" s="941">
        <v>6326</v>
      </c>
    </row>
    <row r="185" spans="1:7" ht="12.2" customHeight="1" x14ac:dyDescent="0.2">
      <c r="A185" s="920" t="s">
        <v>2060</v>
      </c>
      <c r="B185" s="920"/>
      <c r="C185" s="939"/>
      <c r="D185" s="920"/>
      <c r="E185" s="939"/>
      <c r="F185" s="920"/>
      <c r="G185" s="920"/>
    </row>
    <row r="186" spans="1:7" s="1936" customFormat="1" ht="12.2" customHeight="1" x14ac:dyDescent="0.2">
      <c r="A186" s="1936" t="s">
        <v>2065</v>
      </c>
      <c r="B186" s="1937"/>
      <c r="C186" s="1938"/>
      <c r="D186" s="1937"/>
      <c r="E186" s="1938"/>
      <c r="F186" s="1937"/>
      <c r="G186" s="1937"/>
    </row>
    <row r="187" spans="1:7" s="1936" customFormat="1" ht="12.2" customHeight="1" x14ac:dyDescent="0.2">
      <c r="A187" s="1939" t="s">
        <v>2066</v>
      </c>
      <c r="C187" s="1938"/>
      <c r="D187" s="1937"/>
      <c r="E187" s="1938"/>
      <c r="F187" s="1937"/>
      <c r="G187" s="1937"/>
    </row>
    <row r="188" spans="1:7" ht="12" customHeight="1" x14ac:dyDescent="0.2">
      <c r="C188" s="939"/>
      <c r="D188" s="920"/>
      <c r="E188" s="939"/>
      <c r="F188" s="920"/>
      <c r="G188" s="920"/>
    </row>
    <row r="189" spans="1:7" x14ac:dyDescent="0.2">
      <c r="A189" s="1940" t="s">
        <v>2064</v>
      </c>
      <c r="B189" s="1941" t="s">
        <v>2063</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A17" sqref="A17"/>
    </sheetView>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70" t="s">
        <v>1940</v>
      </c>
      <c r="B1" s="1671"/>
      <c r="C1" s="1671"/>
      <c r="D1" s="1671"/>
      <c r="E1" s="1671"/>
      <c r="F1" s="1671"/>
      <c r="G1" s="1671"/>
    </row>
    <row r="2" spans="1:7" x14ac:dyDescent="0.25">
      <c r="A2" s="1668"/>
      <c r="B2" s="1668"/>
      <c r="C2" s="1669" t="s">
        <v>1036</v>
      </c>
      <c r="D2" s="1668"/>
      <c r="E2" s="1668"/>
      <c r="F2" s="1668"/>
      <c r="G2" s="1668"/>
    </row>
    <row r="3" spans="1:7" ht="5.25" customHeight="1" x14ac:dyDescent="0.25">
      <c r="A3" s="1556"/>
      <c r="B3" s="1556"/>
      <c r="C3" s="1556"/>
      <c r="D3" s="1556"/>
      <c r="E3" s="1556"/>
      <c r="F3" s="1556"/>
      <c r="G3" s="1556"/>
    </row>
    <row r="4" spans="1:7" ht="18.75" customHeight="1" x14ac:dyDescent="0.25">
      <c r="A4" s="2277" t="s">
        <v>1925</v>
      </c>
      <c r="B4" s="2278"/>
      <c r="C4" s="2278"/>
      <c r="D4" s="2278"/>
      <c r="E4" s="2278"/>
      <c r="F4" s="2278"/>
      <c r="G4" s="2279"/>
    </row>
    <row r="5" spans="1:7" x14ac:dyDescent="0.25">
      <c r="A5" s="2280"/>
      <c r="B5" s="2281"/>
      <c r="C5" s="2281"/>
      <c r="D5" s="2281"/>
      <c r="E5" s="2281"/>
      <c r="F5" s="2281"/>
      <c r="G5" s="2282"/>
    </row>
    <row r="6" spans="1:7" ht="18.75" x14ac:dyDescent="0.25">
      <c r="A6" s="1545" t="s">
        <v>1926</v>
      </c>
      <c r="B6" s="1546"/>
      <c r="C6" s="1546"/>
      <c r="D6" s="1546"/>
      <c r="E6" s="1546"/>
      <c r="F6" s="1546"/>
      <c r="G6" s="1547"/>
    </row>
    <row r="7" spans="1:7" ht="30.75" customHeight="1" x14ac:dyDescent="0.25">
      <c r="A7" s="2283" t="s">
        <v>2075</v>
      </c>
      <c r="B7" s="2284"/>
      <c r="C7" s="2284"/>
      <c r="D7" s="2284"/>
      <c r="E7" s="2284"/>
      <c r="F7" s="2284"/>
      <c r="G7" s="2285"/>
    </row>
    <row r="8" spans="1:7" ht="15.75" customHeight="1" x14ac:dyDescent="0.25">
      <c r="A8" s="2286" t="s">
        <v>2024</v>
      </c>
      <c r="B8" s="2287"/>
      <c r="C8" s="2287"/>
      <c r="D8" s="2287"/>
      <c r="E8" s="2287"/>
      <c r="F8" s="2287"/>
      <c r="G8" s="2288"/>
    </row>
    <row r="9" spans="1:7" ht="35.25" customHeight="1" x14ac:dyDescent="0.25">
      <c r="A9" s="2283" t="s">
        <v>2023</v>
      </c>
      <c r="B9" s="2284"/>
      <c r="C9" s="2284"/>
      <c r="D9" s="2284"/>
      <c r="E9" s="2284"/>
      <c r="F9" s="2284"/>
      <c r="G9" s="2285"/>
    </row>
    <row r="10" spans="1:7" ht="15" customHeight="1" x14ac:dyDescent="0.25">
      <c r="A10" s="1548" t="s">
        <v>1927</v>
      </c>
      <c r="B10" s="1549"/>
      <c r="C10" s="1549"/>
      <c r="D10" s="1549"/>
      <c r="E10" s="1549"/>
      <c r="F10" s="1549"/>
      <c r="G10" s="1550"/>
    </row>
    <row r="11" spans="1:7" ht="17.25" customHeight="1" x14ac:dyDescent="0.25">
      <c r="A11" s="2283" t="s">
        <v>1941</v>
      </c>
      <c r="B11" s="2284"/>
      <c r="C11" s="2284"/>
      <c r="D11" s="2284"/>
      <c r="E11" s="2284"/>
      <c r="F11" s="2284"/>
      <c r="G11" s="2285"/>
    </row>
    <row r="12" spans="1:7" ht="15" customHeight="1" x14ac:dyDescent="0.25">
      <c r="A12" s="1548" t="s">
        <v>1932</v>
      </c>
      <c r="B12" s="1549"/>
      <c r="C12" s="1549"/>
      <c r="D12" s="1549"/>
      <c r="E12" s="1549"/>
      <c r="F12" s="1549"/>
      <c r="G12" s="1550"/>
    </row>
    <row r="13" spans="1:7" ht="32.25" customHeight="1" x14ac:dyDescent="0.25">
      <c r="A13" s="2274" t="s">
        <v>1933</v>
      </c>
      <c r="B13" s="2275"/>
      <c r="C13" s="2275"/>
      <c r="D13" s="2275"/>
      <c r="E13" s="2275"/>
      <c r="F13" s="2275"/>
      <c r="G13" s="2276"/>
    </row>
    <row r="14" spans="1:7" x14ac:dyDescent="0.25">
      <c r="A14" s="1672" t="s">
        <v>1942</v>
      </c>
      <c r="B14" s="1673"/>
      <c r="C14" s="1673"/>
      <c r="D14" s="1673"/>
      <c r="E14" s="1673"/>
      <c r="F14" s="1673"/>
      <c r="G14" s="1674"/>
    </row>
    <row r="15" spans="1:7" ht="61.5" customHeight="1" x14ac:dyDescent="0.25">
      <c r="A15" s="1557" t="s">
        <v>1934</v>
      </c>
      <c r="B15" s="1557" t="s">
        <v>1935</v>
      </c>
      <c r="C15" s="1557" t="s">
        <v>1936</v>
      </c>
      <c r="D15" s="1558" t="s">
        <v>1937</v>
      </c>
      <c r="E15" s="1558" t="s">
        <v>1928</v>
      </c>
      <c r="F15" s="1558" t="s">
        <v>1938</v>
      </c>
      <c r="G15" s="1558" t="s">
        <v>1939</v>
      </c>
    </row>
    <row r="16" spans="1:7" x14ac:dyDescent="0.25">
      <c r="A16" s="1659" t="s">
        <v>1943</v>
      </c>
      <c r="B16" s="1660" t="s">
        <v>1931</v>
      </c>
      <c r="C16" s="1661" t="s">
        <v>1929</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1944" t="s">
        <v>2102</v>
      </c>
      <c r="B17" s="1947" t="s">
        <v>2118</v>
      </c>
      <c r="C17" s="1946" t="s">
        <v>2103</v>
      </c>
      <c r="D17" s="1856">
        <f>11218+2103+2650+770+422+2400+843+359+412+571+865+7514+629</f>
        <v>30756</v>
      </c>
      <c r="E17" s="1551">
        <f t="shared" ref="E17:E141" si="1">IF(D17&lt;=25000,D17,IF(D17&gt;25000,25000,0))</f>
        <v>25000</v>
      </c>
      <c r="F17" s="1804">
        <f t="shared" si="0"/>
        <v>25000</v>
      </c>
      <c r="G17" s="1805">
        <f>IF(F17=0,0,D17-F17)</f>
        <v>5756</v>
      </c>
      <c r="H17" s="1658"/>
    </row>
    <row r="18" spans="1:8" x14ac:dyDescent="0.25">
      <c r="A18" s="1944" t="s">
        <v>2102</v>
      </c>
      <c r="B18" s="1947" t="s">
        <v>2118</v>
      </c>
      <c r="C18" s="1946" t="s">
        <v>2104</v>
      </c>
      <c r="D18" s="1856">
        <f>1225+2000+4225+1882+3660</f>
        <v>12992</v>
      </c>
      <c r="E18" s="1551">
        <f t="shared" ref="E18:E140" si="2">IF(D18&lt;=25000,D18,IF(D18&gt;25000,25000,0))</f>
        <v>12992</v>
      </c>
      <c r="F18" s="180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12992</v>
      </c>
      <c r="G18" s="1805">
        <f t="shared" ref="G18:G140" si="4">IF(F18=0,0,D18-F18)</f>
        <v>0</v>
      </c>
    </row>
    <row r="19" spans="1:8" x14ac:dyDescent="0.25">
      <c r="A19" s="1944" t="s">
        <v>2105</v>
      </c>
      <c r="B19" s="1947" t="s">
        <v>2118</v>
      </c>
      <c r="C19" s="1946" t="s">
        <v>2104</v>
      </c>
      <c r="D19" s="1856">
        <v>2335</v>
      </c>
      <c r="E19" s="1551">
        <f t="shared" si="2"/>
        <v>2335</v>
      </c>
      <c r="F19" s="1804">
        <f t="shared" si="3"/>
        <v>2335</v>
      </c>
      <c r="G19" s="1805">
        <f t="shared" si="4"/>
        <v>0</v>
      </c>
    </row>
    <row r="20" spans="1:8" ht="30" x14ac:dyDescent="0.25">
      <c r="A20" s="1944" t="s">
        <v>2106</v>
      </c>
      <c r="B20" s="1947" t="s">
        <v>2119</v>
      </c>
      <c r="C20" s="1946" t="s">
        <v>2104</v>
      </c>
      <c r="D20" s="1856">
        <f>1710+430</f>
        <v>2140</v>
      </c>
      <c r="E20" s="1551">
        <f t="shared" si="2"/>
        <v>2140</v>
      </c>
      <c r="F20" s="1804">
        <f t="shared" si="3"/>
        <v>2140</v>
      </c>
      <c r="G20" s="1805">
        <f t="shared" si="4"/>
        <v>0</v>
      </c>
    </row>
    <row r="21" spans="1:8" x14ac:dyDescent="0.25">
      <c r="A21" s="1944" t="s">
        <v>2109</v>
      </c>
      <c r="B21" s="1947" t="s">
        <v>2120</v>
      </c>
      <c r="C21" s="1946" t="s">
        <v>2107</v>
      </c>
      <c r="D21" s="1856">
        <v>93320</v>
      </c>
      <c r="E21" s="1551">
        <f t="shared" si="2"/>
        <v>25000</v>
      </c>
      <c r="F21" s="1804">
        <f t="shared" si="3"/>
        <v>25000</v>
      </c>
      <c r="G21" s="1805">
        <f t="shared" si="4"/>
        <v>68320</v>
      </c>
    </row>
    <row r="22" spans="1:8" ht="30" x14ac:dyDescent="0.25">
      <c r="A22" s="1944" t="s">
        <v>2108</v>
      </c>
      <c r="B22" s="1947" t="s">
        <v>2121</v>
      </c>
      <c r="C22" s="1946" t="s">
        <v>2110</v>
      </c>
      <c r="D22" s="1856">
        <v>5048</v>
      </c>
      <c r="E22" s="1551">
        <f t="shared" si="2"/>
        <v>5048</v>
      </c>
      <c r="F22" s="1804">
        <f t="shared" si="3"/>
        <v>5048</v>
      </c>
      <c r="G22" s="1805">
        <f t="shared" si="4"/>
        <v>0</v>
      </c>
    </row>
    <row r="23" spans="1:8" ht="30" x14ac:dyDescent="0.25">
      <c r="A23" s="1944" t="s">
        <v>2106</v>
      </c>
      <c r="B23" s="1947" t="s">
        <v>2119</v>
      </c>
      <c r="C23" s="1946" t="s">
        <v>2110</v>
      </c>
      <c r="D23" s="1856">
        <v>10096</v>
      </c>
      <c r="E23" s="1551">
        <f t="shared" si="2"/>
        <v>10096</v>
      </c>
      <c r="F23" s="1804">
        <f t="shared" si="3"/>
        <v>10096</v>
      </c>
      <c r="G23" s="1805">
        <f t="shared" si="4"/>
        <v>0</v>
      </c>
    </row>
    <row r="24" spans="1:8" ht="30" x14ac:dyDescent="0.25">
      <c r="A24" s="1944" t="s">
        <v>2111</v>
      </c>
      <c r="B24" s="1945" t="s">
        <v>2112</v>
      </c>
      <c r="C24" s="1946" t="s">
        <v>2113</v>
      </c>
      <c r="D24" s="1856">
        <v>394903</v>
      </c>
      <c r="E24" s="1551">
        <f t="shared" si="2"/>
        <v>25000</v>
      </c>
      <c r="F24" s="1804">
        <f t="shared" si="3"/>
        <v>25000</v>
      </c>
      <c r="G24" s="1805">
        <f t="shared" si="4"/>
        <v>369903</v>
      </c>
    </row>
    <row r="25" spans="1:8" x14ac:dyDescent="0.25">
      <c r="A25" s="1944" t="s">
        <v>2114</v>
      </c>
      <c r="B25" s="1945" t="s">
        <v>2115</v>
      </c>
      <c r="C25" s="1946" t="s">
        <v>2116</v>
      </c>
      <c r="D25" s="1856">
        <v>101638</v>
      </c>
      <c r="E25" s="1551">
        <f t="shared" si="2"/>
        <v>25000</v>
      </c>
      <c r="F25" s="1804">
        <f t="shared" si="3"/>
        <v>25000</v>
      </c>
      <c r="G25" s="1805">
        <f t="shared" si="4"/>
        <v>76638</v>
      </c>
    </row>
    <row r="26" spans="1:8" x14ac:dyDescent="0.25">
      <c r="A26" s="1944" t="s">
        <v>2114</v>
      </c>
      <c r="B26" s="1945" t="s">
        <v>2115</v>
      </c>
      <c r="C26" s="1946" t="s">
        <v>2117</v>
      </c>
      <c r="D26" s="1856">
        <f>218509+348+10877</f>
        <v>229734</v>
      </c>
      <c r="E26" s="1551">
        <f t="shared" si="2"/>
        <v>25000</v>
      </c>
      <c r="F26" s="1804">
        <f t="shared" si="3"/>
        <v>25000</v>
      </c>
      <c r="G26" s="1805">
        <f t="shared" si="4"/>
        <v>204734</v>
      </c>
    </row>
    <row r="27" spans="1:8" x14ac:dyDescent="0.25">
      <c r="A27" s="1664"/>
      <c r="B27" s="1857"/>
      <c r="C27" s="1665"/>
      <c r="D27" s="1856"/>
      <c r="E27" s="1551">
        <f t="shared" si="2"/>
        <v>0</v>
      </c>
      <c r="F27" s="1804">
        <f t="shared" si="3"/>
        <v>0</v>
      </c>
      <c r="G27" s="1805">
        <f t="shared" si="4"/>
        <v>0</v>
      </c>
    </row>
    <row r="28" spans="1:8" x14ac:dyDescent="0.25">
      <c r="A28" s="1664"/>
      <c r="B28" s="1857"/>
      <c r="C28" s="1665"/>
      <c r="D28" s="1856"/>
      <c r="E28" s="1551">
        <f t="shared" si="2"/>
        <v>0</v>
      </c>
      <c r="F28" s="1804">
        <f t="shared" si="3"/>
        <v>0</v>
      </c>
      <c r="G28" s="1805">
        <f t="shared" si="4"/>
        <v>0</v>
      </c>
    </row>
    <row r="29" spans="1:8" x14ac:dyDescent="0.25">
      <c r="A29" s="1664"/>
      <c r="B29" s="1857"/>
      <c r="C29" s="1665"/>
      <c r="D29" s="1856"/>
      <c r="E29" s="1551">
        <f t="shared" si="2"/>
        <v>0</v>
      </c>
      <c r="F29" s="1804">
        <f t="shared" si="3"/>
        <v>0</v>
      </c>
      <c r="G29" s="1805">
        <f t="shared" si="4"/>
        <v>0</v>
      </c>
    </row>
    <row r="30" spans="1:8" x14ac:dyDescent="0.25">
      <c r="A30" s="1664"/>
      <c r="B30" s="1857"/>
      <c r="C30" s="1665"/>
      <c r="D30" s="1856"/>
      <c r="E30" s="1551">
        <f t="shared" si="2"/>
        <v>0</v>
      </c>
      <c r="F30" s="1804">
        <f t="shared" si="3"/>
        <v>0</v>
      </c>
      <c r="G30" s="1805">
        <f t="shared" si="4"/>
        <v>0</v>
      </c>
    </row>
    <row r="31" spans="1:8" x14ac:dyDescent="0.25">
      <c r="A31" s="1664"/>
      <c r="B31" s="1857"/>
      <c r="C31" s="1665"/>
      <c r="D31" s="1856"/>
      <c r="E31" s="1551">
        <f t="shared" si="2"/>
        <v>0</v>
      </c>
      <c r="F31" s="1804">
        <f t="shared" si="3"/>
        <v>0</v>
      </c>
      <c r="G31" s="1805">
        <f t="shared" si="4"/>
        <v>0</v>
      </c>
    </row>
    <row r="32" spans="1:8" x14ac:dyDescent="0.25">
      <c r="A32" s="1664"/>
      <c r="B32" s="1857"/>
      <c r="C32" s="1665"/>
      <c r="D32" s="1856"/>
      <c r="E32" s="1551">
        <f t="shared" si="2"/>
        <v>0</v>
      </c>
      <c r="F32" s="1804">
        <f t="shared" si="3"/>
        <v>0</v>
      </c>
      <c r="G32" s="1805">
        <f t="shared" si="4"/>
        <v>0</v>
      </c>
    </row>
    <row r="33" spans="1:7" x14ac:dyDescent="0.25">
      <c r="A33" s="1664"/>
      <c r="B33" s="1857"/>
      <c r="C33" s="1665"/>
      <c r="D33" s="1856"/>
      <c r="E33" s="1551">
        <f t="shared" si="2"/>
        <v>0</v>
      </c>
      <c r="F33" s="1804">
        <f t="shared" si="3"/>
        <v>0</v>
      </c>
      <c r="G33" s="1805">
        <f t="shared" si="4"/>
        <v>0</v>
      </c>
    </row>
    <row r="34" spans="1:7" x14ac:dyDescent="0.25">
      <c r="A34" s="1664"/>
      <c r="B34" s="1857"/>
      <c r="C34" s="1665"/>
      <c r="D34" s="1856"/>
      <c r="E34" s="1551">
        <f t="shared" si="2"/>
        <v>0</v>
      </c>
      <c r="F34" s="1804">
        <f t="shared" si="3"/>
        <v>0</v>
      </c>
      <c r="G34" s="1805">
        <f t="shared" si="4"/>
        <v>0</v>
      </c>
    </row>
    <row r="35" spans="1:7" x14ac:dyDescent="0.25">
      <c r="A35" s="1664"/>
      <c r="B35" s="1857"/>
      <c r="C35" s="1665"/>
      <c r="D35" s="1856"/>
      <c r="E35" s="1551">
        <f t="shared" si="2"/>
        <v>0</v>
      </c>
      <c r="F35" s="1804">
        <f t="shared" si="3"/>
        <v>0</v>
      </c>
      <c r="G35" s="1805">
        <f t="shared" si="4"/>
        <v>0</v>
      </c>
    </row>
    <row r="36" spans="1:7" x14ac:dyDescent="0.25">
      <c r="A36" s="1664"/>
      <c r="B36" s="1857"/>
      <c r="C36" s="1665"/>
      <c r="D36" s="1856"/>
      <c r="E36" s="1551">
        <f t="shared" si="2"/>
        <v>0</v>
      </c>
      <c r="F36" s="1804">
        <f t="shared" si="3"/>
        <v>0</v>
      </c>
      <c r="G36" s="1805">
        <f t="shared" si="4"/>
        <v>0</v>
      </c>
    </row>
    <row r="37" spans="1:7" x14ac:dyDescent="0.25">
      <c r="A37" s="1664"/>
      <c r="B37" s="1857"/>
      <c r="C37" s="1665"/>
      <c r="D37" s="1856"/>
      <c r="E37" s="1551">
        <f t="shared" si="2"/>
        <v>0</v>
      </c>
      <c r="F37" s="1804">
        <f t="shared" si="3"/>
        <v>0</v>
      </c>
      <c r="G37" s="1805">
        <f t="shared" si="4"/>
        <v>0</v>
      </c>
    </row>
    <row r="38" spans="1:7" x14ac:dyDescent="0.25">
      <c r="A38" s="1664"/>
      <c r="B38" s="1678"/>
      <c r="C38" s="1665"/>
      <c r="D38" s="1856"/>
      <c r="E38" s="1551">
        <f t="shared" si="2"/>
        <v>0</v>
      </c>
      <c r="F38" s="1804">
        <f t="shared" si="3"/>
        <v>0</v>
      </c>
      <c r="G38" s="1805">
        <f t="shared" si="4"/>
        <v>0</v>
      </c>
    </row>
    <row r="39" spans="1:7" x14ac:dyDescent="0.25">
      <c r="A39" s="1664"/>
      <c r="B39" s="1678"/>
      <c r="C39" s="1665"/>
      <c r="D39" s="1856"/>
      <c r="E39" s="1551">
        <f t="shared" si="2"/>
        <v>0</v>
      </c>
      <c r="F39" s="1804">
        <f t="shared" si="3"/>
        <v>0</v>
      </c>
      <c r="G39" s="1805">
        <f t="shared" si="4"/>
        <v>0</v>
      </c>
    </row>
    <row r="40" spans="1:7" x14ac:dyDescent="0.25">
      <c r="A40" s="1664"/>
      <c r="B40" s="1678"/>
      <c r="C40" s="1665"/>
      <c r="D40" s="1856"/>
      <c r="E40" s="1551">
        <f t="shared" si="2"/>
        <v>0</v>
      </c>
      <c r="F40" s="1804">
        <f t="shared" si="3"/>
        <v>0</v>
      </c>
      <c r="G40" s="1805">
        <f t="shared" si="4"/>
        <v>0</v>
      </c>
    </row>
    <row r="41" spans="1:7" x14ac:dyDescent="0.25">
      <c r="A41" s="1664"/>
      <c r="B41" s="1678"/>
      <c r="C41" s="1665"/>
      <c r="D41" s="1856"/>
      <c r="E41" s="1551">
        <f t="shared" si="2"/>
        <v>0</v>
      </c>
      <c r="F41" s="1804">
        <f t="shared" si="3"/>
        <v>0</v>
      </c>
      <c r="G41" s="1805">
        <f t="shared" si="4"/>
        <v>0</v>
      </c>
    </row>
    <row r="42" spans="1:7" x14ac:dyDescent="0.25">
      <c r="A42" s="1664"/>
      <c r="B42" s="1678"/>
      <c r="C42" s="1665"/>
      <c r="D42" s="1856"/>
      <c r="E42" s="1551">
        <f t="shared" si="2"/>
        <v>0</v>
      </c>
      <c r="F42" s="1804">
        <f t="shared" si="3"/>
        <v>0</v>
      </c>
      <c r="G42" s="1805">
        <f t="shared" si="4"/>
        <v>0</v>
      </c>
    </row>
    <row r="43" spans="1:7" x14ac:dyDescent="0.25">
      <c r="A43" s="1664"/>
      <c r="B43" s="1678"/>
      <c r="C43" s="1665"/>
      <c r="D43" s="1856"/>
      <c r="E43" s="1551">
        <f t="shared" si="2"/>
        <v>0</v>
      </c>
      <c r="F43" s="1804">
        <f t="shared" si="3"/>
        <v>0</v>
      </c>
      <c r="G43" s="1805">
        <f t="shared" si="4"/>
        <v>0</v>
      </c>
    </row>
    <row r="44" spans="1:7" x14ac:dyDescent="0.25">
      <c r="A44" s="1664"/>
      <c r="B44" s="1678"/>
      <c r="C44" s="1665"/>
      <c r="D44" s="1856"/>
      <c r="E44" s="1551">
        <f t="shared" si="2"/>
        <v>0</v>
      </c>
      <c r="F44" s="1804">
        <f t="shared" si="3"/>
        <v>0</v>
      </c>
      <c r="G44" s="1805">
        <f t="shared" si="4"/>
        <v>0</v>
      </c>
    </row>
    <row r="45" spans="1:7" x14ac:dyDescent="0.25">
      <c r="A45" s="1664"/>
      <c r="B45" s="1678"/>
      <c r="C45" s="1665"/>
      <c r="D45" s="1856"/>
      <c r="E45" s="1551">
        <f t="shared" si="2"/>
        <v>0</v>
      </c>
      <c r="F45" s="1804">
        <f t="shared" si="3"/>
        <v>0</v>
      </c>
      <c r="G45" s="1805">
        <f t="shared" si="4"/>
        <v>0</v>
      </c>
    </row>
    <row r="46" spans="1:7" x14ac:dyDescent="0.25">
      <c r="A46" s="1664"/>
      <c r="B46" s="1678"/>
      <c r="C46" s="1665"/>
      <c r="D46" s="1856"/>
      <c r="E46" s="1551">
        <f t="shared" si="2"/>
        <v>0</v>
      </c>
      <c r="F46" s="1804">
        <f t="shared" si="3"/>
        <v>0</v>
      </c>
      <c r="G46" s="1805">
        <f t="shared" si="4"/>
        <v>0</v>
      </c>
    </row>
    <row r="47" spans="1:7" x14ac:dyDescent="0.25">
      <c r="A47" s="1664"/>
      <c r="B47" s="1678"/>
      <c r="C47" s="1665"/>
      <c r="D47" s="1856"/>
      <c r="E47" s="1551">
        <f t="shared" si="2"/>
        <v>0</v>
      </c>
      <c r="F47" s="1804">
        <f t="shared" si="3"/>
        <v>0</v>
      </c>
      <c r="G47" s="1805">
        <f t="shared" si="4"/>
        <v>0</v>
      </c>
    </row>
    <row r="48" spans="1:7" x14ac:dyDescent="0.25">
      <c r="A48" s="1664"/>
      <c r="B48" s="1678"/>
      <c r="C48" s="1665"/>
      <c r="D48" s="1856"/>
      <c r="E48" s="1551">
        <f t="shared" si="2"/>
        <v>0</v>
      </c>
      <c r="F48" s="1804">
        <f t="shared" si="3"/>
        <v>0</v>
      </c>
      <c r="G48" s="1805">
        <f t="shared" si="4"/>
        <v>0</v>
      </c>
    </row>
    <row r="49" spans="1:7" x14ac:dyDescent="0.25">
      <c r="A49" s="1664"/>
      <c r="B49" s="1678"/>
      <c r="C49" s="1665"/>
      <c r="D49" s="1856"/>
      <c r="E49" s="1551">
        <f t="shared" si="2"/>
        <v>0</v>
      </c>
      <c r="F49" s="1804">
        <f t="shared" si="3"/>
        <v>0</v>
      </c>
      <c r="G49" s="1805">
        <f t="shared" si="4"/>
        <v>0</v>
      </c>
    </row>
    <row r="50" spans="1:7" x14ac:dyDescent="0.25">
      <c r="A50" s="1664"/>
      <c r="B50" s="1678"/>
      <c r="C50" s="1665"/>
      <c r="D50" s="1856"/>
      <c r="E50" s="1551">
        <f t="shared" si="2"/>
        <v>0</v>
      </c>
      <c r="F50" s="1804">
        <f t="shared" si="3"/>
        <v>0</v>
      </c>
      <c r="G50" s="1805">
        <f t="shared" si="4"/>
        <v>0</v>
      </c>
    </row>
    <row r="51" spans="1:7" x14ac:dyDescent="0.25">
      <c r="A51" s="1664"/>
      <c r="B51" s="1678"/>
      <c r="C51" s="1665"/>
      <c r="D51" s="1856"/>
      <c r="E51" s="1551">
        <f t="shared" si="2"/>
        <v>0</v>
      </c>
      <c r="F51" s="1804">
        <f t="shared" si="3"/>
        <v>0</v>
      </c>
      <c r="G51" s="1805">
        <f t="shared" si="4"/>
        <v>0</v>
      </c>
    </row>
    <row r="52" spans="1:7" x14ac:dyDescent="0.25">
      <c r="A52" s="1664"/>
      <c r="B52" s="1678"/>
      <c r="C52" s="1665"/>
      <c r="D52" s="1856"/>
      <c r="E52" s="1551">
        <f t="shared" si="2"/>
        <v>0</v>
      </c>
      <c r="F52" s="1804">
        <f t="shared" si="3"/>
        <v>0</v>
      </c>
      <c r="G52" s="1805">
        <f t="shared" si="4"/>
        <v>0</v>
      </c>
    </row>
    <row r="53" spans="1:7" x14ac:dyDescent="0.25">
      <c r="A53" s="1664"/>
      <c r="B53" s="1678"/>
      <c r="C53" s="1665"/>
      <c r="D53" s="1856"/>
      <c r="E53" s="1551">
        <f t="shared" si="2"/>
        <v>0</v>
      </c>
      <c r="F53" s="1804">
        <f t="shared" si="3"/>
        <v>0</v>
      </c>
      <c r="G53" s="1805">
        <f t="shared" si="4"/>
        <v>0</v>
      </c>
    </row>
    <row r="54" spans="1:7" x14ac:dyDescent="0.25">
      <c r="A54" s="1664"/>
      <c r="B54" s="1678"/>
      <c r="C54" s="1665"/>
      <c r="D54" s="1856"/>
      <c r="E54" s="1551">
        <f t="shared" si="2"/>
        <v>0</v>
      </c>
      <c r="F54" s="1804">
        <f t="shared" si="3"/>
        <v>0</v>
      </c>
      <c r="G54" s="1805">
        <f t="shared" si="4"/>
        <v>0</v>
      </c>
    </row>
    <row r="55" spans="1:7" x14ac:dyDescent="0.25">
      <c r="A55" s="1664"/>
      <c r="B55" s="1678"/>
      <c r="C55" s="1665"/>
      <c r="D55" s="1856"/>
      <c r="E55" s="1551">
        <f t="shared" si="2"/>
        <v>0</v>
      </c>
      <c r="F55" s="1804">
        <f t="shared" si="3"/>
        <v>0</v>
      </c>
      <c r="G55" s="1805">
        <f t="shared" si="4"/>
        <v>0</v>
      </c>
    </row>
    <row r="56" spans="1:7" x14ac:dyDescent="0.25">
      <c r="A56" s="1664"/>
      <c r="B56" s="1678"/>
      <c r="C56" s="1665"/>
      <c r="D56" s="1856"/>
      <c r="E56" s="1551">
        <f t="shared" si="2"/>
        <v>0</v>
      </c>
      <c r="F56" s="1804">
        <f t="shared" si="3"/>
        <v>0</v>
      </c>
      <c r="G56" s="1805">
        <f t="shared" si="4"/>
        <v>0</v>
      </c>
    </row>
    <row r="57" spans="1:7" x14ac:dyDescent="0.25">
      <c r="A57" s="1664"/>
      <c r="B57" s="1678"/>
      <c r="C57" s="1665"/>
      <c r="D57" s="1856"/>
      <c r="E57" s="1551">
        <f t="shared" si="2"/>
        <v>0</v>
      </c>
      <c r="F57" s="1804">
        <f t="shared" si="3"/>
        <v>0</v>
      </c>
      <c r="G57" s="1805">
        <f t="shared" si="4"/>
        <v>0</v>
      </c>
    </row>
    <row r="58" spans="1:7" x14ac:dyDescent="0.25">
      <c r="A58" s="1664"/>
      <c r="B58" s="1678"/>
      <c r="C58" s="1665"/>
      <c r="D58" s="1856"/>
      <c r="E58" s="1551">
        <f t="shared" si="2"/>
        <v>0</v>
      </c>
      <c r="F58" s="1804">
        <f t="shared" si="3"/>
        <v>0</v>
      </c>
      <c r="G58" s="1805">
        <f t="shared" si="4"/>
        <v>0</v>
      </c>
    </row>
    <row r="59" spans="1:7" x14ac:dyDescent="0.25">
      <c r="A59" s="1664"/>
      <c r="B59" s="1678"/>
      <c r="C59" s="1665"/>
      <c r="D59" s="1856"/>
      <c r="E59" s="1551">
        <f t="shared" si="2"/>
        <v>0</v>
      </c>
      <c r="F59" s="1804">
        <f t="shared" si="3"/>
        <v>0</v>
      </c>
      <c r="G59" s="1805">
        <f t="shared" si="4"/>
        <v>0</v>
      </c>
    </row>
    <row r="60" spans="1:7" x14ac:dyDescent="0.25">
      <c r="A60" s="1664"/>
      <c r="B60" s="1678"/>
      <c r="C60" s="1665"/>
      <c r="D60" s="1856"/>
      <c r="E60" s="1551">
        <f t="shared" si="2"/>
        <v>0</v>
      </c>
      <c r="F60" s="1804">
        <f t="shared" si="3"/>
        <v>0</v>
      </c>
      <c r="G60" s="1805">
        <f t="shared" si="4"/>
        <v>0</v>
      </c>
    </row>
    <row r="61" spans="1:7" x14ac:dyDescent="0.25">
      <c r="A61" s="1664"/>
      <c r="B61" s="1678"/>
      <c r="C61" s="1665"/>
      <c r="D61" s="1856"/>
      <c r="E61" s="1551">
        <f t="shared" si="2"/>
        <v>0</v>
      </c>
      <c r="F61" s="1804">
        <f t="shared" si="3"/>
        <v>0</v>
      </c>
      <c r="G61" s="1805">
        <f t="shared" si="4"/>
        <v>0</v>
      </c>
    </row>
    <row r="62" spans="1:7" x14ac:dyDescent="0.25">
      <c r="A62" s="1664"/>
      <c r="B62" s="1678"/>
      <c r="C62" s="1665"/>
      <c r="D62" s="1856"/>
      <c r="E62" s="1551">
        <f t="shared" si="2"/>
        <v>0</v>
      </c>
      <c r="F62" s="1804">
        <f t="shared" si="3"/>
        <v>0</v>
      </c>
      <c r="G62" s="1805">
        <f t="shared" si="4"/>
        <v>0</v>
      </c>
    </row>
    <row r="63" spans="1:7" x14ac:dyDescent="0.25">
      <c r="A63" s="1664"/>
      <c r="B63" s="1678"/>
      <c r="C63" s="1665"/>
      <c r="D63" s="1856"/>
      <c r="E63" s="1551">
        <f t="shared" si="2"/>
        <v>0</v>
      </c>
      <c r="F63" s="1804">
        <f t="shared" si="3"/>
        <v>0</v>
      </c>
      <c r="G63" s="1805">
        <f t="shared" si="4"/>
        <v>0</v>
      </c>
    </row>
    <row r="64" spans="1:7" x14ac:dyDescent="0.25">
      <c r="A64" s="1666"/>
      <c r="B64" s="1678"/>
      <c r="C64" s="1667"/>
      <c r="D64" s="1856"/>
      <c r="E64" s="1551">
        <f t="shared" si="2"/>
        <v>0</v>
      </c>
      <c r="F64" s="1804">
        <f t="shared" si="3"/>
        <v>0</v>
      </c>
      <c r="G64" s="1805">
        <f t="shared" si="4"/>
        <v>0</v>
      </c>
    </row>
    <row r="65" spans="1:7" x14ac:dyDescent="0.25">
      <c r="A65" s="1664"/>
      <c r="B65" s="1678"/>
      <c r="C65" s="1665"/>
      <c r="D65" s="1856"/>
      <c r="E65" s="1551">
        <f t="shared" si="2"/>
        <v>0</v>
      </c>
      <c r="F65" s="1804">
        <f t="shared" si="3"/>
        <v>0</v>
      </c>
      <c r="G65" s="1805">
        <f t="shared" si="4"/>
        <v>0</v>
      </c>
    </row>
    <row r="66" spans="1:7" x14ac:dyDescent="0.25">
      <c r="A66" s="1664"/>
      <c r="B66" s="1678"/>
      <c r="C66" s="1665"/>
      <c r="D66" s="1856"/>
      <c r="E66" s="1551">
        <f t="shared" si="2"/>
        <v>0</v>
      </c>
      <c r="F66" s="1804">
        <f t="shared" si="3"/>
        <v>0</v>
      </c>
      <c r="G66" s="1805">
        <f t="shared" si="4"/>
        <v>0</v>
      </c>
    </row>
    <row r="67" spans="1:7" x14ac:dyDescent="0.25">
      <c r="A67" s="1664"/>
      <c r="B67" s="1678"/>
      <c r="C67" s="1665"/>
      <c r="D67" s="1856"/>
      <c r="E67" s="1551">
        <f t="shared" si="2"/>
        <v>0</v>
      </c>
      <c r="F67" s="1804">
        <f t="shared" si="3"/>
        <v>0</v>
      </c>
      <c r="G67" s="1805">
        <f t="shared" si="4"/>
        <v>0</v>
      </c>
    </row>
    <row r="68" spans="1:7" x14ac:dyDescent="0.25">
      <c r="A68" s="1664"/>
      <c r="B68" s="1678"/>
      <c r="C68" s="1665"/>
      <c r="D68" s="1856"/>
      <c r="E68" s="1551">
        <f t="shared" si="2"/>
        <v>0</v>
      </c>
      <c r="F68" s="1804">
        <f t="shared" si="3"/>
        <v>0</v>
      </c>
      <c r="G68" s="1805">
        <f t="shared" si="4"/>
        <v>0</v>
      </c>
    </row>
    <row r="69" spans="1:7" x14ac:dyDescent="0.25">
      <c r="A69" s="1664"/>
      <c r="B69" s="1678"/>
      <c r="C69" s="1665"/>
      <c r="D69" s="1856"/>
      <c r="E69" s="1551">
        <f t="shared" si="2"/>
        <v>0</v>
      </c>
      <c r="F69" s="1804">
        <f t="shared" si="3"/>
        <v>0</v>
      </c>
      <c r="G69" s="1805">
        <f t="shared" si="4"/>
        <v>0</v>
      </c>
    </row>
    <row r="70" spans="1:7" x14ac:dyDescent="0.25">
      <c r="A70" s="1664"/>
      <c r="B70" s="1678"/>
      <c r="C70" s="1665"/>
      <c r="D70" s="1856"/>
      <c r="E70" s="1551">
        <f t="shared" si="2"/>
        <v>0</v>
      </c>
      <c r="F70" s="1804">
        <f t="shared" si="3"/>
        <v>0</v>
      </c>
      <c r="G70" s="1805">
        <f t="shared" si="4"/>
        <v>0</v>
      </c>
    </row>
    <row r="71" spans="1:7" x14ac:dyDescent="0.25">
      <c r="A71" s="1664"/>
      <c r="B71" s="1678"/>
      <c r="C71" s="1665"/>
      <c r="D71" s="1856"/>
      <c r="E71" s="1551">
        <f t="shared" si="2"/>
        <v>0</v>
      </c>
      <c r="F71" s="1804">
        <f t="shared" si="3"/>
        <v>0</v>
      </c>
      <c r="G71" s="1805">
        <f t="shared" si="4"/>
        <v>0</v>
      </c>
    </row>
    <row r="72" spans="1:7" x14ac:dyDescent="0.25">
      <c r="A72" s="1664"/>
      <c r="B72" s="1678"/>
      <c r="C72" s="1665"/>
      <c r="D72" s="1856"/>
      <c r="E72" s="1551">
        <f t="shared" si="2"/>
        <v>0</v>
      </c>
      <c r="F72" s="1804">
        <f t="shared" si="3"/>
        <v>0</v>
      </c>
      <c r="G72" s="1805">
        <f t="shared" si="4"/>
        <v>0</v>
      </c>
    </row>
    <row r="73" spans="1:7" x14ac:dyDescent="0.25">
      <c r="A73" s="1664"/>
      <c r="B73" s="1678"/>
      <c r="C73" s="1665"/>
      <c r="D73" s="1856"/>
      <c r="E73" s="1551">
        <f t="shared" ref="E73:E84" si="5">IF(D73&lt;=25000,D73,IF(D73&gt;25000,25000,0))</f>
        <v>0</v>
      </c>
      <c r="F73" s="180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5">
        <f t="shared" ref="G73:G84" si="7">IF(F73=0,0,D73-F73)</f>
        <v>0</v>
      </c>
    </row>
    <row r="74" spans="1:7" x14ac:dyDescent="0.25">
      <c r="A74" s="1664"/>
      <c r="B74" s="1678"/>
      <c r="C74" s="1665"/>
      <c r="D74" s="1856"/>
      <c r="E74" s="1551">
        <f t="shared" si="5"/>
        <v>0</v>
      </c>
      <c r="F74" s="1804">
        <f t="shared" si="6"/>
        <v>0</v>
      </c>
      <c r="G74" s="1805">
        <f t="shared" si="7"/>
        <v>0</v>
      </c>
    </row>
    <row r="75" spans="1:7" x14ac:dyDescent="0.25">
      <c r="A75" s="1664"/>
      <c r="B75" s="1678"/>
      <c r="C75" s="1665"/>
      <c r="D75" s="1856"/>
      <c r="E75" s="1551">
        <f t="shared" si="5"/>
        <v>0</v>
      </c>
      <c r="F75" s="1804">
        <f t="shared" si="6"/>
        <v>0</v>
      </c>
      <c r="G75" s="1805">
        <f t="shared" si="7"/>
        <v>0</v>
      </c>
    </row>
    <row r="76" spans="1:7" x14ac:dyDescent="0.25">
      <c r="A76" s="1664"/>
      <c r="B76" s="1678"/>
      <c r="C76" s="1665"/>
      <c r="D76" s="1856"/>
      <c r="E76" s="1551">
        <f t="shared" si="5"/>
        <v>0</v>
      </c>
      <c r="F76" s="1804">
        <f t="shared" si="6"/>
        <v>0</v>
      </c>
      <c r="G76" s="1805">
        <f t="shared" si="7"/>
        <v>0</v>
      </c>
    </row>
    <row r="77" spans="1:7" x14ac:dyDescent="0.25">
      <c r="A77" s="1664"/>
      <c r="B77" s="1678"/>
      <c r="C77" s="1665"/>
      <c r="D77" s="1856"/>
      <c r="E77" s="1551">
        <f t="shared" si="5"/>
        <v>0</v>
      </c>
      <c r="F77" s="1804">
        <f t="shared" si="6"/>
        <v>0</v>
      </c>
      <c r="G77" s="1805">
        <f t="shared" si="7"/>
        <v>0</v>
      </c>
    </row>
    <row r="78" spans="1:7" x14ac:dyDescent="0.25">
      <c r="A78" s="1664"/>
      <c r="B78" s="1678"/>
      <c r="C78" s="1665"/>
      <c r="D78" s="1856"/>
      <c r="E78" s="1551">
        <f t="shared" si="5"/>
        <v>0</v>
      </c>
      <c r="F78" s="1804">
        <f t="shared" si="6"/>
        <v>0</v>
      </c>
      <c r="G78" s="1805">
        <f t="shared" si="7"/>
        <v>0</v>
      </c>
    </row>
    <row r="79" spans="1:7" x14ac:dyDescent="0.25">
      <c r="A79" s="1664"/>
      <c r="B79" s="1678"/>
      <c r="C79" s="1665"/>
      <c r="D79" s="1856"/>
      <c r="E79" s="1551">
        <f t="shared" si="5"/>
        <v>0</v>
      </c>
      <c r="F79" s="1804">
        <f t="shared" si="6"/>
        <v>0</v>
      </c>
      <c r="G79" s="1805">
        <f t="shared" si="7"/>
        <v>0</v>
      </c>
    </row>
    <row r="80" spans="1:7" x14ac:dyDescent="0.25">
      <c r="A80" s="1664"/>
      <c r="B80" s="1678"/>
      <c r="C80" s="1665"/>
      <c r="D80" s="1856"/>
      <c r="E80" s="1551">
        <f t="shared" si="5"/>
        <v>0</v>
      </c>
      <c r="F80" s="1804">
        <f t="shared" si="6"/>
        <v>0</v>
      </c>
      <c r="G80" s="1805">
        <f t="shared" si="7"/>
        <v>0</v>
      </c>
    </row>
    <row r="81" spans="1:7" x14ac:dyDescent="0.25">
      <c r="A81" s="1664"/>
      <c r="B81" s="1678"/>
      <c r="C81" s="1665"/>
      <c r="D81" s="1856"/>
      <c r="E81" s="1551">
        <f t="shared" si="5"/>
        <v>0</v>
      </c>
      <c r="F81" s="1804">
        <f t="shared" si="6"/>
        <v>0</v>
      </c>
      <c r="G81" s="1805">
        <f t="shared" si="7"/>
        <v>0</v>
      </c>
    </row>
    <row r="82" spans="1:7" x14ac:dyDescent="0.25">
      <c r="A82" s="1664"/>
      <c r="B82" s="1678"/>
      <c r="C82" s="1665"/>
      <c r="D82" s="1856"/>
      <c r="E82" s="1551">
        <f t="shared" si="5"/>
        <v>0</v>
      </c>
      <c r="F82" s="1804">
        <f t="shared" si="6"/>
        <v>0</v>
      </c>
      <c r="G82" s="1805">
        <f t="shared" si="7"/>
        <v>0</v>
      </c>
    </row>
    <row r="83" spans="1:7" x14ac:dyDescent="0.25">
      <c r="A83" s="1664"/>
      <c r="B83" s="1678"/>
      <c r="C83" s="1665"/>
      <c r="D83" s="1856"/>
      <c r="E83" s="1551">
        <f t="shared" si="5"/>
        <v>0</v>
      </c>
      <c r="F83" s="1804">
        <f t="shared" si="6"/>
        <v>0</v>
      </c>
      <c r="G83" s="1805">
        <f t="shared" si="7"/>
        <v>0</v>
      </c>
    </row>
    <row r="84" spans="1:7" x14ac:dyDescent="0.25">
      <c r="A84" s="1664"/>
      <c r="B84" s="1678"/>
      <c r="C84" s="1665"/>
      <c r="D84" s="1856"/>
      <c r="E84" s="1551">
        <f t="shared" si="5"/>
        <v>0</v>
      </c>
      <c r="F84" s="1804">
        <f t="shared" si="6"/>
        <v>0</v>
      </c>
      <c r="G84" s="1805">
        <f t="shared" si="7"/>
        <v>0</v>
      </c>
    </row>
    <row r="85" spans="1:7" x14ac:dyDescent="0.25">
      <c r="A85" s="1664"/>
      <c r="B85" s="1678"/>
      <c r="C85" s="1665"/>
      <c r="D85" s="1856"/>
      <c r="E85" s="1551">
        <f t="shared" si="2"/>
        <v>0</v>
      </c>
      <c r="F85" s="1804">
        <f t="shared" si="3"/>
        <v>0</v>
      </c>
      <c r="G85" s="1805">
        <f t="shared" si="4"/>
        <v>0</v>
      </c>
    </row>
    <row r="86" spans="1:7" x14ac:dyDescent="0.25">
      <c r="A86" s="1664"/>
      <c r="B86" s="1678"/>
      <c r="C86" s="1665"/>
      <c r="D86" s="1856"/>
      <c r="E86" s="1551">
        <f t="shared" si="2"/>
        <v>0</v>
      </c>
      <c r="F86" s="1804">
        <f t="shared" si="3"/>
        <v>0</v>
      </c>
      <c r="G86" s="1805">
        <f t="shared" si="4"/>
        <v>0</v>
      </c>
    </row>
    <row r="87" spans="1:7" x14ac:dyDescent="0.25">
      <c r="A87" s="1664"/>
      <c r="B87" s="1678"/>
      <c r="C87" s="1665"/>
      <c r="D87" s="1856"/>
      <c r="E87" s="1551">
        <f t="shared" si="2"/>
        <v>0</v>
      </c>
      <c r="F87" s="1804">
        <f t="shared" si="3"/>
        <v>0</v>
      </c>
      <c r="G87" s="1805">
        <f t="shared" si="4"/>
        <v>0</v>
      </c>
    </row>
    <row r="88" spans="1:7" x14ac:dyDescent="0.25">
      <c r="A88" s="1664"/>
      <c r="B88" s="1678"/>
      <c r="C88" s="1665"/>
      <c r="D88" s="1856"/>
      <c r="E88" s="1551">
        <f t="shared" si="2"/>
        <v>0</v>
      </c>
      <c r="F88" s="1804">
        <f t="shared" si="3"/>
        <v>0</v>
      </c>
      <c r="G88" s="1805">
        <f t="shared" si="4"/>
        <v>0</v>
      </c>
    </row>
    <row r="89" spans="1:7" x14ac:dyDescent="0.25">
      <c r="A89" s="1664"/>
      <c r="B89" s="1678"/>
      <c r="C89" s="1665"/>
      <c r="D89" s="1856"/>
      <c r="E89" s="1551">
        <f t="shared" si="2"/>
        <v>0</v>
      </c>
      <c r="F89" s="1804">
        <f t="shared" si="3"/>
        <v>0</v>
      </c>
      <c r="G89" s="1805">
        <f t="shared" si="4"/>
        <v>0</v>
      </c>
    </row>
    <row r="90" spans="1:7" x14ac:dyDescent="0.25">
      <c r="A90" s="1664"/>
      <c r="B90" s="1678"/>
      <c r="C90" s="1665"/>
      <c r="D90" s="1856"/>
      <c r="E90" s="1551">
        <f t="shared" si="2"/>
        <v>0</v>
      </c>
      <c r="F90" s="1804">
        <f t="shared" si="3"/>
        <v>0</v>
      </c>
      <c r="G90" s="1805">
        <f t="shared" si="4"/>
        <v>0</v>
      </c>
    </row>
    <row r="91" spans="1:7" x14ac:dyDescent="0.25">
      <c r="A91" s="1664"/>
      <c r="B91" s="1678"/>
      <c r="C91" s="1665"/>
      <c r="D91" s="1856"/>
      <c r="E91" s="1551">
        <f t="shared" si="2"/>
        <v>0</v>
      </c>
      <c r="F91" s="1804">
        <f t="shared" si="3"/>
        <v>0</v>
      </c>
      <c r="G91" s="1805">
        <f t="shared" si="4"/>
        <v>0</v>
      </c>
    </row>
    <row r="92" spans="1:7" x14ac:dyDescent="0.25">
      <c r="A92" s="1664"/>
      <c r="B92" s="1678"/>
      <c r="C92" s="1665"/>
      <c r="D92" s="1856"/>
      <c r="E92" s="1551">
        <f t="shared" si="2"/>
        <v>0</v>
      </c>
      <c r="F92" s="1804">
        <f t="shared" si="3"/>
        <v>0</v>
      </c>
      <c r="G92" s="1805">
        <f t="shared" si="4"/>
        <v>0</v>
      </c>
    </row>
    <row r="93" spans="1:7" x14ac:dyDescent="0.25">
      <c r="A93" s="1664"/>
      <c r="B93" s="1678"/>
      <c r="C93" s="1665"/>
      <c r="D93" s="1856"/>
      <c r="E93" s="1551">
        <f t="shared" ref="E93" si="8">IF(D93&lt;=25000,D93,IF(D93&gt;25000,25000,0))</f>
        <v>0</v>
      </c>
      <c r="F93" s="180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5">
        <f t="shared" ref="G93" si="10">IF(F93=0,0,D93-F93)</f>
        <v>0</v>
      </c>
    </row>
    <row r="94" spans="1:7" x14ac:dyDescent="0.25">
      <c r="A94" s="1664"/>
      <c r="B94" s="1678"/>
      <c r="C94" s="1665"/>
      <c r="D94" s="1856"/>
      <c r="E94" s="1551">
        <f t="shared" si="2"/>
        <v>0</v>
      </c>
      <c r="F94" s="1804">
        <f t="shared" si="3"/>
        <v>0</v>
      </c>
      <c r="G94" s="1805">
        <f t="shared" si="4"/>
        <v>0</v>
      </c>
    </row>
    <row r="95" spans="1:7" x14ac:dyDescent="0.25">
      <c r="A95" s="1664"/>
      <c r="B95" s="1678"/>
      <c r="C95" s="1665"/>
      <c r="D95" s="1856"/>
      <c r="E95" s="1551">
        <f t="shared" ref="E95:E98" si="11">IF(D95&lt;=25000,D95,IF(D95&gt;25000,25000,0))</f>
        <v>0</v>
      </c>
      <c r="F95" s="180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5">
        <f t="shared" ref="G95:G98" si="13">IF(F95=0,0,D95-F95)</f>
        <v>0</v>
      </c>
    </row>
    <row r="96" spans="1:7" x14ac:dyDescent="0.25">
      <c r="A96" s="1664"/>
      <c r="B96" s="1678"/>
      <c r="C96" s="1665"/>
      <c r="D96" s="1856"/>
      <c r="E96" s="1551">
        <f t="shared" si="11"/>
        <v>0</v>
      </c>
      <c r="F96" s="1804">
        <f t="shared" si="12"/>
        <v>0</v>
      </c>
      <c r="G96" s="1805">
        <f t="shared" si="13"/>
        <v>0</v>
      </c>
    </row>
    <row r="97" spans="1:7" x14ac:dyDescent="0.25">
      <c r="A97" s="1664"/>
      <c r="B97" s="1678"/>
      <c r="C97" s="1665"/>
      <c r="D97" s="1856"/>
      <c r="E97" s="1551">
        <f t="shared" si="11"/>
        <v>0</v>
      </c>
      <c r="F97" s="1804">
        <f t="shared" si="12"/>
        <v>0</v>
      </c>
      <c r="G97" s="1805">
        <f t="shared" si="13"/>
        <v>0</v>
      </c>
    </row>
    <row r="98" spans="1:7" x14ac:dyDescent="0.25">
      <c r="A98" s="1664"/>
      <c r="B98" s="1678"/>
      <c r="C98" s="1665"/>
      <c r="D98" s="1856"/>
      <c r="E98" s="1551">
        <f t="shared" si="11"/>
        <v>0</v>
      </c>
      <c r="F98" s="1804">
        <f t="shared" si="12"/>
        <v>0</v>
      </c>
      <c r="G98" s="1805">
        <f t="shared" si="13"/>
        <v>0</v>
      </c>
    </row>
    <row r="99" spans="1:7" x14ac:dyDescent="0.25">
      <c r="A99" s="1664"/>
      <c r="B99" s="1678"/>
      <c r="C99" s="1665"/>
      <c r="D99" s="1856"/>
      <c r="E99" s="1551">
        <f t="shared" ref="E99" si="14">IF(D99&lt;=25000,D99,IF(D99&gt;25000,25000,0))</f>
        <v>0</v>
      </c>
      <c r="F99" s="180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5">
        <f t="shared" ref="G99" si="16">IF(F99=0,0,D99-F99)</f>
        <v>0</v>
      </c>
    </row>
    <row r="100" spans="1:7" x14ac:dyDescent="0.25">
      <c r="A100" s="1664"/>
      <c r="B100" s="1678"/>
      <c r="C100" s="1665"/>
      <c r="D100" s="1856"/>
      <c r="E100" s="1551">
        <f t="shared" ref="E100:E112" si="17">IF(D100&lt;=25000,D100,IF(D100&gt;25000,25000,0))</f>
        <v>0</v>
      </c>
      <c r="F100" s="180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5">
        <f t="shared" ref="G100:G112" si="19">IF(F100=0,0,D100-F100)</f>
        <v>0</v>
      </c>
    </row>
    <row r="101" spans="1:7" x14ac:dyDescent="0.25">
      <c r="A101" s="1664"/>
      <c r="B101" s="1678"/>
      <c r="C101" s="1665"/>
      <c r="D101" s="1856"/>
      <c r="E101" s="1551">
        <f t="shared" si="17"/>
        <v>0</v>
      </c>
      <c r="F101" s="1804">
        <f t="shared" si="18"/>
        <v>0</v>
      </c>
      <c r="G101" s="1805">
        <f t="shared" si="19"/>
        <v>0</v>
      </c>
    </row>
    <row r="102" spans="1:7" x14ac:dyDescent="0.25">
      <c r="A102" s="1664"/>
      <c r="B102" s="1678"/>
      <c r="C102" s="1665"/>
      <c r="D102" s="1856"/>
      <c r="E102" s="1551">
        <f t="shared" si="17"/>
        <v>0</v>
      </c>
      <c r="F102" s="1804">
        <f t="shared" si="18"/>
        <v>0</v>
      </c>
      <c r="G102" s="1805">
        <f t="shared" si="19"/>
        <v>0</v>
      </c>
    </row>
    <row r="103" spans="1:7" x14ac:dyDescent="0.25">
      <c r="A103" s="1664"/>
      <c r="B103" s="1678"/>
      <c r="C103" s="1665"/>
      <c r="D103" s="1856"/>
      <c r="E103" s="1551">
        <f t="shared" si="17"/>
        <v>0</v>
      </c>
      <c r="F103" s="1804">
        <f t="shared" si="18"/>
        <v>0</v>
      </c>
      <c r="G103" s="1805">
        <f t="shared" si="19"/>
        <v>0</v>
      </c>
    </row>
    <row r="104" spans="1:7" x14ac:dyDescent="0.25">
      <c r="A104" s="1664"/>
      <c r="B104" s="1678"/>
      <c r="C104" s="1665"/>
      <c r="D104" s="1856"/>
      <c r="E104" s="1551">
        <f t="shared" si="17"/>
        <v>0</v>
      </c>
      <c r="F104" s="1804">
        <f t="shared" si="18"/>
        <v>0</v>
      </c>
      <c r="G104" s="1805">
        <f t="shared" si="19"/>
        <v>0</v>
      </c>
    </row>
    <row r="105" spans="1:7" x14ac:dyDescent="0.25">
      <c r="A105" s="1664"/>
      <c r="B105" s="1678"/>
      <c r="C105" s="1665"/>
      <c r="D105" s="1856"/>
      <c r="E105" s="1551">
        <f t="shared" si="17"/>
        <v>0</v>
      </c>
      <c r="F105" s="1804">
        <f t="shared" si="18"/>
        <v>0</v>
      </c>
      <c r="G105" s="1805">
        <f t="shared" si="19"/>
        <v>0</v>
      </c>
    </row>
    <row r="106" spans="1:7" x14ac:dyDescent="0.25">
      <c r="A106" s="1664"/>
      <c r="B106" s="1678"/>
      <c r="C106" s="1665"/>
      <c r="D106" s="1856"/>
      <c r="E106" s="1551">
        <f t="shared" si="17"/>
        <v>0</v>
      </c>
      <c r="F106" s="1804">
        <f t="shared" si="18"/>
        <v>0</v>
      </c>
      <c r="G106" s="1805">
        <f t="shared" si="19"/>
        <v>0</v>
      </c>
    </row>
    <row r="107" spans="1:7" x14ac:dyDescent="0.25">
      <c r="A107" s="1664"/>
      <c r="B107" s="1678"/>
      <c r="C107" s="1665"/>
      <c r="D107" s="1856"/>
      <c r="E107" s="1551">
        <f t="shared" si="17"/>
        <v>0</v>
      </c>
      <c r="F107" s="1804">
        <f t="shared" si="18"/>
        <v>0</v>
      </c>
      <c r="G107" s="1805">
        <f t="shared" si="19"/>
        <v>0</v>
      </c>
    </row>
    <row r="108" spans="1:7" x14ac:dyDescent="0.25">
      <c r="A108" s="1664"/>
      <c r="B108" s="1678"/>
      <c r="C108" s="1665"/>
      <c r="D108" s="1856"/>
      <c r="E108" s="1551">
        <f t="shared" si="17"/>
        <v>0</v>
      </c>
      <c r="F108" s="1804">
        <f t="shared" si="18"/>
        <v>0</v>
      </c>
      <c r="G108" s="1805">
        <f t="shared" si="19"/>
        <v>0</v>
      </c>
    </row>
    <row r="109" spans="1:7" x14ac:dyDescent="0.25">
      <c r="A109" s="1664"/>
      <c r="B109" s="1678"/>
      <c r="C109" s="1665"/>
      <c r="D109" s="1856"/>
      <c r="E109" s="1551">
        <f t="shared" si="17"/>
        <v>0</v>
      </c>
      <c r="F109" s="1804">
        <f t="shared" si="18"/>
        <v>0</v>
      </c>
      <c r="G109" s="1805">
        <f t="shared" si="19"/>
        <v>0</v>
      </c>
    </row>
    <row r="110" spans="1:7" x14ac:dyDescent="0.25">
      <c r="A110" s="1664"/>
      <c r="B110" s="1678"/>
      <c r="C110" s="1665"/>
      <c r="D110" s="1856"/>
      <c r="E110" s="1551">
        <f t="shared" si="17"/>
        <v>0</v>
      </c>
      <c r="F110" s="1804">
        <f t="shared" si="18"/>
        <v>0</v>
      </c>
      <c r="G110" s="1805">
        <f t="shared" si="19"/>
        <v>0</v>
      </c>
    </row>
    <row r="111" spans="1:7" x14ac:dyDescent="0.25">
      <c r="A111" s="1664"/>
      <c r="B111" s="1678"/>
      <c r="C111" s="1665"/>
      <c r="D111" s="1856"/>
      <c r="E111" s="1551">
        <f t="shared" si="17"/>
        <v>0</v>
      </c>
      <c r="F111" s="1804">
        <f t="shared" si="18"/>
        <v>0</v>
      </c>
      <c r="G111" s="1805">
        <f t="shared" si="19"/>
        <v>0</v>
      </c>
    </row>
    <row r="112" spans="1:7" x14ac:dyDescent="0.25">
      <c r="A112" s="1664"/>
      <c r="B112" s="1678"/>
      <c r="C112" s="1665"/>
      <c r="D112" s="1856"/>
      <c r="E112" s="1551">
        <f t="shared" si="17"/>
        <v>0</v>
      </c>
      <c r="F112" s="1804">
        <f t="shared" si="18"/>
        <v>0</v>
      </c>
      <c r="G112" s="1805">
        <f t="shared" si="19"/>
        <v>0</v>
      </c>
    </row>
    <row r="113" spans="1:7" x14ac:dyDescent="0.25">
      <c r="A113" s="1664"/>
      <c r="B113" s="1678"/>
      <c r="C113" s="1665"/>
      <c r="D113" s="1856"/>
      <c r="E113" s="1551">
        <f t="shared" ref="E113:E125" si="20">IF(D113&lt;=25000,D113,IF(D113&gt;25000,25000,0))</f>
        <v>0</v>
      </c>
      <c r="F113" s="180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5">
        <f t="shared" ref="G113:G125" si="22">IF(F113=0,0,D113-F113)</f>
        <v>0</v>
      </c>
    </row>
    <row r="114" spans="1:7" x14ac:dyDescent="0.25">
      <c r="A114" s="1664"/>
      <c r="B114" s="1678"/>
      <c r="C114" s="1665"/>
      <c r="D114" s="1856"/>
      <c r="E114" s="1551">
        <f t="shared" si="20"/>
        <v>0</v>
      </c>
      <c r="F114" s="1804">
        <f t="shared" si="21"/>
        <v>0</v>
      </c>
      <c r="G114" s="1805">
        <f t="shared" si="22"/>
        <v>0</v>
      </c>
    </row>
    <row r="115" spans="1:7" x14ac:dyDescent="0.25">
      <c r="A115" s="1664"/>
      <c r="B115" s="1678"/>
      <c r="C115" s="1665"/>
      <c r="D115" s="1856"/>
      <c r="E115" s="1551">
        <f t="shared" si="20"/>
        <v>0</v>
      </c>
      <c r="F115" s="1804">
        <f t="shared" si="21"/>
        <v>0</v>
      </c>
      <c r="G115" s="1805">
        <f t="shared" si="22"/>
        <v>0</v>
      </c>
    </row>
    <row r="116" spans="1:7" x14ac:dyDescent="0.25">
      <c r="A116" s="1664"/>
      <c r="B116" s="1678"/>
      <c r="C116" s="1665"/>
      <c r="D116" s="1856"/>
      <c r="E116" s="1551">
        <f t="shared" si="20"/>
        <v>0</v>
      </c>
      <c r="F116" s="1804">
        <f t="shared" si="21"/>
        <v>0</v>
      </c>
      <c r="G116" s="1805">
        <f t="shared" si="22"/>
        <v>0</v>
      </c>
    </row>
    <row r="117" spans="1:7" x14ac:dyDescent="0.25">
      <c r="A117" s="1664"/>
      <c r="B117" s="1678"/>
      <c r="C117" s="1665"/>
      <c r="D117" s="1856"/>
      <c r="E117" s="1551">
        <f t="shared" si="20"/>
        <v>0</v>
      </c>
      <c r="F117" s="1804">
        <f t="shared" si="21"/>
        <v>0</v>
      </c>
      <c r="G117" s="1805">
        <f t="shared" si="22"/>
        <v>0</v>
      </c>
    </row>
    <row r="118" spans="1:7" x14ac:dyDescent="0.25">
      <c r="A118" s="1664"/>
      <c r="B118" s="1678"/>
      <c r="C118" s="1665"/>
      <c r="D118" s="1856"/>
      <c r="E118" s="1551">
        <f t="shared" si="20"/>
        <v>0</v>
      </c>
      <c r="F118" s="1804">
        <f t="shared" si="21"/>
        <v>0</v>
      </c>
      <c r="G118" s="1805">
        <f t="shared" si="22"/>
        <v>0</v>
      </c>
    </row>
    <row r="119" spans="1:7" x14ac:dyDescent="0.25">
      <c r="A119" s="1664"/>
      <c r="B119" s="1678"/>
      <c r="C119" s="1665"/>
      <c r="D119" s="1856"/>
      <c r="E119" s="1551">
        <f t="shared" si="20"/>
        <v>0</v>
      </c>
      <c r="F119" s="1804">
        <f t="shared" si="21"/>
        <v>0</v>
      </c>
      <c r="G119" s="1805">
        <f t="shared" si="22"/>
        <v>0</v>
      </c>
    </row>
    <row r="120" spans="1:7" x14ac:dyDescent="0.25">
      <c r="A120" s="1664"/>
      <c r="B120" s="1678"/>
      <c r="C120" s="1665"/>
      <c r="D120" s="1856"/>
      <c r="E120" s="1551">
        <f t="shared" si="20"/>
        <v>0</v>
      </c>
      <c r="F120" s="1804">
        <f t="shared" si="21"/>
        <v>0</v>
      </c>
      <c r="G120" s="1805">
        <f t="shared" si="22"/>
        <v>0</v>
      </c>
    </row>
    <row r="121" spans="1:7" x14ac:dyDescent="0.25">
      <c r="A121" s="1664"/>
      <c r="B121" s="1678"/>
      <c r="C121" s="1665"/>
      <c r="D121" s="1856"/>
      <c r="E121" s="1551">
        <f t="shared" si="20"/>
        <v>0</v>
      </c>
      <c r="F121" s="1804">
        <f t="shared" si="21"/>
        <v>0</v>
      </c>
      <c r="G121" s="1805">
        <f t="shared" si="22"/>
        <v>0</v>
      </c>
    </row>
    <row r="122" spans="1:7" x14ac:dyDescent="0.25">
      <c r="A122" s="1664"/>
      <c r="B122" s="1678"/>
      <c r="C122" s="1665"/>
      <c r="D122" s="1856"/>
      <c r="E122" s="1551">
        <f t="shared" si="20"/>
        <v>0</v>
      </c>
      <c r="F122" s="1804">
        <f t="shared" si="21"/>
        <v>0</v>
      </c>
      <c r="G122" s="1805">
        <f t="shared" si="22"/>
        <v>0</v>
      </c>
    </row>
    <row r="123" spans="1:7" x14ac:dyDescent="0.25">
      <c r="A123" s="1664"/>
      <c r="B123" s="1678"/>
      <c r="C123" s="1665"/>
      <c r="D123" s="1856"/>
      <c r="E123" s="1551">
        <f t="shared" si="20"/>
        <v>0</v>
      </c>
      <c r="F123" s="1804">
        <f t="shared" si="21"/>
        <v>0</v>
      </c>
      <c r="G123" s="1805">
        <f t="shared" si="22"/>
        <v>0</v>
      </c>
    </row>
    <row r="124" spans="1:7" x14ac:dyDescent="0.25">
      <c r="A124" s="1664"/>
      <c r="B124" s="1678"/>
      <c r="C124" s="1665"/>
      <c r="D124" s="1856"/>
      <c r="E124" s="1551">
        <f t="shared" si="20"/>
        <v>0</v>
      </c>
      <c r="F124" s="1804">
        <f t="shared" si="21"/>
        <v>0</v>
      </c>
      <c r="G124" s="1805">
        <f t="shared" si="22"/>
        <v>0</v>
      </c>
    </row>
    <row r="125" spans="1:7" x14ac:dyDescent="0.25">
      <c r="A125" s="1664"/>
      <c r="B125" s="1678"/>
      <c r="C125" s="1665"/>
      <c r="D125" s="1856"/>
      <c r="E125" s="1551">
        <f t="shared" si="20"/>
        <v>0</v>
      </c>
      <c r="F125" s="1804">
        <f t="shared" si="21"/>
        <v>0</v>
      </c>
      <c r="G125" s="1805">
        <f t="shared" si="22"/>
        <v>0</v>
      </c>
    </row>
    <row r="126" spans="1:7" x14ac:dyDescent="0.25">
      <c r="A126" s="1664"/>
      <c r="B126" s="1678"/>
      <c r="C126" s="1665"/>
      <c r="D126" s="1856"/>
      <c r="E126" s="1551">
        <f t="shared" ref="E126:E134" si="23">IF(D126&lt;=25000,D126,IF(D126&gt;25000,25000,0))</f>
        <v>0</v>
      </c>
      <c r="F126" s="180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5">
        <f t="shared" ref="G126:G134" si="25">IF(F126=0,0,D126-F126)</f>
        <v>0</v>
      </c>
    </row>
    <row r="127" spans="1:7" x14ac:dyDescent="0.25">
      <c r="A127" s="1664"/>
      <c r="B127" s="1678"/>
      <c r="C127" s="1665"/>
      <c r="D127" s="1856"/>
      <c r="E127" s="1551">
        <f t="shared" si="23"/>
        <v>0</v>
      </c>
      <c r="F127" s="1804">
        <f t="shared" si="24"/>
        <v>0</v>
      </c>
      <c r="G127" s="1805">
        <f t="shared" si="25"/>
        <v>0</v>
      </c>
    </row>
    <row r="128" spans="1:7" x14ac:dyDescent="0.25">
      <c r="A128" s="1664"/>
      <c r="B128" s="1678"/>
      <c r="C128" s="1665"/>
      <c r="D128" s="1856"/>
      <c r="E128" s="1551">
        <f t="shared" si="23"/>
        <v>0</v>
      </c>
      <c r="F128" s="1804">
        <f t="shared" si="24"/>
        <v>0</v>
      </c>
      <c r="G128" s="1805">
        <f t="shared" si="25"/>
        <v>0</v>
      </c>
    </row>
    <row r="129" spans="1:7" x14ac:dyDescent="0.25">
      <c r="A129" s="1664"/>
      <c r="B129" s="1678"/>
      <c r="C129" s="1665"/>
      <c r="D129" s="1856"/>
      <c r="E129" s="1551">
        <f t="shared" si="23"/>
        <v>0</v>
      </c>
      <c r="F129" s="1804">
        <f t="shared" si="24"/>
        <v>0</v>
      </c>
      <c r="G129" s="1805">
        <f t="shared" si="25"/>
        <v>0</v>
      </c>
    </row>
    <row r="130" spans="1:7" x14ac:dyDescent="0.25">
      <c r="A130" s="1664"/>
      <c r="B130" s="1678"/>
      <c r="C130" s="1665"/>
      <c r="D130" s="1856"/>
      <c r="E130" s="1551">
        <f t="shared" si="23"/>
        <v>0</v>
      </c>
      <c r="F130" s="1804">
        <f t="shared" si="24"/>
        <v>0</v>
      </c>
      <c r="G130" s="1805">
        <f t="shared" si="25"/>
        <v>0</v>
      </c>
    </row>
    <row r="131" spans="1:7" x14ac:dyDescent="0.25">
      <c r="A131" s="1664"/>
      <c r="B131" s="1849"/>
      <c r="C131" s="1665"/>
      <c r="D131" s="1856"/>
      <c r="E131" s="1551">
        <f t="shared" si="23"/>
        <v>0</v>
      </c>
      <c r="F131" s="1804">
        <f t="shared" si="24"/>
        <v>0</v>
      </c>
      <c r="G131" s="1805">
        <f t="shared" si="25"/>
        <v>0</v>
      </c>
    </row>
    <row r="132" spans="1:7" x14ac:dyDescent="0.25">
      <c r="A132" s="1664"/>
      <c r="B132" s="1849"/>
      <c r="C132" s="1665"/>
      <c r="D132" s="1856"/>
      <c r="E132" s="1551">
        <f t="shared" si="23"/>
        <v>0</v>
      </c>
      <c r="F132" s="1804">
        <f t="shared" si="24"/>
        <v>0</v>
      </c>
      <c r="G132" s="1805">
        <f t="shared" si="25"/>
        <v>0</v>
      </c>
    </row>
    <row r="133" spans="1:7" x14ac:dyDescent="0.25">
      <c r="A133" s="1664"/>
      <c r="B133" s="1678"/>
      <c r="C133" s="1665"/>
      <c r="D133" s="1856"/>
      <c r="E133" s="1551">
        <f t="shared" si="23"/>
        <v>0</v>
      </c>
      <c r="F133" s="1804">
        <f t="shared" si="24"/>
        <v>0</v>
      </c>
      <c r="G133" s="1805">
        <f t="shared" si="25"/>
        <v>0</v>
      </c>
    </row>
    <row r="134" spans="1:7" x14ac:dyDescent="0.25">
      <c r="A134" s="1664"/>
      <c r="B134" s="1678"/>
      <c r="C134" s="1665"/>
      <c r="D134" s="1856"/>
      <c r="E134" s="1551">
        <f t="shared" si="23"/>
        <v>0</v>
      </c>
      <c r="F134" s="1804">
        <f t="shared" si="24"/>
        <v>0</v>
      </c>
      <c r="G134" s="1805">
        <f t="shared" si="25"/>
        <v>0</v>
      </c>
    </row>
    <row r="135" spans="1:7" x14ac:dyDescent="0.25">
      <c r="A135" s="1664"/>
      <c r="B135" s="1678"/>
      <c r="C135" s="1665"/>
      <c r="D135" s="1856"/>
      <c r="E135" s="1551">
        <f t="shared" ref="E135:E139" si="26">IF(D135&lt;=25000,D135,IF(D135&gt;25000,25000,0))</f>
        <v>0</v>
      </c>
      <c r="F135" s="180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5">
        <f t="shared" ref="G135:G139" si="28">IF(F135=0,0,D135-F135)</f>
        <v>0</v>
      </c>
    </row>
    <row r="136" spans="1:7" x14ac:dyDescent="0.25">
      <c r="A136" s="1664"/>
      <c r="B136" s="1678"/>
      <c r="C136" s="1665"/>
      <c r="D136" s="1856"/>
      <c r="E136" s="1551">
        <f t="shared" si="26"/>
        <v>0</v>
      </c>
      <c r="F136" s="1804">
        <f t="shared" si="27"/>
        <v>0</v>
      </c>
      <c r="G136" s="1805">
        <f t="shared" si="28"/>
        <v>0</v>
      </c>
    </row>
    <row r="137" spans="1:7" x14ac:dyDescent="0.25">
      <c r="A137" s="1664"/>
      <c r="B137" s="1678"/>
      <c r="C137" s="1665"/>
      <c r="D137" s="1856"/>
      <c r="E137" s="1551">
        <f t="shared" si="26"/>
        <v>0</v>
      </c>
      <c r="F137" s="1804">
        <f t="shared" si="27"/>
        <v>0</v>
      </c>
      <c r="G137" s="1805">
        <f t="shared" si="28"/>
        <v>0</v>
      </c>
    </row>
    <row r="138" spans="1:7" x14ac:dyDescent="0.25">
      <c r="A138" s="1664"/>
      <c r="B138" s="1678"/>
      <c r="C138" s="1665"/>
      <c r="D138" s="1856"/>
      <c r="E138" s="1551">
        <f t="shared" si="26"/>
        <v>0</v>
      </c>
      <c r="F138" s="1804">
        <f t="shared" si="27"/>
        <v>0</v>
      </c>
      <c r="G138" s="1805">
        <f t="shared" si="28"/>
        <v>0</v>
      </c>
    </row>
    <row r="139" spans="1:7" x14ac:dyDescent="0.25">
      <c r="A139" s="1664"/>
      <c r="B139" s="1678"/>
      <c r="C139" s="1665"/>
      <c r="D139" s="1856"/>
      <c r="E139" s="1551">
        <f t="shared" si="26"/>
        <v>0</v>
      </c>
      <c r="F139" s="1804">
        <f t="shared" si="27"/>
        <v>0</v>
      </c>
      <c r="G139" s="1805">
        <f t="shared" si="28"/>
        <v>0</v>
      </c>
    </row>
    <row r="140" spans="1:7" x14ac:dyDescent="0.25">
      <c r="A140" s="1664"/>
      <c r="B140" s="1677"/>
      <c r="C140" s="1665"/>
      <c r="D140" s="1856"/>
      <c r="E140" s="1551">
        <f t="shared" si="2"/>
        <v>0</v>
      </c>
      <c r="F140" s="1804">
        <f t="shared" si="3"/>
        <v>0</v>
      </c>
      <c r="G140" s="1805">
        <f t="shared" si="4"/>
        <v>0</v>
      </c>
    </row>
    <row r="141" spans="1:7" x14ac:dyDescent="0.25">
      <c r="A141" s="1808" t="s">
        <v>158</v>
      </c>
      <c r="B141" s="1809"/>
      <c r="C141" s="1810"/>
      <c r="D141" s="1806">
        <f>SUM(D17:D140)</f>
        <v>882962</v>
      </c>
      <c r="E141" s="1552">
        <f t="shared" si="1"/>
        <v>25000</v>
      </c>
      <c r="F141" s="1806">
        <f>SUM(F17:F140)</f>
        <v>157611</v>
      </c>
      <c r="G141" s="1807">
        <f>SUM(G17:G140)</f>
        <v>725351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Normal="100" zoomScaleSheetLayoutView="10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5" t="s">
        <v>1177</v>
      </c>
      <c r="B1" s="1646"/>
      <c r="C1" s="1647"/>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2"/>
      <c r="I4" s="252"/>
    </row>
    <row r="5" spans="1:9" s="343" customFormat="1" ht="57" customHeight="1" x14ac:dyDescent="0.2">
      <c r="A5" s="2289" t="s">
        <v>1778</v>
      </c>
      <c r="B5" s="2290"/>
      <c r="C5" s="2290"/>
      <c r="D5" s="2290"/>
      <c r="E5" s="2290"/>
      <c r="F5" s="2290"/>
      <c r="G5" s="2291"/>
      <c r="H5" s="252"/>
      <c r="I5" s="601"/>
    </row>
    <row r="6" spans="1:9" s="659" customFormat="1" x14ac:dyDescent="0.2">
      <c r="A6" s="1648" t="s">
        <v>214</v>
      </c>
      <c r="B6" s="956"/>
      <c r="C6" s="956"/>
      <c r="D6" s="957"/>
      <c r="E6" s="957"/>
      <c r="F6" s="958"/>
      <c r="G6" s="959"/>
      <c r="H6" s="162"/>
      <c r="I6" s="162"/>
    </row>
    <row r="7" spans="1:9" s="659" customFormat="1" ht="12" customHeight="1" x14ac:dyDescent="0.2">
      <c r="A7" s="960" t="s">
        <v>964</v>
      </c>
      <c r="B7" s="961"/>
      <c r="C7" s="961"/>
      <c r="D7" s="962"/>
      <c r="E7" s="963"/>
      <c r="F7" s="964"/>
      <c r="G7" s="965"/>
      <c r="H7" s="162"/>
      <c r="I7" s="162"/>
    </row>
    <row r="8" spans="1:9" s="659" customFormat="1" ht="12" customHeight="1" x14ac:dyDescent="0.2">
      <c r="A8" s="960" t="s">
        <v>131</v>
      </c>
      <c r="B8" s="961"/>
      <c r="C8" s="961"/>
      <c r="D8" s="962"/>
      <c r="E8" s="963"/>
      <c r="F8" s="964"/>
      <c r="G8" s="965"/>
      <c r="H8" s="162"/>
      <c r="I8" s="162"/>
    </row>
    <row r="9" spans="1:9" s="659" customFormat="1" ht="12" customHeight="1" x14ac:dyDescent="0.2">
      <c r="A9" s="960" t="s">
        <v>132</v>
      </c>
      <c r="B9" s="961"/>
      <c r="C9" s="961"/>
      <c r="D9" s="962"/>
      <c r="E9" s="963"/>
      <c r="F9" s="964"/>
      <c r="G9" s="965"/>
      <c r="H9" s="162"/>
      <c r="I9" s="162"/>
    </row>
    <row r="10" spans="1:9" s="659" customFormat="1" ht="12" customHeight="1" x14ac:dyDescent="0.2">
      <c r="A10" s="960" t="s">
        <v>2076</v>
      </c>
      <c r="B10" s="961"/>
      <c r="C10" s="966"/>
      <c r="D10" s="962"/>
      <c r="E10" s="963">
        <f>MIN('Revenues 9-14'!C201,('Expenditures 15-22'!E63+'Expenditures 15-22'!F63))</f>
        <v>9663</v>
      </c>
      <c r="F10" s="964"/>
      <c r="G10" s="965"/>
      <c r="H10" s="162"/>
      <c r="I10" s="162"/>
    </row>
    <row r="11" spans="1:9" s="659" customFormat="1" ht="22.5" customHeight="1" x14ac:dyDescent="0.2">
      <c r="A11" s="2294" t="s">
        <v>1945</v>
      </c>
      <c r="B11" s="2295"/>
      <c r="C11" s="2295"/>
      <c r="D11" s="2296"/>
      <c r="E11" s="967"/>
      <c r="F11" s="964"/>
      <c r="G11" s="968"/>
      <c r="H11" s="162"/>
      <c r="I11" s="162"/>
    </row>
    <row r="12" spans="1:9" s="659" customFormat="1" ht="12" customHeight="1" x14ac:dyDescent="0.2">
      <c r="A12" s="960" t="s">
        <v>133</v>
      </c>
      <c r="B12" s="961"/>
      <c r="C12" s="961"/>
      <c r="D12" s="962"/>
      <c r="E12" s="963"/>
      <c r="F12" s="964"/>
      <c r="G12" s="965"/>
      <c r="H12" s="162"/>
      <c r="I12" s="162"/>
    </row>
    <row r="13" spans="1:9" s="659" customFormat="1" ht="12" customHeight="1" x14ac:dyDescent="0.2">
      <c r="A13" s="960" t="s">
        <v>212</v>
      </c>
      <c r="B13" s="961"/>
      <c r="C13" s="961"/>
      <c r="D13" s="962"/>
      <c r="E13" s="963"/>
      <c r="F13" s="964"/>
      <c r="G13" s="965"/>
      <c r="H13" s="162"/>
      <c r="I13" s="162"/>
    </row>
    <row r="14" spans="1:9" s="659" customFormat="1" ht="12" customHeight="1" x14ac:dyDescent="0.2">
      <c r="A14" s="960" t="s">
        <v>213</v>
      </c>
      <c r="B14" s="961"/>
      <c r="C14" s="961"/>
      <c r="D14" s="962"/>
      <c r="E14" s="963"/>
      <c r="F14" s="969"/>
      <c r="G14" s="970"/>
      <c r="H14" s="162"/>
      <c r="I14" s="162"/>
    </row>
    <row r="15" spans="1:9" s="659" customFormat="1" ht="12" customHeight="1" x14ac:dyDescent="0.2">
      <c r="A15" s="955" t="s">
        <v>389</v>
      </c>
      <c r="B15" s="957"/>
      <c r="C15" s="957"/>
      <c r="D15" s="957"/>
      <c r="E15" s="957"/>
      <c r="F15" s="957"/>
      <c r="G15" s="971"/>
      <c r="H15" s="162"/>
      <c r="I15" s="162"/>
    </row>
    <row r="16" spans="1:9" s="659" customFormat="1" x14ac:dyDescent="0.2">
      <c r="A16" s="972" t="s">
        <v>1443</v>
      </c>
      <c r="B16" s="973"/>
      <c r="C16" s="974"/>
      <c r="D16" s="953"/>
      <c r="E16" s="948"/>
      <c r="F16" s="948"/>
      <c r="G16" s="949"/>
      <c r="H16" s="162"/>
      <c r="I16" s="162"/>
    </row>
    <row r="17" spans="1:9" s="659" customFormat="1" ht="12" customHeight="1" x14ac:dyDescent="0.2">
      <c r="A17" s="975"/>
      <c r="B17" s="976"/>
      <c r="C17" s="329"/>
      <c r="D17" s="1649" t="s">
        <v>553</v>
      </c>
      <c r="E17" s="1650"/>
      <c r="F17" s="1649" t="s">
        <v>453</v>
      </c>
      <c r="G17" s="1651"/>
      <c r="H17" s="162"/>
      <c r="I17" s="162"/>
    </row>
    <row r="18" spans="1:9" s="259" customFormat="1" ht="11.25" x14ac:dyDescent="0.2">
      <c r="A18" s="978"/>
      <c r="C18" s="979" t="s">
        <v>454</v>
      </c>
      <c r="D18" s="1652" t="s">
        <v>455</v>
      </c>
      <c r="E18" s="1652" t="s">
        <v>55</v>
      </c>
      <c r="F18" s="1652" t="s">
        <v>455</v>
      </c>
      <c r="G18" s="1652" t="s">
        <v>55</v>
      </c>
      <c r="H18" s="178"/>
      <c r="I18" s="178"/>
    </row>
    <row r="19" spans="1:9" s="659" customFormat="1" ht="12" customHeight="1" x14ac:dyDescent="0.2">
      <c r="A19" s="980" t="s">
        <v>476</v>
      </c>
      <c r="B19" s="981"/>
      <c r="C19" s="982" t="s">
        <v>591</v>
      </c>
      <c r="D19" s="1811"/>
      <c r="E19" s="1812">
        <f>'Expenditures 15-22'!K33-SUM('Expenditures 15-22'!G33,'Expenditures 15-22'!I33)+'Expenditures 15-22'!D229</f>
        <v>5887211</v>
      </c>
      <c r="F19" s="1811"/>
      <c r="G19" s="1813">
        <f>'Expenditures 15-22'!K33-SUM('Expenditures 15-22'!G33,'Expenditures 15-22'!I33)+'Expenditures 15-22'!D229</f>
        <v>5887211</v>
      </c>
      <c r="H19" s="977"/>
      <c r="I19" s="162"/>
    </row>
    <row r="20" spans="1:9" s="659" customFormat="1" ht="12" customHeight="1" x14ac:dyDescent="0.2">
      <c r="A20" s="980" t="s">
        <v>56</v>
      </c>
      <c r="B20" s="981"/>
      <c r="C20" s="983"/>
      <c r="D20" s="1814"/>
      <c r="E20" s="1814"/>
      <c r="F20" s="1814"/>
      <c r="G20" s="1815"/>
      <c r="H20" s="977"/>
      <c r="I20" s="162"/>
    </row>
    <row r="21" spans="1:9" s="659" customFormat="1" ht="12" customHeight="1" x14ac:dyDescent="0.2">
      <c r="A21" s="984" t="s">
        <v>421</v>
      </c>
      <c r="B21" s="985"/>
      <c r="C21" s="983">
        <v>2100</v>
      </c>
      <c r="D21" s="1814"/>
      <c r="E21" s="1816">
        <f>'Expenditures 15-22'!K42-SUM('Expenditures 15-22'!G42,'Expenditures 15-22'!I42)+'Expenditures 15-22'!K120-SUM('Expenditures 15-22'!G120,'Expenditures 15-22'!I120)+'Expenditures 15-22'!K180-SUM('Expenditures 15-22'!G180,'Expenditures 15-22'!I180)+'Expenditures 15-22'!D238</f>
        <v>634099</v>
      </c>
      <c r="F21" s="1814"/>
      <c r="G21" s="1817">
        <f>'Expenditures 15-22'!K42-SUM('Expenditures 15-22'!G42,'Expenditures 15-22'!I42)+'Expenditures 15-22'!K120-SUM('Expenditures 15-22'!G120,'Expenditures 15-22'!I120)+'Expenditures 15-22'!K180-SUM('Expenditures 15-22'!G180,'Expenditures 15-22'!I180)+'Expenditures 15-22'!D238</f>
        <v>634099</v>
      </c>
      <c r="H21" s="977"/>
      <c r="I21" s="162"/>
    </row>
    <row r="22" spans="1:9" s="659" customFormat="1" ht="12" customHeight="1" x14ac:dyDescent="0.2">
      <c r="A22" s="984" t="s">
        <v>585</v>
      </c>
      <c r="B22" s="985"/>
      <c r="C22" s="983">
        <v>2200</v>
      </c>
      <c r="D22" s="1814"/>
      <c r="E22" s="1816">
        <f>'Expenditures 15-22'!K47-SUM('Expenditures 15-22'!G47,'Expenditures 15-22'!I47)+'Expenditures 15-22'!D243</f>
        <v>643042</v>
      </c>
      <c r="F22" s="1814"/>
      <c r="G22" s="1817">
        <f>'Expenditures 15-22'!K47-SUM('Expenditures 15-22'!G47,'Expenditures 15-22'!I47)+'Expenditures 15-22'!D243</f>
        <v>643042</v>
      </c>
      <c r="H22" s="977"/>
      <c r="I22" s="162"/>
    </row>
    <row r="23" spans="1:9" s="659" customFormat="1" ht="12" customHeight="1" x14ac:dyDescent="0.2">
      <c r="A23" s="984" t="s">
        <v>586</v>
      </c>
      <c r="B23" s="985"/>
      <c r="C23" s="983">
        <v>2300</v>
      </c>
      <c r="D23" s="1814"/>
      <c r="E23" s="1816">
        <f>'Expenditures 15-22'!K53-SUM('Expenditures 15-22'!G53,'Expenditures 15-22'!I53)+'Expenditures 15-22'!D257+'Expenditures 15-22'!K330-SUM('Expenditures 15-22'!G330,'Expenditures 15-22'!I330)</f>
        <v>566996</v>
      </c>
      <c r="F23" s="1814"/>
      <c r="G23" s="1816">
        <f>'Expenditures 15-22'!K53-SUM('Expenditures 15-22'!G53,'Expenditures 15-22'!I53)+'Expenditures 15-22'!D257+'Expenditures 15-22'!K330-SUM('Expenditures 15-22'!G330,'Expenditures 15-22'!I330)</f>
        <v>566996</v>
      </c>
      <c r="H23" s="977"/>
      <c r="I23" s="162"/>
    </row>
    <row r="24" spans="1:9" s="659" customFormat="1" ht="12" customHeight="1" x14ac:dyDescent="0.2">
      <c r="A24" s="984" t="s">
        <v>587</v>
      </c>
      <c r="B24" s="985"/>
      <c r="C24" s="983">
        <v>2400</v>
      </c>
      <c r="D24" s="1814"/>
      <c r="E24" s="1816">
        <f>'Expenditures 15-22'!K57-SUM('Expenditures 15-22'!G57,'Expenditures 15-22'!I57)+'Expenditures 15-22'!D261</f>
        <v>518272</v>
      </c>
      <c r="F24" s="1814"/>
      <c r="G24" s="1817">
        <f>'Expenditures 15-22'!K57-SUM('Expenditures 15-22'!G57,'Expenditures 15-22'!I57)+'Expenditures 15-22'!D261</f>
        <v>518272</v>
      </c>
      <c r="H24" s="977"/>
      <c r="I24" s="162"/>
    </row>
    <row r="25" spans="1:9" s="659" customFormat="1" ht="12" customHeight="1" x14ac:dyDescent="0.2">
      <c r="A25" s="980" t="s">
        <v>588</v>
      </c>
      <c r="B25" s="986"/>
      <c r="C25" s="983"/>
      <c r="D25" s="1814"/>
      <c r="E25" s="1816"/>
      <c r="F25" s="1814"/>
      <c r="G25" s="1817"/>
      <c r="H25" s="977"/>
      <c r="I25" s="162"/>
    </row>
    <row r="26" spans="1:9" s="659" customFormat="1" ht="12" customHeight="1" x14ac:dyDescent="0.2">
      <c r="A26" s="984" t="s">
        <v>536</v>
      </c>
      <c r="B26" s="987"/>
      <c r="C26" s="983">
        <v>2510</v>
      </c>
      <c r="D26" s="1816">
        <f>'Expenditures 15-22'!K59-SUM('Expenditures 15-22'!G59,'Expenditures 15-22'!I59)+'Expenditures 15-22'!D263-E7</f>
        <v>80897</v>
      </c>
      <c r="E26" s="1816">
        <f>'Expenditures 15-22'!K122-SUM('Expenditures 15-22'!G122,'Expenditures 15-22'!I122)+E7</f>
        <v>0</v>
      </c>
      <c r="F26" s="1816">
        <f>'Expenditures 15-22'!K59-SUM('Expenditures 15-22'!G59,'Expenditures 15-22'!I59)+'Expenditures 15-22'!D263-E7</f>
        <v>80897</v>
      </c>
      <c r="G26" s="1817">
        <f>'Expenditures 15-22'!K122-SUM('Expenditures 15-22'!G122,'Expenditures 15-22'!I122)+E7</f>
        <v>0</v>
      </c>
      <c r="H26" s="977"/>
      <c r="I26" s="162"/>
    </row>
    <row r="27" spans="1:9" s="659" customFormat="1" ht="12" customHeight="1" x14ac:dyDescent="0.2">
      <c r="A27" s="984" t="s">
        <v>483</v>
      </c>
      <c r="B27" s="987"/>
      <c r="C27" s="983">
        <v>2520</v>
      </c>
      <c r="D27" s="1816">
        <f>'Expenditures 15-22'!K60-SUM('Expenditures 15-22'!G60,'Expenditures 15-22'!I60)+'Expenditures 15-22'!D264-E8</f>
        <v>103427</v>
      </c>
      <c r="E27" s="1816">
        <f>E8</f>
        <v>0</v>
      </c>
      <c r="F27" s="1816">
        <f>'Expenditures 15-22'!K60-SUM('Expenditures 15-22'!G60,'Expenditures 15-22'!I60)+'Expenditures 15-22'!D264-E8</f>
        <v>103427</v>
      </c>
      <c r="G27" s="1817">
        <f>E8</f>
        <v>0</v>
      </c>
      <c r="H27" s="977"/>
      <c r="I27" s="162"/>
    </row>
    <row r="28" spans="1:9" s="659" customFormat="1" ht="12" customHeight="1" x14ac:dyDescent="0.2">
      <c r="A28" s="984" t="s">
        <v>537</v>
      </c>
      <c r="B28" s="987"/>
      <c r="C28" s="983">
        <v>2540</v>
      </c>
      <c r="D28" s="1818"/>
      <c r="E28" s="1816">
        <f>'Expenditures 15-22'!K61-SUM('Expenditures 15-22'!G61,'Expenditures 15-22'!I61)+'Expenditures 15-22'!K124-SUM('Expenditures 15-22'!G124,'Expenditures 15-22'!I124)+'Expenditures 15-22'!D266</f>
        <v>768831</v>
      </c>
      <c r="F28" s="1818">
        <f>'Expenditures 15-22'!K61-SUM('Expenditures 15-22'!G61,'Expenditures 15-22'!I61)+'Expenditures 15-22'!K124-SUM('Expenditures 15-22'!G124,'Expenditures 15-22'!I124)+'Expenditures 15-22'!D266-E9</f>
        <v>768831</v>
      </c>
      <c r="G28" s="1817">
        <f>E9</f>
        <v>0</v>
      </c>
      <c r="H28" s="977"/>
      <c r="I28" s="162"/>
    </row>
    <row r="29" spans="1:9" ht="12" customHeight="1" x14ac:dyDescent="0.2">
      <c r="A29" s="984" t="s">
        <v>538</v>
      </c>
      <c r="B29" s="987"/>
      <c r="C29" s="983">
        <v>2550</v>
      </c>
      <c r="D29" s="1814"/>
      <c r="E29" s="1816">
        <f>'Expenditures 15-22'!K62-SUM('Expenditures 15-22'!G62,'Expenditures 15-22'!I62)+'Expenditures 15-22'!K125-SUM('Expenditures 15-22'!G125,'Expenditures 15-22'!I125)+'Expenditures 15-22'!K182-SUM('Expenditures 15-22'!G182,'Expenditures 15-22'!I182)+'Expenditures 15-22'!D267</f>
        <v>362707</v>
      </c>
      <c r="F29" s="1814"/>
      <c r="G29" s="1817">
        <f>'Expenditures 15-22'!K62-SUM('Expenditures 15-22'!G62,'Expenditures 15-22'!I62)+'Expenditures 15-22'!K125-SUM('Expenditures 15-22'!G125,'Expenditures 15-22'!I125)+'Expenditures 15-22'!K182-SUM('Expenditures 15-22'!G182,'Expenditures 15-22'!I182)+'Expenditures 15-22'!D267</f>
        <v>362707</v>
      </c>
      <c r="H29" s="975"/>
    </row>
    <row r="30" spans="1:9" ht="12" customHeight="1" x14ac:dyDescent="0.2">
      <c r="A30" s="984" t="s">
        <v>102</v>
      </c>
      <c r="B30" s="987"/>
      <c r="C30" s="983">
        <v>2560</v>
      </c>
      <c r="D30" s="1814"/>
      <c r="E30" s="1816">
        <f>'Expenditures 15-22'!K63-SUM('Expenditures 15-22'!G63,'Expenditures 15-22'!I63)+'Expenditures 15-22'!D268-E10</f>
        <v>84139</v>
      </c>
      <c r="F30" s="1814"/>
      <c r="G30" s="1816">
        <f>'Expenditures 15-22'!K63-SUM('Expenditures 15-22'!G63,'Expenditures 15-22'!I63)+'Expenditures 15-22'!D268-E10</f>
        <v>84139</v>
      </c>
    </row>
    <row r="31" spans="1:9" ht="12" customHeight="1" x14ac:dyDescent="0.2">
      <c r="A31" s="984" t="s">
        <v>103</v>
      </c>
      <c r="B31" s="987"/>
      <c r="C31" s="983">
        <v>2570</v>
      </c>
      <c r="D31" s="1816">
        <f>'Expenditures 15-22'!K64-SUM('Expenditures 15-22'!G64,'Expenditures 15-22'!I64)+'Expenditures 15-22'!D269-E12</f>
        <v>0</v>
      </c>
      <c r="E31" s="1816">
        <f>E12</f>
        <v>0</v>
      </c>
      <c r="F31" s="1816">
        <f>'Expenditures 15-22'!K64-SUM('Expenditures 15-22'!G64,'Expenditures 15-22'!I64)+'Expenditures 15-22'!D269-E12</f>
        <v>0</v>
      </c>
      <c r="G31" s="1816">
        <f>E12</f>
        <v>0</v>
      </c>
    </row>
    <row r="32" spans="1:9" ht="12" customHeight="1" x14ac:dyDescent="0.2">
      <c r="A32" s="980" t="s">
        <v>539</v>
      </c>
      <c r="B32" s="986"/>
      <c r="C32" s="983"/>
      <c r="D32" s="1814"/>
      <c r="E32" s="1814"/>
      <c r="F32" s="1814"/>
      <c r="G32" s="1814"/>
    </row>
    <row r="33" spans="1:7" ht="12" customHeight="1" x14ac:dyDescent="0.2">
      <c r="A33" s="984" t="s">
        <v>540</v>
      </c>
      <c r="B33" s="987"/>
      <c r="C33" s="983">
        <v>2610</v>
      </c>
      <c r="D33" s="1814"/>
      <c r="E33" s="1816">
        <f>'Expenditures 15-22'!K67-SUM('Expenditures 15-22'!G67,'Expenditures 15-22'!I67)+'Expenditures 15-22'!D272</f>
        <v>0</v>
      </c>
      <c r="F33" s="1814"/>
      <c r="G33" s="1816">
        <f>'Expenditures 15-22'!K67-SUM('Expenditures 15-22'!G67,'Expenditures 15-22'!I67)+'Expenditures 15-22'!D272</f>
        <v>0</v>
      </c>
    </row>
    <row r="34" spans="1:7" ht="12" customHeight="1" x14ac:dyDescent="0.2">
      <c r="A34" s="984" t="s">
        <v>541</v>
      </c>
      <c r="B34" s="987"/>
      <c r="C34" s="983">
        <v>2620</v>
      </c>
      <c r="D34" s="1814"/>
      <c r="E34" s="1816">
        <f>'Expenditures 15-22'!K68-SUM('Expenditures 15-22'!G68,'Expenditures 15-22'!I68)+'Expenditures 15-22'!D273</f>
        <v>0</v>
      </c>
      <c r="F34" s="1814"/>
      <c r="G34" s="1816">
        <f>'Expenditures 15-22'!K68-SUM('Expenditures 15-22'!G68,'Expenditures 15-22'!I68)+'Expenditures 15-22'!D273</f>
        <v>0</v>
      </c>
    </row>
    <row r="35" spans="1:7" ht="12" customHeight="1" x14ac:dyDescent="0.2">
      <c r="A35" s="984" t="s">
        <v>1121</v>
      </c>
      <c r="B35" s="987"/>
      <c r="C35" s="983">
        <v>2630</v>
      </c>
      <c r="D35" s="1814"/>
      <c r="E35" s="1816">
        <f>'Expenditures 15-22'!K69-SUM('Expenditures 15-22'!G69,'Expenditures 15-22'!I69)+'Expenditures 15-22'!D274</f>
        <v>0</v>
      </c>
      <c r="F35" s="1814"/>
      <c r="G35" s="1816">
        <f>'Expenditures 15-22'!K69-SUM('Expenditures 15-22'!G69,'Expenditures 15-22'!I69)+'Expenditures 15-22'!D274</f>
        <v>0</v>
      </c>
    </row>
    <row r="36" spans="1:7" ht="12" customHeight="1" x14ac:dyDescent="0.2">
      <c r="A36" s="984" t="s">
        <v>423</v>
      </c>
      <c r="B36" s="987"/>
      <c r="C36" s="983">
        <v>2640</v>
      </c>
      <c r="D36" s="1816">
        <f>'Expenditures 15-22'!K70-SUM('Expenditures 15-22'!G70,'Expenditures 15-22'!I70)+'Expenditures 15-22'!D275-E13</f>
        <v>0</v>
      </c>
      <c r="E36" s="1816">
        <f>E13</f>
        <v>0</v>
      </c>
      <c r="F36" s="1816">
        <f>'Expenditures 15-22'!K70-SUM('Expenditures 15-22'!G70,'Expenditures 15-22'!I70)+'Expenditures 15-22'!D275-E13</f>
        <v>0</v>
      </c>
      <c r="G36" s="1816">
        <f>E13</f>
        <v>0</v>
      </c>
    </row>
    <row r="37" spans="1:7" ht="12" customHeight="1" x14ac:dyDescent="0.2">
      <c r="A37" s="984" t="s">
        <v>424</v>
      </c>
      <c r="B37" s="987"/>
      <c r="C37" s="983">
        <v>2660</v>
      </c>
      <c r="D37" s="1816">
        <f>'Expenditures 15-22'!K71-SUM('Expenditures 15-22'!G71,'Expenditures 15-22'!I71)+'Expenditures 15-22'!D276-E14</f>
        <v>111413</v>
      </c>
      <c r="E37" s="1816">
        <f>E14</f>
        <v>0</v>
      </c>
      <c r="F37" s="1816">
        <f>'Expenditures 15-22'!K71-SUM('Expenditures 15-22'!G71,'Expenditures 15-22'!I71)+'Expenditures 15-22'!D276-E14</f>
        <v>111413</v>
      </c>
      <c r="G37" s="1816">
        <f>E14</f>
        <v>0</v>
      </c>
    </row>
    <row r="38" spans="1:7" ht="12" customHeight="1" x14ac:dyDescent="0.2">
      <c r="A38" s="980" t="s">
        <v>542</v>
      </c>
      <c r="B38" s="981"/>
      <c r="C38" s="983">
        <v>2900</v>
      </c>
      <c r="D38" s="1814"/>
      <c r="E38" s="1816">
        <f>'Expenditures 15-22'!K73-SUM('Expenditures 15-22'!G73,'Expenditures 15-22'!I73)+'Expenditures 15-22'!K128-SUM('Expenditures 15-22'!G128,'Expenditures 15-22'!I128)+'Expenditures 15-22'!K183-SUM('Expenditures 15-22'!G183,'Expenditures 15-22'!I183)+'Expenditures 15-22'!D278</f>
        <v>16418</v>
      </c>
      <c r="F38" s="1814"/>
      <c r="G38" s="1816">
        <f>'Expenditures 15-22'!K73-SUM('Expenditures 15-22'!G73,'Expenditures 15-22'!I73)+'Expenditures 15-22'!K128-SUM('Expenditures 15-22'!G128,'Expenditures 15-22'!I128)+'Expenditures 15-22'!K183-SUM('Expenditures 15-22'!G183,'Expenditures 15-22'!I183)+'Expenditures 15-22'!D278</f>
        <v>16418</v>
      </c>
    </row>
    <row r="39" spans="1:7" ht="12" customHeight="1" x14ac:dyDescent="0.2">
      <c r="A39" s="980" t="s">
        <v>469</v>
      </c>
      <c r="B39" s="981"/>
      <c r="C39" s="983">
        <v>3000</v>
      </c>
      <c r="D39" s="1814"/>
      <c r="E39" s="1816">
        <f>'Expenditures 15-22'!K75-SUM('Expenditures 15-22'!G75,'Expenditures 15-22'!I75)+'Expenditures 15-22'!K130-SUM('Expenditures 15-22'!G130,'Expenditures 15-22'!I130)+'Expenditures 15-22'!K185-SUM('Expenditures 15-22'!G185,'Expenditures 15-22'!I185)+'Expenditures 15-22'!D280</f>
        <v>98</v>
      </c>
      <c r="F39" s="1814"/>
      <c r="G39" s="1816">
        <f>'Expenditures 15-22'!K75-SUM('Expenditures 15-22'!G75,'Expenditures 15-22'!I75)+'Expenditures 15-22'!K130-SUM('Expenditures 15-22'!G130,'Expenditures 15-22'!I130)+'Expenditures 15-22'!K185-SUM('Expenditures 15-22'!G185,'Expenditures 15-22'!I185)+'Expenditures 15-22'!D280</f>
        <v>98</v>
      </c>
    </row>
    <row r="40" spans="1:7" ht="12" customHeight="1" x14ac:dyDescent="0.2">
      <c r="A40" s="980" t="s">
        <v>1930</v>
      </c>
      <c r="B40" s="981"/>
      <c r="C40" s="983"/>
      <c r="D40" s="1814"/>
      <c r="E40" s="1818">
        <f>-'Contracts Paid in CY 29'!G141</f>
        <v>-725351</v>
      </c>
      <c r="F40" s="1814"/>
      <c r="G40" s="1818">
        <f>-'Contracts Paid in CY 29'!G141</f>
        <v>-725351</v>
      </c>
    </row>
    <row r="41" spans="1:7" ht="12" customHeight="1" x14ac:dyDescent="0.2">
      <c r="A41" s="988" t="s">
        <v>158</v>
      </c>
      <c r="B41" s="989"/>
      <c r="C41" s="990"/>
      <c r="D41" s="1818">
        <f>SUM(D19:D39)</f>
        <v>295737</v>
      </c>
      <c r="E41" s="1818">
        <f>SUM(E19:E40)</f>
        <v>8756462</v>
      </c>
      <c r="F41" s="1818">
        <f>SUM(F19:F39)</f>
        <v>1064568</v>
      </c>
      <c r="G41" s="1818">
        <f>SUM(G19:G40)</f>
        <v>7987631</v>
      </c>
    </row>
    <row r="42" spans="1:7" x14ac:dyDescent="0.2">
      <c r="A42" s="977"/>
      <c r="B42" s="162"/>
      <c r="C42" s="991"/>
      <c r="D42" s="2292" t="s">
        <v>543</v>
      </c>
      <c r="E42" s="2293"/>
      <c r="F42" s="992" t="s">
        <v>544</v>
      </c>
      <c r="G42" s="993"/>
    </row>
    <row r="43" spans="1:7" ht="12" customHeight="1" x14ac:dyDescent="0.2">
      <c r="A43" s="977"/>
      <c r="B43" s="162"/>
      <c r="C43" s="991"/>
      <c r="D43" s="1819" t="s">
        <v>493</v>
      </c>
      <c r="E43" s="1820">
        <f>D41</f>
        <v>295737</v>
      </c>
      <c r="F43" s="1819" t="s">
        <v>495</v>
      </c>
      <c r="G43" s="1820">
        <f>F41</f>
        <v>1064568</v>
      </c>
    </row>
    <row r="44" spans="1:7" ht="12" customHeight="1" x14ac:dyDescent="0.2">
      <c r="A44" s="977"/>
      <c r="B44" s="162"/>
      <c r="C44" s="991"/>
      <c r="D44" s="1819" t="s">
        <v>494</v>
      </c>
      <c r="E44" s="1820">
        <f>E41</f>
        <v>8756462</v>
      </c>
      <c r="F44" s="1819" t="s">
        <v>494</v>
      </c>
      <c r="G44" s="1820">
        <f>G41</f>
        <v>7987631</v>
      </c>
    </row>
    <row r="45" spans="1:7" ht="12" customHeight="1" x14ac:dyDescent="0.2">
      <c r="A45" s="977"/>
      <c r="B45" s="162"/>
      <c r="C45" s="162"/>
      <c r="D45" s="1821" t="s">
        <v>1063</v>
      </c>
      <c r="E45" s="1822">
        <f>(E43/E44)</f>
        <v>3.3773572020297696E-2</v>
      </c>
      <c r="F45" s="1821" t="s">
        <v>1063</v>
      </c>
      <c r="G45" s="1822">
        <f>(G43/G44)</f>
        <v>0.13327706299902936</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zoomScaleSheetLayoutView="100" workbookViewId="0">
      <pane ySplit="4" topLeftCell="A5" activePane="bottomLeft" state="frozen"/>
      <selection pane="bottomLeft" activeCell="A5" sqref="A5:F5"/>
    </sheetView>
  </sheetViews>
  <sheetFormatPr defaultColWidth="9.140625" defaultRowHeight="12.75" x14ac:dyDescent="0.2"/>
  <cols>
    <col min="1" max="1" width="54.5703125" style="1889" customWidth="1"/>
    <col min="2" max="2" width="4.140625" style="1889" customWidth="1"/>
    <col min="3" max="4" width="9.85546875" style="1860" customWidth="1"/>
    <col min="5" max="5" width="12.5703125" style="1890" customWidth="1"/>
    <col min="6" max="6" width="67.5703125" style="1860" customWidth="1"/>
    <col min="7" max="7" width="9.140625" style="1860" customWidth="1"/>
    <col min="8" max="8" width="5.5703125" style="1891" bestFit="1" customWidth="1"/>
    <col min="9" max="10" width="2" style="1891" bestFit="1" customWidth="1"/>
    <col min="11" max="11" width="9" style="1891" customWidth="1"/>
    <col min="12" max="16384" width="9.140625" style="1860"/>
  </cols>
  <sheetData>
    <row r="1" spans="1:10" x14ac:dyDescent="0.2">
      <c r="A1" s="2311" t="s">
        <v>1446</v>
      </c>
      <c r="B1" s="2311"/>
      <c r="C1" s="2311"/>
      <c r="D1" s="2311"/>
      <c r="E1" s="2311"/>
      <c r="F1" s="2311"/>
    </row>
    <row r="2" spans="1:10" x14ac:dyDescent="0.2">
      <c r="A2" s="1900" t="s">
        <v>2048</v>
      </c>
      <c r="B2" s="1861"/>
      <c r="C2" s="1900"/>
      <c r="D2" s="1861"/>
      <c r="E2" s="1861"/>
      <c r="F2" s="1862"/>
    </row>
    <row r="3" spans="1:10" x14ac:dyDescent="0.2">
      <c r="A3" s="1900" t="s">
        <v>1700</v>
      </c>
      <c r="B3" s="1861"/>
      <c r="C3" s="1900"/>
      <c r="D3" s="1861"/>
      <c r="E3" s="1861"/>
      <c r="F3" s="1862"/>
    </row>
    <row r="4" spans="1:10" ht="3.75" customHeight="1" x14ac:dyDescent="0.2">
      <c r="A4" s="1861"/>
      <c r="B4" s="1861"/>
      <c r="C4" s="1861"/>
      <c r="D4" s="1861"/>
      <c r="E4" s="1861"/>
      <c r="F4" s="1862"/>
    </row>
    <row r="5" spans="1:10" ht="15" x14ac:dyDescent="0.25">
      <c r="A5" s="2312" t="s">
        <v>1627</v>
      </c>
      <c r="B5" s="2313"/>
      <c r="C5" s="2314"/>
      <c r="D5" s="2314"/>
      <c r="E5" s="2314"/>
      <c r="F5" s="2314"/>
    </row>
    <row r="6" spans="1:10" ht="12" customHeight="1" x14ac:dyDescent="0.25">
      <c r="A6" s="1863"/>
      <c r="B6" s="1864"/>
      <c r="C6" s="2315" t="str">
        <f>COVER!A17</f>
        <v>Benjamin SD 25</v>
      </c>
      <c r="D6" s="2315"/>
      <c r="E6" s="2315"/>
      <c r="F6" s="1865"/>
    </row>
    <row r="7" spans="1:10" ht="11.25" customHeight="1" thickBot="1" x14ac:dyDescent="0.3">
      <c r="A7" s="1863"/>
      <c r="B7" s="1864"/>
      <c r="C7" s="2316">
        <f>COVER!A13</f>
        <v>19022025002</v>
      </c>
      <c r="D7" s="2316"/>
      <c r="E7" s="2316"/>
      <c r="F7" s="1865"/>
    </row>
    <row r="8" spans="1:10" ht="25.5" customHeight="1" thickBot="1" x14ac:dyDescent="0.25">
      <c r="A8" s="1906" t="s">
        <v>2025</v>
      </c>
      <c r="B8" s="1866"/>
      <c r="C8" s="1902" t="s">
        <v>1780</v>
      </c>
      <c r="D8" s="1901" t="s">
        <v>1781</v>
      </c>
      <c r="E8" s="1903" t="s">
        <v>1447</v>
      </c>
      <c r="F8" s="1901" t="s">
        <v>1782</v>
      </c>
      <c r="H8" s="1867" t="b">
        <v>0</v>
      </c>
    </row>
    <row r="9" spans="1:10" ht="15.75" customHeight="1" x14ac:dyDescent="0.2">
      <c r="A9" s="1868" t="s">
        <v>1623</v>
      </c>
      <c r="B9" s="1869"/>
      <c r="C9" s="1870"/>
      <c r="D9" s="1870"/>
      <c r="E9" s="1871"/>
      <c r="F9" s="1872"/>
    </row>
    <row r="10" spans="1:10" ht="27.75" customHeight="1" x14ac:dyDescent="0.2">
      <c r="A10" s="1873" t="s">
        <v>1779</v>
      </c>
      <c r="B10" s="1874"/>
      <c r="C10" s="1875"/>
      <c r="D10" s="1875"/>
      <c r="E10" s="1904" t="s">
        <v>1448</v>
      </c>
      <c r="F10" s="1905" t="s">
        <v>1449</v>
      </c>
    </row>
    <row r="11" spans="1:10" ht="12" customHeight="1" x14ac:dyDescent="0.2">
      <c r="A11" s="1876" t="s">
        <v>1450</v>
      </c>
      <c r="B11" s="1877"/>
      <c r="C11" s="1878"/>
      <c r="D11" s="1878"/>
      <c r="E11" s="1879"/>
      <c r="F11" s="1880"/>
      <c r="H11" s="1891">
        <f>IF(C11="X",5,0)</f>
        <v>0</v>
      </c>
      <c r="I11" s="1891">
        <f>IF(D11="X",5,0)</f>
        <v>0</v>
      </c>
      <c r="J11" s="1891">
        <f>IF(E11="X",5,0)</f>
        <v>0</v>
      </c>
    </row>
    <row r="12" spans="1:10" ht="12" customHeight="1" x14ac:dyDescent="0.2">
      <c r="A12" s="1876" t="s">
        <v>1451</v>
      </c>
      <c r="B12" s="1877"/>
      <c r="C12" s="1878"/>
      <c r="D12" s="1878"/>
      <c r="E12" s="1881"/>
      <c r="F12" s="1880"/>
      <c r="H12" s="1891">
        <f t="shared" ref="H12:H33" si="0">IF(C12="X",5,0)</f>
        <v>0</v>
      </c>
      <c r="I12" s="1891">
        <f t="shared" ref="I12:I33" si="1">IF(D12="X",5,0)</f>
        <v>0</v>
      </c>
      <c r="J12" s="1891">
        <f t="shared" ref="J12:J33" si="2">IF(E12="X",5,0)</f>
        <v>0</v>
      </c>
    </row>
    <row r="13" spans="1:10" ht="12" customHeight="1" x14ac:dyDescent="0.2">
      <c r="A13" s="1876" t="s">
        <v>1452</v>
      </c>
      <c r="B13" s="1877"/>
      <c r="C13" s="1878"/>
      <c r="D13" s="1878"/>
      <c r="E13" s="1881"/>
      <c r="F13" s="1880"/>
      <c r="H13" s="1891">
        <f t="shared" si="0"/>
        <v>0</v>
      </c>
      <c r="I13" s="1891">
        <f t="shared" si="1"/>
        <v>0</v>
      </c>
      <c r="J13" s="1891">
        <f t="shared" si="2"/>
        <v>0</v>
      </c>
    </row>
    <row r="14" spans="1:10" ht="12" customHeight="1" x14ac:dyDescent="0.2">
      <c r="A14" s="1876" t="s">
        <v>1453</v>
      </c>
      <c r="B14" s="1877"/>
      <c r="C14" s="1878"/>
      <c r="D14" s="1878"/>
      <c r="E14" s="1881"/>
      <c r="F14" s="1880"/>
      <c r="H14" s="1891">
        <f t="shared" si="0"/>
        <v>0</v>
      </c>
      <c r="I14" s="1891">
        <f t="shared" si="1"/>
        <v>0</v>
      </c>
      <c r="J14" s="1891">
        <f t="shared" si="2"/>
        <v>0</v>
      </c>
    </row>
    <row r="15" spans="1:10" ht="12" customHeight="1" x14ac:dyDescent="0.2">
      <c r="A15" s="1876" t="s">
        <v>1454</v>
      </c>
      <c r="B15" s="1877"/>
      <c r="C15" s="1878" t="s">
        <v>2084</v>
      </c>
      <c r="D15" s="1878" t="s">
        <v>2084</v>
      </c>
      <c r="E15" s="1881"/>
      <c r="F15" s="1880" t="s">
        <v>2097</v>
      </c>
      <c r="H15" s="1891">
        <f t="shared" si="0"/>
        <v>5</v>
      </c>
      <c r="I15" s="1891">
        <f t="shared" si="1"/>
        <v>5</v>
      </c>
      <c r="J15" s="1891">
        <f t="shared" si="2"/>
        <v>0</v>
      </c>
    </row>
    <row r="16" spans="1:10" ht="12" customHeight="1" x14ac:dyDescent="0.2">
      <c r="A16" s="1876" t="s">
        <v>1455</v>
      </c>
      <c r="B16" s="1877"/>
      <c r="C16" s="1878"/>
      <c r="D16" s="1878"/>
      <c r="E16" s="1881"/>
      <c r="F16" s="1880"/>
      <c r="H16" s="1891">
        <f t="shared" si="0"/>
        <v>0</v>
      </c>
      <c r="I16" s="1891">
        <f t="shared" si="1"/>
        <v>0</v>
      </c>
      <c r="J16" s="1891">
        <f t="shared" si="2"/>
        <v>0</v>
      </c>
    </row>
    <row r="17" spans="1:12" ht="12" customHeight="1" x14ac:dyDescent="0.2">
      <c r="A17" s="1876" t="s">
        <v>1456</v>
      </c>
      <c r="B17" s="1877"/>
      <c r="C17" s="1878"/>
      <c r="D17" s="1878"/>
      <c r="E17" s="1881"/>
      <c r="F17" s="1880"/>
      <c r="H17" s="1891">
        <f t="shared" si="0"/>
        <v>0</v>
      </c>
      <c r="I17" s="1891">
        <f t="shared" si="1"/>
        <v>0</v>
      </c>
      <c r="J17" s="1891">
        <f t="shared" si="2"/>
        <v>0</v>
      </c>
    </row>
    <row r="18" spans="1:12" ht="12" customHeight="1" x14ac:dyDescent="0.2">
      <c r="A18" s="1876" t="s">
        <v>1457</v>
      </c>
      <c r="B18" s="1877"/>
      <c r="C18" s="1878"/>
      <c r="D18" s="1878"/>
      <c r="E18" s="1881"/>
      <c r="F18" s="1880"/>
      <c r="H18" s="1891">
        <f t="shared" si="0"/>
        <v>0</v>
      </c>
      <c r="I18" s="1891">
        <f t="shared" si="1"/>
        <v>0</v>
      </c>
      <c r="J18" s="1891">
        <f t="shared" si="2"/>
        <v>0</v>
      </c>
    </row>
    <row r="19" spans="1:12" ht="12" customHeight="1" x14ac:dyDescent="0.2">
      <c r="A19" s="1876" t="s">
        <v>1608</v>
      </c>
      <c r="B19" s="1877"/>
      <c r="C19" s="1878" t="s">
        <v>2084</v>
      </c>
      <c r="D19" s="1878" t="s">
        <v>2084</v>
      </c>
      <c r="E19" s="1881"/>
      <c r="F19" s="1880" t="s">
        <v>2098</v>
      </c>
      <c r="H19" s="1891">
        <f t="shared" si="0"/>
        <v>5</v>
      </c>
      <c r="I19" s="1891">
        <f t="shared" si="1"/>
        <v>5</v>
      </c>
      <c r="J19" s="1891">
        <f t="shared" si="2"/>
        <v>0</v>
      </c>
    </row>
    <row r="20" spans="1:12" ht="12" customHeight="1" x14ac:dyDescent="0.2">
      <c r="A20" s="1876" t="s">
        <v>1609</v>
      </c>
      <c r="B20" s="1877"/>
      <c r="C20" s="1878"/>
      <c r="D20" s="1878"/>
      <c r="E20" s="1881"/>
      <c r="F20" s="1880"/>
      <c r="H20" s="1891">
        <f t="shared" si="0"/>
        <v>0</v>
      </c>
      <c r="I20" s="1891">
        <f t="shared" si="1"/>
        <v>0</v>
      </c>
      <c r="J20" s="1891">
        <f t="shared" si="2"/>
        <v>0</v>
      </c>
    </row>
    <row r="21" spans="1:12" ht="12" customHeight="1" x14ac:dyDescent="0.2">
      <c r="A21" s="1876" t="s">
        <v>1610</v>
      </c>
      <c r="B21" s="1877"/>
      <c r="C21" s="1878" t="s">
        <v>2084</v>
      </c>
      <c r="D21" s="1878" t="s">
        <v>2084</v>
      </c>
      <c r="E21" s="1881"/>
      <c r="F21" s="1880" t="s">
        <v>2098</v>
      </c>
      <c r="H21" s="1891">
        <f t="shared" si="0"/>
        <v>5</v>
      </c>
      <c r="I21" s="1891">
        <f t="shared" si="1"/>
        <v>5</v>
      </c>
      <c r="J21" s="1891">
        <f t="shared" si="2"/>
        <v>0</v>
      </c>
    </row>
    <row r="22" spans="1:12" ht="12" customHeight="1" x14ac:dyDescent="0.2">
      <c r="A22" s="1876" t="s">
        <v>1611</v>
      </c>
      <c r="B22" s="1877"/>
      <c r="C22" s="1878"/>
      <c r="D22" s="1878"/>
      <c r="E22" s="1881"/>
      <c r="F22" s="1880"/>
      <c r="H22" s="1891">
        <f t="shared" si="0"/>
        <v>0</v>
      </c>
      <c r="I22" s="1891">
        <f t="shared" si="1"/>
        <v>0</v>
      </c>
      <c r="J22" s="1891">
        <f t="shared" si="2"/>
        <v>0</v>
      </c>
    </row>
    <row r="23" spans="1:12" ht="12" customHeight="1" x14ac:dyDescent="0.2">
      <c r="A23" s="1876" t="s">
        <v>1612</v>
      </c>
      <c r="B23" s="1877"/>
      <c r="C23" s="1878"/>
      <c r="D23" s="1878"/>
      <c r="E23" s="1881"/>
      <c r="F23" s="1880"/>
      <c r="H23" s="1891">
        <f t="shared" si="0"/>
        <v>0</v>
      </c>
      <c r="I23" s="1891">
        <f t="shared" si="1"/>
        <v>0</v>
      </c>
      <c r="J23" s="1891">
        <f t="shared" si="2"/>
        <v>0</v>
      </c>
    </row>
    <row r="24" spans="1:12" ht="12" customHeight="1" x14ac:dyDescent="0.2">
      <c r="A24" s="1876" t="s">
        <v>1613</v>
      </c>
      <c r="B24" s="1877"/>
      <c r="C24" s="1878"/>
      <c r="D24" s="1878"/>
      <c r="E24" s="1881"/>
      <c r="F24" s="1880"/>
      <c r="H24" s="1891">
        <f t="shared" si="0"/>
        <v>0</v>
      </c>
      <c r="I24" s="1891">
        <f t="shared" si="1"/>
        <v>0</v>
      </c>
      <c r="J24" s="1891">
        <f t="shared" si="2"/>
        <v>0</v>
      </c>
    </row>
    <row r="25" spans="1:12" ht="12" customHeight="1" x14ac:dyDescent="0.2">
      <c r="A25" s="1876" t="s">
        <v>1614</v>
      </c>
      <c r="B25" s="1877"/>
      <c r="C25" s="1878"/>
      <c r="D25" s="1878"/>
      <c r="E25" s="1881"/>
      <c r="F25" s="1880"/>
      <c r="H25" s="1891">
        <f t="shared" si="0"/>
        <v>0</v>
      </c>
      <c r="I25" s="1891">
        <f t="shared" si="1"/>
        <v>0</v>
      </c>
      <c r="J25" s="1891">
        <f t="shared" si="2"/>
        <v>0</v>
      </c>
    </row>
    <row r="26" spans="1:12" ht="12" customHeight="1" x14ac:dyDescent="0.2">
      <c r="A26" s="1876" t="s">
        <v>1615</v>
      </c>
      <c r="B26" s="1877"/>
      <c r="C26" s="1878" t="s">
        <v>2084</v>
      </c>
      <c r="D26" s="1878" t="s">
        <v>2084</v>
      </c>
      <c r="E26" s="1881"/>
      <c r="F26" s="1880" t="s">
        <v>2099</v>
      </c>
      <c r="H26" s="1891">
        <f t="shared" si="0"/>
        <v>5</v>
      </c>
      <c r="I26" s="1891">
        <f t="shared" si="1"/>
        <v>5</v>
      </c>
      <c r="J26" s="1891">
        <f t="shared" si="2"/>
        <v>0</v>
      </c>
    </row>
    <row r="27" spans="1:12" ht="18.75" x14ac:dyDescent="0.2">
      <c r="A27" s="1876" t="s">
        <v>1616</v>
      </c>
      <c r="B27" s="1877"/>
      <c r="C27" s="1878" t="s">
        <v>2084</v>
      </c>
      <c r="D27" s="1878" t="s">
        <v>2084</v>
      </c>
      <c r="E27" s="1881"/>
      <c r="F27" s="1880" t="s">
        <v>2100</v>
      </c>
      <c r="H27" s="1891">
        <f t="shared" si="0"/>
        <v>5</v>
      </c>
      <c r="I27" s="1891">
        <f t="shared" si="1"/>
        <v>5</v>
      </c>
      <c r="J27" s="1891">
        <f t="shared" si="2"/>
        <v>0</v>
      </c>
    </row>
    <row r="28" spans="1:12" ht="12" customHeight="1" x14ac:dyDescent="0.2">
      <c r="A28" s="1876" t="s">
        <v>1617</v>
      </c>
      <c r="B28" s="1877"/>
      <c r="C28" s="1878" t="s">
        <v>2084</v>
      </c>
      <c r="D28" s="1878" t="s">
        <v>2084</v>
      </c>
      <c r="E28" s="1881"/>
      <c r="F28" s="1880" t="s">
        <v>2101</v>
      </c>
      <c r="H28" s="1891">
        <f t="shared" si="0"/>
        <v>5</v>
      </c>
      <c r="I28" s="1891">
        <f t="shared" si="1"/>
        <v>5</v>
      </c>
      <c r="J28" s="1891">
        <f t="shared" si="2"/>
        <v>0</v>
      </c>
    </row>
    <row r="29" spans="1:12" ht="12" customHeight="1" x14ac:dyDescent="0.2">
      <c r="A29" s="1876" t="s">
        <v>1618</v>
      </c>
      <c r="B29" s="1877"/>
      <c r="C29" s="1878"/>
      <c r="D29" s="1878"/>
      <c r="E29" s="1881"/>
      <c r="F29" s="1880"/>
      <c r="H29" s="1891">
        <f t="shared" si="0"/>
        <v>0</v>
      </c>
      <c r="I29" s="1891">
        <f t="shared" si="1"/>
        <v>0</v>
      </c>
      <c r="J29" s="1891">
        <f t="shared" si="2"/>
        <v>0</v>
      </c>
    </row>
    <row r="30" spans="1:12" ht="12" customHeight="1" x14ac:dyDescent="0.2">
      <c r="A30" s="1876" t="s">
        <v>1619</v>
      </c>
      <c r="B30" s="1877"/>
      <c r="C30" s="1878"/>
      <c r="D30" s="1878"/>
      <c r="E30" s="1881"/>
      <c r="F30" s="1880"/>
      <c r="H30" s="1891">
        <f t="shared" si="0"/>
        <v>0</v>
      </c>
      <c r="I30" s="1891">
        <f t="shared" si="1"/>
        <v>0</v>
      </c>
      <c r="J30" s="1891">
        <f t="shared" si="2"/>
        <v>0</v>
      </c>
    </row>
    <row r="31" spans="1:12" ht="12" customHeight="1" x14ac:dyDescent="0.2">
      <c r="A31" s="1876" t="s">
        <v>1620</v>
      </c>
      <c r="B31" s="1877"/>
      <c r="C31" s="1878"/>
      <c r="D31" s="1878"/>
      <c r="E31" s="1881"/>
      <c r="F31" s="1880"/>
      <c r="H31" s="1891">
        <f t="shared" si="0"/>
        <v>0</v>
      </c>
      <c r="I31" s="1891">
        <f t="shared" si="1"/>
        <v>0</v>
      </c>
      <c r="J31" s="1891">
        <f t="shared" si="2"/>
        <v>0</v>
      </c>
      <c r="L31" s="1882"/>
    </row>
    <row r="32" spans="1:12" ht="12" customHeight="1" x14ac:dyDescent="0.2">
      <c r="A32" s="1876" t="s">
        <v>1621</v>
      </c>
      <c r="B32" s="1877"/>
      <c r="C32" s="1878"/>
      <c r="D32" s="1878"/>
      <c r="E32" s="1881"/>
      <c r="F32" s="1880"/>
      <c r="H32" s="1891">
        <f t="shared" si="0"/>
        <v>0</v>
      </c>
      <c r="I32" s="1891">
        <f t="shared" si="1"/>
        <v>0</v>
      </c>
      <c r="J32" s="1891">
        <f t="shared" si="2"/>
        <v>0</v>
      </c>
    </row>
    <row r="33" spans="1:11" ht="12" customHeight="1" x14ac:dyDescent="0.2">
      <c r="A33" s="1876" t="s">
        <v>1622</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30</v>
      </c>
      <c r="I34" s="1891">
        <f>SUM(I11:I32)</f>
        <v>30</v>
      </c>
      <c r="J34" s="1891">
        <f>SUM(J11:J32)</f>
        <v>0</v>
      </c>
      <c r="K34" s="1891">
        <f>SUM(H34:J34)</f>
        <v>60</v>
      </c>
    </row>
    <row r="35" spans="1:11" ht="12" customHeight="1" x14ac:dyDescent="0.2">
      <c r="A35" s="1884" t="s">
        <v>1459</v>
      </c>
      <c r="B35" s="1885"/>
      <c r="C35" s="2317"/>
      <c r="D35" s="2317"/>
      <c r="E35" s="2317"/>
      <c r="F35" s="2318"/>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03"/>
      <c r="B38" s="2304"/>
      <c r="C38" s="2304"/>
      <c r="D38" s="2304"/>
      <c r="E38" s="2304"/>
      <c r="F38" s="2305"/>
    </row>
    <row r="39" spans="1:11" ht="4.5" hidden="1" customHeight="1" x14ac:dyDescent="0.2">
      <c r="A39" s="1886"/>
      <c r="B39" s="1886"/>
      <c r="C39" s="1886"/>
      <c r="D39" s="1886"/>
      <c r="E39" s="1886"/>
      <c r="F39" s="1886"/>
    </row>
    <row r="40" spans="1:11" s="1883" customFormat="1" ht="12" customHeight="1" x14ac:dyDescent="0.25">
      <c r="A40" s="1887" t="s">
        <v>1458</v>
      </c>
      <c r="B40" s="1888"/>
      <c r="C40" s="2306"/>
      <c r="D40" s="2306"/>
      <c r="E40" s="2306"/>
      <c r="F40" s="2307"/>
      <c r="H40" s="1892"/>
      <c r="I40" s="1892"/>
      <c r="J40" s="1892"/>
      <c r="K40" s="1892"/>
    </row>
    <row r="41" spans="1:11" s="1883" customFormat="1" ht="12" customHeight="1" x14ac:dyDescent="0.25">
      <c r="A41" s="2308"/>
      <c r="B41" s="2309"/>
      <c r="C41" s="2309"/>
      <c r="D41" s="2309"/>
      <c r="E41" s="2309"/>
      <c r="F41" s="2310"/>
      <c r="H41" s="1892"/>
      <c r="I41" s="1892"/>
      <c r="J41" s="1892"/>
      <c r="K41" s="1892"/>
    </row>
    <row r="42" spans="1:11" s="1883" customFormat="1" ht="12" customHeight="1" x14ac:dyDescent="0.25">
      <c r="A42" s="2308"/>
      <c r="B42" s="2309"/>
      <c r="C42" s="2309"/>
      <c r="D42" s="2309"/>
      <c r="E42" s="2309"/>
      <c r="F42" s="2310"/>
      <c r="H42" s="1892"/>
      <c r="I42" s="1892"/>
      <c r="J42" s="1892"/>
      <c r="K42" s="1892"/>
    </row>
    <row r="43" spans="1:11" s="1883" customFormat="1" ht="15" x14ac:dyDescent="0.25">
      <c r="A43" s="2297"/>
      <c r="B43" s="2298"/>
      <c r="C43" s="2298"/>
      <c r="D43" s="2298"/>
      <c r="E43" s="2298"/>
      <c r="F43" s="2299"/>
      <c r="H43" s="1892"/>
      <c r="I43" s="1892"/>
      <c r="J43" s="1892"/>
      <c r="K43" s="1892"/>
    </row>
    <row r="44" spans="1:11" s="1883" customFormat="1" ht="12" hidden="1" customHeight="1" x14ac:dyDescent="0.25">
      <c r="A44" s="2297"/>
      <c r="B44" s="2298"/>
      <c r="C44" s="2298"/>
      <c r="D44" s="2298"/>
      <c r="E44" s="2298"/>
      <c r="F44" s="2299"/>
      <c r="H44" s="1892"/>
      <c r="I44" s="1892"/>
      <c r="J44" s="1892"/>
      <c r="K44" s="1892"/>
    </row>
    <row r="45" spans="1:11" s="1883" customFormat="1" ht="12" customHeight="1" x14ac:dyDescent="0.25">
      <c r="H45" s="1892"/>
      <c r="I45" s="1892"/>
      <c r="J45" s="1892"/>
      <c r="K45" s="1892"/>
    </row>
    <row r="46" spans="1:11" s="1883" customFormat="1" ht="9.75" customHeight="1" x14ac:dyDescent="0.25">
      <c r="H46" s="1892"/>
      <c r="I46" s="1892"/>
      <c r="J46" s="1892"/>
      <c r="K46" s="1892"/>
    </row>
    <row r="47" spans="1:11" s="1883" customFormat="1" ht="13.5"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Normal="100" workbookViewId="0"/>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907" t="s">
        <v>693</v>
      </c>
      <c r="B6" s="1653"/>
      <c r="C6" s="1653"/>
      <c r="D6" s="1653"/>
      <c r="E6" s="1654"/>
      <c r="F6" s="1005"/>
      <c r="G6" s="999"/>
      <c r="H6" s="1006" t="s">
        <v>1086</v>
      </c>
      <c r="I6" s="2324" t="str">
        <f>COVER!A17</f>
        <v>Benjamin SD 25</v>
      </c>
      <c r="J6" s="2325"/>
      <c r="Q6" s="1675"/>
    </row>
    <row r="7" spans="1:17" x14ac:dyDescent="0.2">
      <c r="A7" s="2326" t="s">
        <v>924</v>
      </c>
      <c r="B7" s="2327"/>
      <c r="C7" s="2327"/>
      <c r="D7" s="2327"/>
      <c r="E7" s="2328"/>
      <c r="F7" s="1007"/>
      <c r="G7" s="999"/>
      <c r="H7" s="1006" t="s">
        <v>390</v>
      </c>
      <c r="I7" s="2329">
        <f>COVER!A13</f>
        <v>19022025002</v>
      </c>
      <c r="J7" s="2329"/>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8" t="s">
        <v>1701</v>
      </c>
      <c r="F9" s="1013"/>
      <c r="G9" s="1013"/>
      <c r="H9" s="1909"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330" t="s">
        <v>502</v>
      </c>
      <c r="B11" s="2331"/>
      <c r="C11" s="2332"/>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23">
        <f>'Expenditures 15-22'!K50</f>
        <v>361799</v>
      </c>
      <c r="F12" s="1029"/>
      <c r="G12" s="1823">
        <f t="shared" ref="G12:G18" si="0">SUM(E12:F12)</f>
        <v>361799</v>
      </c>
      <c r="H12" s="1030">
        <v>381971</v>
      </c>
      <c r="I12" s="1029"/>
      <c r="J12" s="1823">
        <f t="shared" ref="J12:J18" si="1">SUM(H12:I12)</f>
        <v>381971</v>
      </c>
    </row>
    <row r="13" spans="1:17" ht="15" customHeight="1" x14ac:dyDescent="0.2">
      <c r="A13" s="1025">
        <v>2</v>
      </c>
      <c r="B13" s="1026" t="s">
        <v>44</v>
      </c>
      <c r="C13" s="1027"/>
      <c r="D13" s="1028">
        <v>2330</v>
      </c>
      <c r="E13" s="1823">
        <f>'Expenditures 15-22'!K51</f>
        <v>46299</v>
      </c>
      <c r="F13" s="1029"/>
      <c r="G13" s="1823">
        <f t="shared" si="0"/>
        <v>46299</v>
      </c>
      <c r="H13" s="1030">
        <v>46696</v>
      </c>
      <c r="I13" s="1029"/>
      <c r="J13" s="1823">
        <f t="shared" si="1"/>
        <v>46696</v>
      </c>
    </row>
    <row r="14" spans="1:17" ht="15" customHeight="1" x14ac:dyDescent="0.2">
      <c r="A14" s="1025">
        <v>3</v>
      </c>
      <c r="B14" s="1026" t="s">
        <v>45</v>
      </c>
      <c r="C14" s="1027"/>
      <c r="D14" s="1031">
        <v>2490</v>
      </c>
      <c r="E14" s="1823">
        <f>'Expenditures 15-22'!K56</f>
        <v>0</v>
      </c>
      <c r="F14" s="1029"/>
      <c r="G14" s="1823">
        <f t="shared" si="0"/>
        <v>0</v>
      </c>
      <c r="H14" s="1030">
        <v>0</v>
      </c>
      <c r="I14" s="1029"/>
      <c r="J14" s="1823">
        <f t="shared" si="1"/>
        <v>0</v>
      </c>
    </row>
    <row r="15" spans="1:17" ht="15" customHeight="1" x14ac:dyDescent="0.2">
      <c r="A15" s="1025">
        <v>4</v>
      </c>
      <c r="B15" s="1026" t="s">
        <v>1128</v>
      </c>
      <c r="C15" s="1027"/>
      <c r="D15" s="1028">
        <v>2510</v>
      </c>
      <c r="E15" s="1823">
        <f>'Expenditures 15-22'!K59</f>
        <v>79808</v>
      </c>
      <c r="F15" s="1823">
        <f>'Expenditures 15-22'!K122</f>
        <v>0</v>
      </c>
      <c r="G15" s="1823">
        <f t="shared" si="0"/>
        <v>79808</v>
      </c>
      <c r="H15" s="1030">
        <v>82051</v>
      </c>
      <c r="I15" s="1030">
        <v>0</v>
      </c>
      <c r="J15" s="1823">
        <f t="shared" si="1"/>
        <v>82051</v>
      </c>
    </row>
    <row r="16" spans="1:17" ht="15" customHeight="1" x14ac:dyDescent="0.2">
      <c r="A16" s="1025">
        <v>5</v>
      </c>
      <c r="B16" s="1026" t="s">
        <v>103</v>
      </c>
      <c r="C16" s="1027"/>
      <c r="D16" s="1028">
        <v>2570</v>
      </c>
      <c r="E16" s="1823">
        <f>'Expenditures 15-22'!K64</f>
        <v>0</v>
      </c>
      <c r="F16" s="1029"/>
      <c r="G16" s="1823">
        <f t="shared" si="0"/>
        <v>0</v>
      </c>
      <c r="H16" s="1030">
        <v>0</v>
      </c>
      <c r="I16" s="1029"/>
      <c r="J16" s="1823">
        <f t="shared" si="1"/>
        <v>0</v>
      </c>
    </row>
    <row r="17" spans="1:10" ht="15" customHeight="1" x14ac:dyDescent="0.2">
      <c r="A17" s="1025">
        <v>6</v>
      </c>
      <c r="B17" s="1026" t="s">
        <v>1120</v>
      </c>
      <c r="C17" s="1027"/>
      <c r="D17" s="1028">
        <v>2610</v>
      </c>
      <c r="E17" s="1823">
        <f>'Expenditures 15-22'!K67</f>
        <v>0</v>
      </c>
      <c r="F17" s="1029"/>
      <c r="G17" s="1823">
        <f t="shared" si="0"/>
        <v>0</v>
      </c>
      <c r="H17" s="1030">
        <v>0</v>
      </c>
      <c r="I17" s="1029"/>
      <c r="J17" s="1823">
        <f t="shared" si="1"/>
        <v>0</v>
      </c>
    </row>
    <row r="18" spans="1:10" ht="22.5" customHeight="1" x14ac:dyDescent="0.2">
      <c r="A18" s="1032">
        <v>7</v>
      </c>
      <c r="B18" s="2333" t="s">
        <v>7</v>
      </c>
      <c r="C18" s="2334"/>
      <c r="D18" s="2335"/>
      <c r="E18" s="1033"/>
      <c r="F18" s="1033"/>
      <c r="G18" s="1824">
        <f t="shared" si="0"/>
        <v>0</v>
      </c>
      <c r="H18" s="1030"/>
      <c r="I18" s="1030"/>
      <c r="J18" s="1823">
        <f t="shared" si="1"/>
        <v>0</v>
      </c>
    </row>
    <row r="19" spans="1:10" ht="12.75" customHeight="1" thickBot="1" x14ac:dyDescent="0.25">
      <c r="A19" s="1025">
        <v>8</v>
      </c>
      <c r="B19" s="1034" t="s">
        <v>1223</v>
      </c>
      <c r="D19" s="1035"/>
      <c r="E19" s="1825">
        <f t="shared" ref="E19:J19" si="2">SUM(E12:E17)-E18</f>
        <v>487906</v>
      </c>
      <c r="F19" s="1825">
        <f t="shared" si="2"/>
        <v>0</v>
      </c>
      <c r="G19" s="1825">
        <f t="shared" si="2"/>
        <v>487906</v>
      </c>
      <c r="H19" s="1825">
        <f t="shared" si="2"/>
        <v>510718</v>
      </c>
      <c r="I19" s="1825">
        <f t="shared" si="2"/>
        <v>0</v>
      </c>
      <c r="J19" s="1825">
        <f t="shared" si="2"/>
        <v>510718</v>
      </c>
    </row>
    <row r="20" spans="1:10" ht="13.5" thickTop="1" x14ac:dyDescent="0.2">
      <c r="A20" s="1025">
        <v>9</v>
      </c>
      <c r="B20" s="2336" t="s">
        <v>1703</v>
      </c>
      <c r="C20" s="2336"/>
      <c r="D20" s="2337"/>
      <c r="E20" s="1036"/>
      <c r="F20" s="1036"/>
      <c r="G20" s="1036"/>
      <c r="H20" s="1036"/>
      <c r="I20" s="1036"/>
      <c r="J20" s="1826">
        <f>IF(AND(G19&gt;0,J19&gt;0),(((J19-G19)/G19)),"Enter Budget Data")</f>
        <v>4.6754907707632208E-2</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342"/>
      <c r="D26" s="2342"/>
      <c r="E26" s="1040"/>
      <c r="F26" s="2341"/>
      <c r="G26" s="2341"/>
    </row>
    <row r="27" spans="1:10" x14ac:dyDescent="0.2">
      <c r="B27" s="1037"/>
      <c r="C27" s="1041" t="s">
        <v>1093</v>
      </c>
      <c r="D27" s="1042"/>
      <c r="E27" s="1043"/>
      <c r="F27" s="2338" t="s">
        <v>1589</v>
      </c>
      <c r="G27" s="2338"/>
    </row>
    <row r="28" spans="1:10" ht="28.5" customHeight="1" x14ac:dyDescent="0.2">
      <c r="B28" s="1037"/>
      <c r="C28" s="2340"/>
      <c r="D28" s="2340"/>
      <c r="E28" s="1044"/>
      <c r="F28" s="2340"/>
      <c r="G28" s="2340"/>
    </row>
    <row r="29" spans="1:10" x14ac:dyDescent="0.2">
      <c r="B29" s="1037"/>
      <c r="C29" s="1045" t="s">
        <v>1642</v>
      </c>
      <c r="E29" s="1046"/>
      <c r="F29" s="2339" t="s">
        <v>1590</v>
      </c>
      <c r="G29" s="2339"/>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321" t="s">
        <v>134</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52"/>
    </row>
    <row r="36" spans="1:10" ht="13.5" customHeight="1" x14ac:dyDescent="0.2">
      <c r="B36" s="1051"/>
      <c r="C36" s="2323" t="s">
        <v>1944</v>
      </c>
      <c r="D36" s="2322"/>
      <c r="E36" s="2322"/>
      <c r="F36" s="2322"/>
      <c r="G36" s="2322"/>
      <c r="H36" s="2322"/>
      <c r="I36" s="2322"/>
      <c r="J36" s="1053"/>
    </row>
    <row r="37" spans="1:10" ht="22.5" customHeight="1" x14ac:dyDescent="0.2">
      <c r="C37" s="2322"/>
      <c r="D37" s="2322"/>
      <c r="E37" s="2322"/>
      <c r="F37" s="2322"/>
      <c r="G37" s="2322"/>
      <c r="H37" s="2322"/>
      <c r="I37" s="2322"/>
      <c r="J37" s="1053"/>
    </row>
    <row r="38" spans="1:10" ht="7.5" customHeight="1" x14ac:dyDescent="0.2">
      <c r="C38" s="1052"/>
      <c r="D38" s="1054"/>
      <c r="E38" s="1055"/>
      <c r="F38" s="1056"/>
      <c r="G38" s="1055"/>
    </row>
    <row r="39" spans="1:10" ht="13.5" customHeight="1" x14ac:dyDescent="0.2">
      <c r="B39" s="1051"/>
      <c r="C39" s="2319" t="s">
        <v>937</v>
      </c>
      <c r="D39" s="2320"/>
      <c r="E39" s="2320"/>
      <c r="F39" s="2320"/>
      <c r="G39" s="2320"/>
      <c r="H39" s="2320"/>
      <c r="I39" s="2320"/>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Normal="10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8">
        <v>1</v>
      </c>
    </row>
    <row r="6" spans="1:1" x14ac:dyDescent="0.2">
      <c r="A6" s="1058">
        <v>2</v>
      </c>
    </row>
    <row r="7" spans="1:1" x14ac:dyDescent="0.2">
      <c r="A7" s="1058">
        <v>3</v>
      </c>
    </row>
    <row r="8" spans="1:1" x14ac:dyDescent="0.2">
      <c r="A8" s="1058">
        <v>4</v>
      </c>
    </row>
    <row r="9" spans="1:1" x14ac:dyDescent="0.2">
      <c r="A9" s="1059"/>
    </row>
    <row r="10" spans="1:1" x14ac:dyDescent="0.2">
      <c r="A10" s="1059"/>
    </row>
    <row r="11" spans="1:1" x14ac:dyDescent="0.2">
      <c r="A11" s="1059"/>
    </row>
    <row r="12" spans="1:1" x14ac:dyDescent="0.2">
      <c r="A12" s="1059"/>
    </row>
    <row r="13" spans="1:1" x14ac:dyDescent="0.2">
      <c r="A13" s="1059"/>
    </row>
    <row r="14" spans="1:1" x14ac:dyDescent="0.2">
      <c r="A14" s="1059"/>
    </row>
    <row r="15" spans="1:1" x14ac:dyDescent="0.2">
      <c r="A15" s="1059"/>
    </row>
    <row r="16" spans="1:1"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1" x14ac:dyDescent="0.2">
      <c r="A33" s="1059"/>
    </row>
    <row r="34" spans="1:1" x14ac:dyDescent="0.2">
      <c r="A34" s="1059"/>
    </row>
    <row r="35" spans="1:1" x14ac:dyDescent="0.2">
      <c r="A35" s="1059"/>
    </row>
    <row r="36" spans="1:1" x14ac:dyDescent="0.2">
      <c r="A36" s="1059"/>
    </row>
    <row r="37" spans="1:1" x14ac:dyDescent="0.2">
      <c r="A37" s="1059"/>
    </row>
    <row r="38" spans="1:1" x14ac:dyDescent="0.2">
      <c r="A38" s="1059"/>
    </row>
    <row r="39" spans="1:1" x14ac:dyDescent="0.2">
      <c r="A39" s="1059"/>
    </row>
    <row r="40" spans="1:1" x14ac:dyDescent="0.2">
      <c r="A40" s="1059"/>
    </row>
    <row r="41" spans="1:1" x14ac:dyDescent="0.2">
      <c r="A41" s="1059"/>
    </row>
    <row r="42" spans="1:1" x14ac:dyDescent="0.2">
      <c r="A42" s="1059"/>
    </row>
    <row r="43" spans="1:1" x14ac:dyDescent="0.2">
      <c r="A43" s="1059"/>
    </row>
    <row r="44" spans="1:1" x14ac:dyDescent="0.2">
      <c r="A44" s="1059"/>
    </row>
    <row r="45" spans="1:1" x14ac:dyDescent="0.2">
      <c r="A45" s="1059"/>
    </row>
    <row r="46" spans="1:1" x14ac:dyDescent="0.2">
      <c r="A46" s="1059"/>
    </row>
    <row r="47" spans="1:1" x14ac:dyDescent="0.2">
      <c r="A47" s="1059"/>
    </row>
    <row r="48" spans="1:1" x14ac:dyDescent="0.2">
      <c r="A48" s="1059"/>
    </row>
    <row r="49" spans="1:2" x14ac:dyDescent="0.2">
      <c r="A49" s="1059"/>
    </row>
    <row r="50" spans="1:2" x14ac:dyDescent="0.2">
      <c r="A50" s="1059"/>
    </row>
    <row r="51" spans="1:2" x14ac:dyDescent="0.2">
      <c r="A51" s="1059"/>
    </row>
    <row r="52" spans="1:2" x14ac:dyDescent="0.2">
      <c r="A52" s="1059"/>
    </row>
    <row r="53" spans="1:2" x14ac:dyDescent="0.2">
      <c r="A53" s="1059"/>
    </row>
    <row r="54" spans="1:2" x14ac:dyDescent="0.2">
      <c r="A54" s="1059"/>
    </row>
    <row r="55" spans="1:2" x14ac:dyDescent="0.2">
      <c r="A55" s="1059"/>
    </row>
    <row r="56" spans="1:2" x14ac:dyDescent="0.2">
      <c r="A56" s="1059"/>
    </row>
    <row r="57" spans="1:2" x14ac:dyDescent="0.2">
      <c r="A57" s="1059"/>
    </row>
    <row r="58" spans="1:2" x14ac:dyDescent="0.2">
      <c r="A58" s="1059"/>
    </row>
    <row r="59" spans="1:2" x14ac:dyDescent="0.2">
      <c r="A59" s="1059"/>
    </row>
    <row r="60" spans="1:2" x14ac:dyDescent="0.2">
      <c r="A60" s="1059"/>
    </row>
    <row r="61" spans="1:2" x14ac:dyDescent="0.2">
      <c r="A61" s="1059"/>
    </row>
    <row r="62" spans="1:2" x14ac:dyDescent="0.2">
      <c r="A62" s="1059"/>
    </row>
    <row r="63" spans="1:2" x14ac:dyDescent="0.2">
      <c r="A63" s="1059"/>
    </row>
    <row r="64" spans="1:2" x14ac:dyDescent="0.2">
      <c r="A64" s="1059"/>
      <c r="B64" s="258" t="str">
        <f>COVER!A17</f>
        <v>Benjamin SD 25</v>
      </c>
    </row>
    <row r="65" spans="2:2" x14ac:dyDescent="0.2">
      <c r="B65" s="1060">
        <f>COVER!A13</f>
        <v>19022025002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1"/>
      <c r="C11" s="1061"/>
      <c r="D11" s="1061"/>
      <c r="E11" s="1061"/>
      <c r="F11" s="1061"/>
    </row>
    <row r="13" spans="1:6" x14ac:dyDescent="0.2">
      <c r="A13" s="1062" t="s">
        <v>1573</v>
      </c>
    </row>
    <row r="15" spans="1:6" x14ac:dyDescent="0.2">
      <c r="A15" s="389" t="s">
        <v>912</v>
      </c>
    </row>
    <row r="16" spans="1:6" s="1061" customFormat="1" ht="45" customHeight="1" x14ac:dyDescent="0.2">
      <c r="A16" s="1063"/>
      <c r="B16" s="1063" t="s">
        <v>1783</v>
      </c>
    </row>
    <row r="17" spans="1:2" ht="6" customHeight="1" x14ac:dyDescent="0.2"/>
    <row r="18" spans="1:2" ht="24.75" customHeight="1" x14ac:dyDescent="0.2">
      <c r="A18" s="2343" t="s">
        <v>1784</v>
      </c>
      <c r="B18" s="234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4"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7" dvAspect="DVASPECT_ICON" shapeId="35844" r:id="rId4"/>
      </mc:Fallback>
    </mc:AlternateContent>
    <mc:AlternateContent xmlns:mc="http://schemas.openxmlformats.org/markup-compatibility/2006">
      <mc:Choice Requires="x14">
        <oleObject progId="AcroExch.Document.7" dvAspect="DVASPECT_ICON" shapeId="35845" r:id="rId6">
          <objectPr defaultSize="0" r:id="rId7">
            <anchor moveWithCells="1">
              <from>
                <xdr:col>1</xdr:col>
                <xdr:colOff>800100</xdr:colOff>
                <xdr:row>0</xdr:row>
                <xdr:rowOff>0</xdr:rowOff>
              </from>
              <to>
                <xdr:col>1</xdr:col>
                <xdr:colOff>1714500</xdr:colOff>
                <xdr:row>4</xdr:row>
                <xdr:rowOff>38100</xdr:rowOff>
              </to>
            </anchor>
          </objectPr>
        </oleObject>
      </mc:Choice>
      <mc:Fallback>
        <oleObject progId="AcroExch.Document.7" dvAspect="DVASPECT_ICON" shapeId="35845" r:id="rId6"/>
      </mc:Fallback>
    </mc:AlternateContent>
    <mc:AlternateContent xmlns:mc="http://schemas.openxmlformats.org/markup-compatibility/2006">
      <mc:Choice Requires="x14">
        <oleObject progId="AcroExch.Document.7" dvAspect="DVASPECT_ICON" shapeId="35846" r:id="rId8">
          <objectPr defaultSize="0" r:id="rId9">
            <anchor moveWithCells="1">
              <from>
                <xdr:col>1</xdr:col>
                <xdr:colOff>1704975</xdr:colOff>
                <xdr:row>0</xdr:row>
                <xdr:rowOff>0</xdr:rowOff>
              </from>
              <to>
                <xdr:col>1</xdr:col>
                <xdr:colOff>2619375</xdr:colOff>
                <xdr:row>4</xdr:row>
                <xdr:rowOff>38100</xdr:rowOff>
              </to>
            </anchor>
          </objectPr>
        </oleObject>
      </mc:Choice>
      <mc:Fallback>
        <oleObject progId="AcroExch.Document.7" dvAspect="DVASPECT_ICON" shapeId="35846" r:id="rId8"/>
      </mc:Fallback>
    </mc:AlternateContent>
    <mc:AlternateContent xmlns:mc="http://schemas.openxmlformats.org/markup-compatibility/2006">
      <mc:Choice Requires="x14">
        <oleObject progId="AcroExch.Document.7" dvAspect="DVASPECT_ICON" shapeId="35847" r:id="rId10">
          <objectPr defaultSize="0" r:id="rId11">
            <anchor moveWithCells="1">
              <from>
                <xdr:col>1</xdr:col>
                <xdr:colOff>2619375</xdr:colOff>
                <xdr:row>0</xdr:row>
                <xdr:rowOff>0</xdr:rowOff>
              </from>
              <to>
                <xdr:col>1</xdr:col>
                <xdr:colOff>3533775</xdr:colOff>
                <xdr:row>4</xdr:row>
                <xdr:rowOff>38100</xdr:rowOff>
              </to>
            </anchor>
          </objectPr>
        </oleObject>
      </mc:Choice>
      <mc:Fallback>
        <oleObject progId="AcroExch.Document.7" dvAspect="DVASPECT_ICON" shapeId="35847"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4" t="s">
        <v>1790</v>
      </c>
      <c r="B1" s="2345"/>
      <c r="C1" s="2345"/>
      <c r="D1" s="2345"/>
      <c r="E1" s="2345"/>
      <c r="F1" s="2346"/>
    </row>
    <row r="2" spans="1:8" ht="45" customHeight="1" x14ac:dyDescent="0.2">
      <c r="A2" s="2354" t="s">
        <v>1791</v>
      </c>
      <c r="B2" s="2355"/>
      <c r="C2" s="2355"/>
      <c r="D2" s="2355"/>
      <c r="E2" s="2355"/>
      <c r="F2" s="2356"/>
      <c r="G2" s="1064"/>
      <c r="H2" s="1064"/>
    </row>
    <row r="3" spans="1:8" ht="57" customHeight="1" x14ac:dyDescent="0.2">
      <c r="A3" s="2357" t="s">
        <v>1786</v>
      </c>
      <c r="B3" s="2358"/>
      <c r="C3" s="2358"/>
      <c r="D3" s="2358"/>
      <c r="E3" s="2358"/>
      <c r="F3" s="2359"/>
      <c r="G3" s="1064"/>
      <c r="H3" s="1064"/>
    </row>
    <row r="4" spans="1:8" ht="14.25" customHeight="1" x14ac:dyDescent="0.2">
      <c r="A4" s="2363" t="s">
        <v>2056</v>
      </c>
      <c r="B4" s="2364"/>
      <c r="C4" s="2364"/>
      <c r="D4" s="2364"/>
      <c r="E4" s="2364"/>
      <c r="F4" s="2365"/>
      <c r="G4" s="1064"/>
      <c r="H4" s="1064"/>
    </row>
    <row r="5" spans="1:8" ht="14.25" customHeight="1" x14ac:dyDescent="0.2">
      <c r="A5" s="2366" t="s">
        <v>2057</v>
      </c>
      <c r="B5" s="2367"/>
      <c r="C5" s="2367"/>
      <c r="D5" s="2367"/>
      <c r="E5" s="2367"/>
      <c r="F5" s="2368"/>
      <c r="G5" s="1064"/>
      <c r="H5" s="1064"/>
    </row>
    <row r="6" spans="1:8" s="1065" customFormat="1" ht="41.25" customHeight="1" x14ac:dyDescent="0.2">
      <c r="A6" s="2360" t="s">
        <v>1792</v>
      </c>
      <c r="B6" s="2361"/>
      <c r="C6" s="2361"/>
      <c r="D6" s="2361"/>
      <c r="E6" s="2361"/>
      <c r="F6" s="2362"/>
    </row>
    <row r="7" spans="1:8" ht="42" customHeight="1" x14ac:dyDescent="0.2">
      <c r="A7" s="1066" t="s">
        <v>502</v>
      </c>
      <c r="B7" s="1067" t="s">
        <v>1576</v>
      </c>
      <c r="C7" s="1067" t="s">
        <v>1577</v>
      </c>
      <c r="D7" s="1067" t="s">
        <v>1575</v>
      </c>
      <c r="E7" s="1067" t="s">
        <v>1578</v>
      </c>
      <c r="F7" s="1067" t="s">
        <v>1434</v>
      </c>
    </row>
    <row r="8" spans="1:8" s="1069" customFormat="1" ht="14.25" customHeight="1" x14ac:dyDescent="0.2">
      <c r="A8" s="1068" t="s">
        <v>1435</v>
      </c>
      <c r="B8" s="1827">
        <f>'Acct Summary 7-8'!C8</f>
        <v>10108329</v>
      </c>
      <c r="C8" s="1827">
        <f>'Acct Summary 7-8'!D8</f>
        <v>739703</v>
      </c>
      <c r="D8" s="1827">
        <f>'Acct Summary 7-8'!F8</f>
        <v>628969</v>
      </c>
      <c r="E8" s="1827">
        <f>'Acct Summary 7-8'!I8</f>
        <v>19669</v>
      </c>
      <c r="F8" s="1827">
        <f>SUM(B8:E8)</f>
        <v>11496670</v>
      </c>
    </row>
    <row r="9" spans="1:8" s="1069" customFormat="1" ht="14.25" customHeight="1" thickBot="1" x14ac:dyDescent="0.25">
      <c r="A9" s="1068" t="s">
        <v>1436</v>
      </c>
      <c r="B9" s="1828">
        <f>'Acct Summary 7-8'!C17</f>
        <v>8842413</v>
      </c>
      <c r="C9" s="1828">
        <f>'Acct Summary 7-8'!D17</f>
        <v>767783</v>
      </c>
      <c r="D9" s="1828">
        <f>'Acct Summary 7-8'!F17</f>
        <v>416847</v>
      </c>
      <c r="E9" s="1827"/>
      <c r="F9" s="1827">
        <f>SUM(B9:E9)</f>
        <v>10027043</v>
      </c>
    </row>
    <row r="10" spans="1:8" s="1069" customFormat="1" ht="14.25" thickTop="1" thickBot="1" x14ac:dyDescent="0.25">
      <c r="A10" s="1070" t="s">
        <v>1437</v>
      </c>
      <c r="B10" s="1829">
        <f>(B8-B9)</f>
        <v>1265916</v>
      </c>
      <c r="C10" s="1829">
        <f>(C8-C9)</f>
        <v>-28080</v>
      </c>
      <c r="D10" s="1829">
        <f>(D8-D9)</f>
        <v>212122</v>
      </c>
      <c r="E10" s="1828">
        <f>(E8-E9)</f>
        <v>19669</v>
      </c>
      <c r="F10" s="1830">
        <f>SUM(F8-F9)</f>
        <v>1469627</v>
      </c>
    </row>
    <row r="11" spans="1:8" s="1069" customFormat="1" ht="14.25" thickTop="1" thickBot="1" x14ac:dyDescent="0.25">
      <c r="A11" s="1071" t="s">
        <v>1785</v>
      </c>
      <c r="B11" s="1831">
        <f>'Acct Summary 7-8'!C81</f>
        <v>6665353</v>
      </c>
      <c r="C11" s="1831">
        <f>'Acct Summary 7-8'!D81</f>
        <v>1955756</v>
      </c>
      <c r="D11" s="1831">
        <f>'Acct Summary 7-8'!F81</f>
        <v>1343231</v>
      </c>
      <c r="E11" s="1831">
        <f>'Acct Summary 7-8'!I81</f>
        <v>5067212</v>
      </c>
      <c r="F11" s="1832">
        <f>SUM(B11:E11)</f>
        <v>15031552</v>
      </c>
    </row>
    <row r="12" spans="1:8" ht="16.5" customHeight="1" thickTop="1" x14ac:dyDescent="0.2">
      <c r="A12" s="1072"/>
      <c r="B12" s="1073"/>
      <c r="C12" s="2348" t="str">
        <f>IF(AND(F10&lt;0,F11&gt;=0,ABS(F10*3)&gt;ABS(F11)),A16,IF(AND(F10&lt;0,F11&gt;0,ABS(F10*3)&lt;=ABS(F11)),A17,IF(AND(F10&lt;0,F11&lt;0),A16,IF(F11=0,A19,A18))))</f>
        <v>Balanced - no deficit reduction plan is required.</v>
      </c>
      <c r="D12" s="2349"/>
      <c r="E12" s="2349"/>
      <c r="F12" s="2350"/>
    </row>
    <row r="13" spans="1:8" ht="19.5" customHeight="1" x14ac:dyDescent="0.2">
      <c r="A13" s="1074"/>
      <c r="B13" s="1075"/>
      <c r="C13" s="2348"/>
      <c r="D13" s="2349"/>
      <c r="E13" s="2349"/>
      <c r="F13" s="2350"/>
      <c r="H13" s="1064"/>
    </row>
    <row r="14" spans="1:8" ht="19.5" customHeight="1" x14ac:dyDescent="0.2">
      <c r="A14" s="1074"/>
      <c r="B14" s="1075"/>
      <c r="C14" s="2348"/>
      <c r="D14" s="2349"/>
      <c r="E14" s="2349"/>
      <c r="F14" s="2350"/>
      <c r="H14" s="1064"/>
    </row>
    <row r="15" spans="1:8" ht="17.25" customHeight="1" x14ac:dyDescent="0.2">
      <c r="A15" s="1074"/>
      <c r="B15" s="1075"/>
      <c r="C15" s="2351"/>
      <c r="D15" s="2352"/>
      <c r="E15" s="2352"/>
      <c r="F15" s="2353"/>
      <c r="H15" s="1064"/>
    </row>
    <row r="16" spans="1:8" s="310" customFormat="1" ht="51.75" hidden="1" customHeight="1" x14ac:dyDescent="0.2">
      <c r="A16" s="2347" t="s">
        <v>1787</v>
      </c>
      <c r="B16" s="2347"/>
      <c r="C16" s="2347"/>
      <c r="D16" s="2347"/>
      <c r="E16" s="2347"/>
      <c r="F16" s="310" t="s">
        <v>1438</v>
      </c>
    </row>
    <row r="17" spans="1:6" hidden="1" x14ac:dyDescent="0.2">
      <c r="A17" s="316" t="s">
        <v>1788</v>
      </c>
      <c r="F17" s="107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10"/>
      <c r="B2" s="1911"/>
      <c r="C2" s="1912"/>
      <c r="D2" s="1913"/>
    </row>
    <row r="3" spans="1:4" ht="36" customHeight="1" x14ac:dyDescent="0.2">
      <c r="A3" s="2369" t="s">
        <v>686</v>
      </c>
      <c r="B3" s="2370"/>
      <c r="C3" s="2370"/>
      <c r="D3" s="2371"/>
    </row>
    <row r="4" spans="1:4" x14ac:dyDescent="0.2">
      <c r="A4" s="1142" t="s">
        <v>1793</v>
      </c>
      <c r="B4" s="1143"/>
      <c r="C4" s="1144"/>
      <c r="D4" s="1145"/>
    </row>
    <row r="5" spans="1:4" ht="21" customHeight="1" x14ac:dyDescent="0.2">
      <c r="A5" s="1138"/>
      <c r="B5" s="1139">
        <v>1</v>
      </c>
      <c r="C5" s="1140" t="s">
        <v>1946</v>
      </c>
      <c r="D5" s="1141"/>
    </row>
    <row r="6" spans="1:4" s="659" customFormat="1" ht="14.25" customHeight="1" x14ac:dyDescent="0.2">
      <c r="A6" s="1128"/>
      <c r="B6" s="1083">
        <f t="shared" ref="B6:B13" si="0">B5+1</f>
        <v>2</v>
      </c>
      <c r="C6" s="1084" t="s">
        <v>919</v>
      </c>
      <c r="D6" s="1085"/>
    </row>
    <row r="7" spans="1:4" s="659" customFormat="1" ht="12.75" x14ac:dyDescent="0.2">
      <c r="A7" s="1128"/>
      <c r="B7" s="1083">
        <f t="shared" si="0"/>
        <v>3</v>
      </c>
      <c r="C7" s="2380" t="s">
        <v>1584</v>
      </c>
      <c r="D7" s="2381"/>
    </row>
    <row r="8" spans="1:4" s="659" customFormat="1" ht="12.75" x14ac:dyDescent="0.2">
      <c r="A8" s="1128"/>
      <c r="B8" s="1083"/>
      <c r="C8" s="1086" t="s">
        <v>1583</v>
      </c>
      <c r="D8" s="1087"/>
    </row>
    <row r="9" spans="1:4" s="659" customFormat="1" ht="14.25" customHeight="1" x14ac:dyDescent="0.2">
      <c r="A9" s="1128"/>
      <c r="B9" s="1083">
        <f>B7+1</f>
        <v>4</v>
      </c>
      <c r="C9" s="1084" t="s">
        <v>2049</v>
      </c>
      <c r="D9" s="1085"/>
    </row>
    <row r="10" spans="1:4" s="659" customFormat="1" ht="14.25" customHeight="1" x14ac:dyDescent="0.2">
      <c r="A10" s="1128"/>
      <c r="B10" s="1083">
        <f t="shared" si="0"/>
        <v>5</v>
      </c>
      <c r="C10" s="1084" t="s">
        <v>660</v>
      </c>
      <c r="D10" s="1085"/>
    </row>
    <row r="11" spans="1:4" s="659" customFormat="1" ht="14.25" customHeight="1" x14ac:dyDescent="0.2">
      <c r="A11" s="1128"/>
      <c r="B11" s="1083">
        <f t="shared" si="0"/>
        <v>6</v>
      </c>
      <c r="C11" s="1084" t="s">
        <v>811</v>
      </c>
      <c r="D11" s="1085"/>
    </row>
    <row r="12" spans="1:4" s="659" customFormat="1" ht="14.25" customHeight="1" x14ac:dyDescent="0.2">
      <c r="A12" s="1128"/>
      <c r="B12" s="1083">
        <f t="shared" si="0"/>
        <v>7</v>
      </c>
      <c r="C12" s="1084" t="s">
        <v>1122</v>
      </c>
      <c r="D12" s="1085"/>
    </row>
    <row r="13" spans="1:4" s="659" customFormat="1" ht="14.25" customHeight="1" x14ac:dyDescent="0.2">
      <c r="A13" s="1128"/>
      <c r="B13" s="1083">
        <f t="shared" si="0"/>
        <v>8</v>
      </c>
      <c r="C13" s="1124" t="s">
        <v>812</v>
      </c>
      <c r="D13" s="1085"/>
    </row>
    <row r="14" spans="1:4" s="659" customFormat="1" ht="14.25" customHeight="1" x14ac:dyDescent="0.2">
      <c r="A14" s="1128"/>
      <c r="B14" s="1125">
        <v>9</v>
      </c>
      <c r="C14" s="1126" t="s">
        <v>1585</v>
      </c>
      <c r="D14" s="1127"/>
    </row>
    <row r="15" spans="1:4" s="659" customFormat="1" ht="21.75" customHeight="1" x14ac:dyDescent="0.2">
      <c r="A15" s="2372" t="s">
        <v>1065</v>
      </c>
      <c r="B15" s="2373"/>
      <c r="C15" s="2373"/>
      <c r="D15" s="2374"/>
    </row>
    <row r="16" spans="1:4" s="659" customFormat="1" ht="24" customHeight="1" x14ac:dyDescent="0.2">
      <c r="A16" s="2375" t="s">
        <v>684</v>
      </c>
      <c r="B16" s="2376"/>
      <c r="C16" s="2376"/>
      <c r="D16" s="2377"/>
    </row>
    <row r="17" spans="1:10" s="659" customFormat="1" ht="12.75" customHeight="1" x14ac:dyDescent="0.2">
      <c r="A17" s="1146" t="s">
        <v>1794</v>
      </c>
      <c r="B17" s="1147"/>
      <c r="C17" s="1148"/>
      <c r="D17" s="1149"/>
    </row>
    <row r="18" spans="1:10" s="659" customFormat="1" ht="12.75" customHeight="1" x14ac:dyDescent="0.2">
      <c r="A18" s="1150" t="s">
        <v>1795</v>
      </c>
      <c r="B18" s="1151"/>
      <c r="C18" s="1152"/>
      <c r="D18" s="1153"/>
    </row>
    <row r="19" spans="1:10" ht="6.75" customHeight="1" thickBot="1" x14ac:dyDescent="0.25">
      <c r="A19" s="1154"/>
      <c r="B19" s="1155"/>
      <c r="C19" s="1156"/>
      <c r="D19" s="1157"/>
    </row>
    <row r="20" spans="1:10" s="1161" customFormat="1" ht="12.75" thickTop="1" x14ac:dyDescent="0.2">
      <c r="A20" s="1158"/>
      <c r="B20" s="1159" t="s">
        <v>1796</v>
      </c>
      <c r="C20" s="1160"/>
      <c r="D20" s="1163" t="s">
        <v>734</v>
      </c>
    </row>
    <row r="21" spans="1:10" x14ac:dyDescent="0.2">
      <c r="A21" s="1088"/>
      <c r="B21" s="1089">
        <v>1</v>
      </c>
      <c r="C21" s="2384" t="s">
        <v>332</v>
      </c>
      <c r="D21" s="2385"/>
    </row>
    <row r="22" spans="1:10" ht="12.75" x14ac:dyDescent="0.2">
      <c r="A22" s="1129"/>
      <c r="B22" s="1130">
        <v>2</v>
      </c>
      <c r="C22" s="2382" t="s">
        <v>1605</v>
      </c>
      <c r="D22" s="2383"/>
    </row>
    <row r="23" spans="1:10" ht="12.2" customHeight="1" x14ac:dyDescent="0.2">
      <c r="A23" s="1129"/>
      <c r="B23" s="1130"/>
      <c r="C23" s="1131" t="s">
        <v>1011</v>
      </c>
      <c r="D23" s="1132" t="str">
        <f>IF(COVER!O11="X","CASH",IF(COVER!O12="X","ACCRUAL ","PLEASE CHECK AN ACCOUNTING BASIS."))</f>
        <v>CASH</v>
      </c>
    </row>
    <row r="24" spans="1:10" ht="12.2" customHeight="1" x14ac:dyDescent="0.2">
      <c r="A24" s="1129"/>
      <c r="B24" s="1130"/>
      <c r="C24" s="1131" t="s">
        <v>1399</v>
      </c>
      <c r="D24" s="1132" t="str">
        <f>IF(COVER!O11="X","OK",IF(AND('Aud Quest 2'!J90=0,'Aud Quest 2'!I77&lt;DATE(2017,12,31)),"ENTER ACCOUNTING INFO",IF(AND('Aud Quest 2'!J90&gt;0,'Aud Quest 2'!I77&lt;DATE(2017,12,31)),"OK")))</f>
        <v>OK</v>
      </c>
    </row>
    <row r="25" spans="1:10" x14ac:dyDescent="0.2">
      <c r="A25" s="1090"/>
      <c r="B25" s="1091"/>
      <c r="C25" s="1092" t="s">
        <v>1607</v>
      </c>
      <c r="D25" s="1093" t="str">
        <f>IF(AND(COVER!J29="X",COVER!J30="X",COVER!L30&lt;&gt;"X"),"OK",IF(AND(COVER!J29="X",COVER!J30&lt;&gt;"X",COVER!L30="X"),"OK",IF(AND(COVER!L29="X",COVER!J30&lt;&gt;"X"),"OK","PLEASE CHECK YES or NO.")))</f>
        <v>OK</v>
      </c>
    </row>
    <row r="26" spans="1:10" x14ac:dyDescent="0.2">
      <c r="A26" s="1090"/>
      <c r="B26" s="1133"/>
      <c r="C26" s="1094" t="s">
        <v>1606</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1032</v>
      </c>
      <c r="D27" s="1095" t="str">
        <f>IF(AND(COVER!J29="X",COVER!J31="X",COVER!L29&lt;&gt;"X"),"OK",IF(AND(COVER!J29="X",COVER!J31&lt;&gt;"X",COVER!L31="X"),"NO FINDINGS WERE ISSUED",IF(AND(COVER!L29="X",COVER!J31&lt;&gt;"X"),"OK","PLEASE CHECK YES or NO.")))</f>
        <v>OK</v>
      </c>
    </row>
    <row r="28" spans="1:10" ht="24" hidden="1" customHeight="1" x14ac:dyDescent="0.2">
      <c r="A28" s="1096"/>
      <c r="B28" s="1133"/>
      <c r="C28" s="1092" t="s">
        <v>897</v>
      </c>
      <c r="D28" s="1097" t="str">
        <f>IF('Aud Quest 2'!B53="X",IF('Aud Quest 2'!F53&gt;"00/00/00 ","Enter Effective Date","ok"))</f>
        <v>ok</v>
      </c>
    </row>
    <row r="29" spans="1:10" x14ac:dyDescent="0.2">
      <c r="A29" s="1090"/>
      <c r="B29" s="1133"/>
      <c r="C29" s="1094" t="s">
        <v>1440</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879</v>
      </c>
      <c r="D30" s="1099"/>
    </row>
    <row r="31" spans="1:10" x14ac:dyDescent="0.2">
      <c r="A31" s="1090"/>
      <c r="B31" s="1100"/>
      <c r="C31" s="1134" t="s">
        <v>271</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1035</v>
      </c>
      <c r="D32" s="1093" t="str">
        <f>IF(OR(COVER!B6="x",'FP Info 3'!B31="X",'FP Info 3'!B32="X"),"OK","ENTRY IS REQUIRED!")</f>
        <v>OK</v>
      </c>
    </row>
    <row r="33" spans="1:12" s="1106" customFormat="1" ht="12.75" customHeight="1" x14ac:dyDescent="0.2">
      <c r="A33" s="1103"/>
      <c r="B33" s="1130">
        <f>B30+1</f>
        <v>4</v>
      </c>
      <c r="C33" s="1104" t="s">
        <v>813</v>
      </c>
      <c r="D33" s="1105"/>
    </row>
    <row r="34" spans="1:12" s="1106" customFormat="1" x14ac:dyDescent="0.2">
      <c r="A34" s="1107"/>
      <c r="B34" s="1130"/>
      <c r="C34" s="1108" t="s">
        <v>880</v>
      </c>
      <c r="D34" s="1093" t="str">
        <f>IF('Assets-Liab 5-6'!C4&lt;-0.49, "ERROR!","OK")</f>
        <v>OK</v>
      </c>
    </row>
    <row r="35" spans="1:12" x14ac:dyDescent="0.2">
      <c r="A35" s="1107"/>
      <c r="B35" s="1130"/>
      <c r="C35" s="1108" t="s">
        <v>324</v>
      </c>
      <c r="D35" s="1093" t="str">
        <f>IF('Assets-Liab 5-6'!D4&lt;-0.49, "ERROR!","OK")</f>
        <v>OK</v>
      </c>
      <c r="L35" s="1162"/>
    </row>
    <row r="36" spans="1:12" x14ac:dyDescent="0.2">
      <c r="A36" s="1107"/>
      <c r="B36" s="1130"/>
      <c r="C36" s="1108" t="s">
        <v>814</v>
      </c>
      <c r="D36" s="1093" t="str">
        <f>IF('Assets-Liab 5-6'!E4&lt;-0.49, "ERROR!","OK")</f>
        <v>OK</v>
      </c>
    </row>
    <row r="37" spans="1:12" x14ac:dyDescent="0.2">
      <c r="A37" s="1107"/>
      <c r="B37" s="1130"/>
      <c r="C37" s="1108" t="s">
        <v>325</v>
      </c>
      <c r="D37" s="1093" t="str">
        <f>IF('Assets-Liab 5-6'!F4&lt;-0.49, "ERROR!","OK")</f>
        <v>OK</v>
      </c>
    </row>
    <row r="38" spans="1:12" x14ac:dyDescent="0.2">
      <c r="A38" s="1107"/>
      <c r="B38" s="1130"/>
      <c r="C38" s="1108" t="s">
        <v>326</v>
      </c>
      <c r="D38" s="1093" t="str">
        <f>IF('Assets-Liab 5-6'!G4&lt;-0.49, "ERROR!","OK")</f>
        <v>OK</v>
      </c>
    </row>
    <row r="39" spans="1:12" x14ac:dyDescent="0.2">
      <c r="A39" s="1107"/>
      <c r="B39" s="1130"/>
      <c r="C39" s="1108" t="s">
        <v>815</v>
      </c>
      <c r="D39" s="1093" t="str">
        <f>IF('Assets-Liab 5-6'!H4&lt;-0.49, "ERROR!","OK")</f>
        <v>OK</v>
      </c>
    </row>
    <row r="40" spans="1:12" x14ac:dyDescent="0.2">
      <c r="A40" s="1107"/>
      <c r="B40" s="1130"/>
      <c r="C40" s="1108" t="s">
        <v>327</v>
      </c>
      <c r="D40" s="1093" t="str">
        <f>IF('Assets-Liab 5-6'!I4&lt;-0.49, "ERROR!","OK")</f>
        <v>OK</v>
      </c>
    </row>
    <row r="41" spans="1:12" x14ac:dyDescent="0.2">
      <c r="A41" s="1107"/>
      <c r="B41" s="1130"/>
      <c r="C41" s="1108" t="s">
        <v>816</v>
      </c>
      <c r="D41" s="1093" t="str">
        <f>IF('Assets-Liab 5-6'!J4&lt;-0.49, "ERROR!","OK")</f>
        <v>OK</v>
      </c>
    </row>
    <row r="42" spans="1:12" x14ac:dyDescent="0.2">
      <c r="A42" s="1107"/>
      <c r="B42" s="1130"/>
      <c r="C42" s="1108" t="s">
        <v>328</v>
      </c>
      <c r="D42" s="1093" t="str">
        <f>IF('Assets-Liab 5-6'!K4&lt;-0.49, "ERROR!","OK")</f>
        <v>OK</v>
      </c>
    </row>
    <row r="43" spans="1:12" x14ac:dyDescent="0.2">
      <c r="A43" s="1109"/>
      <c r="B43" s="1110">
        <f>B33+1</f>
        <v>5</v>
      </c>
      <c r="C43" s="2386" t="s">
        <v>557</v>
      </c>
      <c r="D43" s="2387"/>
    </row>
    <row r="44" spans="1:12" x14ac:dyDescent="0.2">
      <c r="A44" s="1109"/>
      <c r="B44" s="1111"/>
      <c r="C44" s="1112" t="s">
        <v>1402</v>
      </c>
      <c r="D44" s="1113" t="str">
        <f>IF(SUM('Assets-Liab 5-6'!C13)&lt;&gt;SUM('Assets-Liab 5-6'!C41),"ERROR!","OK")</f>
        <v>OK</v>
      </c>
    </row>
    <row r="45" spans="1:12" x14ac:dyDescent="0.2">
      <c r="A45" s="1109"/>
      <c r="B45" s="1111"/>
      <c r="C45" s="1112" t="s">
        <v>1403</v>
      </c>
      <c r="D45" s="1113" t="str">
        <f>IF(SUM('Assets-Liab 5-6'!D13)&lt;&gt;SUM('Assets-Liab 5-6'!D41),"ERROR!","OK")</f>
        <v>OK</v>
      </c>
    </row>
    <row r="46" spans="1:12" x14ac:dyDescent="0.2">
      <c r="A46" s="1109"/>
      <c r="B46" s="1111"/>
      <c r="C46" s="1112" t="s">
        <v>1404</v>
      </c>
      <c r="D46" s="1113" t="str">
        <f>IF(SUM('Assets-Liab 5-6'!E13)&lt;&gt;SUM('Assets-Liab 5-6'!E41),"ERROR!","OK")</f>
        <v>OK</v>
      </c>
    </row>
    <row r="47" spans="1:12" x14ac:dyDescent="0.2">
      <c r="A47" s="1109"/>
      <c r="B47" s="1111"/>
      <c r="C47" s="1112" t="s">
        <v>1405</v>
      </c>
      <c r="D47" s="1113" t="str">
        <f>IF(SUM('Assets-Liab 5-6'!F13)&lt;&gt;SUM('Assets-Liab 5-6'!F41),"ERROR!","OK")</f>
        <v>OK</v>
      </c>
    </row>
    <row r="48" spans="1:12" x14ac:dyDescent="0.2">
      <c r="A48" s="1109"/>
      <c r="B48" s="1111"/>
      <c r="C48" s="1112" t="s">
        <v>1406</v>
      </c>
      <c r="D48" s="1113" t="str">
        <f>IF(SUM('Assets-Liab 5-6'!G13)&lt;&gt;SUM('Assets-Liab 5-6'!G41),"ERROR!","OK")</f>
        <v>OK</v>
      </c>
    </row>
    <row r="49" spans="1:4" x14ac:dyDescent="0.2">
      <c r="A49" s="1109"/>
      <c r="B49" s="1111"/>
      <c r="C49" s="1112" t="s">
        <v>1407</v>
      </c>
      <c r="D49" s="1113" t="str">
        <f>IF(SUM('Assets-Liab 5-6'!H13)&lt;&gt;SUM('Assets-Liab 5-6'!H41),"ERROR!","OK")</f>
        <v>OK</v>
      </c>
    </row>
    <row r="50" spans="1:4" x14ac:dyDescent="0.2">
      <c r="A50" s="1109"/>
      <c r="B50" s="1111"/>
      <c r="C50" s="1112" t="s">
        <v>1408</v>
      </c>
      <c r="D50" s="1113" t="str">
        <f>IF(SUM('Assets-Liab 5-6'!I13)&lt;&gt;SUM('Assets-Liab 5-6'!I41),"ERROR!","OK")</f>
        <v>OK</v>
      </c>
    </row>
    <row r="51" spans="1:4" x14ac:dyDescent="0.2">
      <c r="A51" s="1109"/>
      <c r="B51" s="1111"/>
      <c r="C51" s="1112" t="s">
        <v>1409</v>
      </c>
      <c r="D51" s="1113" t="str">
        <f>IF(SUM('Assets-Liab 5-6'!J13)&lt;&gt;SUM('Assets-Liab 5-6'!J41),"ERROR!","OK")</f>
        <v>OK</v>
      </c>
    </row>
    <row r="52" spans="1:4" x14ac:dyDescent="0.2">
      <c r="A52" s="1109"/>
      <c r="B52" s="1111"/>
      <c r="C52" s="1112" t="s">
        <v>1410</v>
      </c>
      <c r="D52" s="1113" t="str">
        <f>IF(SUM('Assets-Liab 5-6'!K13)&lt;&gt;SUM('Assets-Liab 5-6'!K41),"ERROR!","OK")</f>
        <v>OK</v>
      </c>
    </row>
    <row r="53" spans="1:4" x14ac:dyDescent="0.2">
      <c r="A53" s="1109"/>
      <c r="B53" s="1111"/>
      <c r="C53" s="1112" t="s">
        <v>1411</v>
      </c>
      <c r="D53" s="1113" t="str">
        <f>IF(SUM('Assets-Liab 5-6'!L13)&lt;&gt;('Assets-Liab 5-6'!L41),"ERROR!","OK")</f>
        <v>OK</v>
      </c>
    </row>
    <row r="54" spans="1:4" x14ac:dyDescent="0.2">
      <c r="A54" s="1109"/>
      <c r="B54" s="1111"/>
      <c r="C54" s="1112" t="s">
        <v>1412</v>
      </c>
      <c r="D54" s="1113" t="str">
        <f>IF(SUM('Assets-Liab 5-6'!M23)&lt;&gt;('Assets-Liab 5-6'!M41),"ERROR!","OK")</f>
        <v>OK</v>
      </c>
    </row>
    <row r="55" spans="1:4" x14ac:dyDescent="0.2">
      <c r="A55" s="1109"/>
      <c r="B55" s="1111"/>
      <c r="C55" s="1112" t="s">
        <v>1413</v>
      </c>
      <c r="D55" s="1113" t="str">
        <f>IF(SUM('Assets-Liab 5-6'!N23)&lt;&gt;('Assets-Liab 5-6'!N41),"ERROR!","OK")</f>
        <v>OK</v>
      </c>
    </row>
    <row r="56" spans="1:4" x14ac:dyDescent="0.2">
      <c r="A56" s="1090"/>
      <c r="B56" s="1110">
        <f>B43+1</f>
        <v>6</v>
      </c>
      <c r="C56" s="2378" t="s">
        <v>817</v>
      </c>
      <c r="D56" s="2379"/>
    </row>
    <row r="57" spans="1:4" s="1106" customFormat="1" x14ac:dyDescent="0.2">
      <c r="A57" s="1090"/>
      <c r="B57" s="1100"/>
      <c r="C57" s="1108" t="s">
        <v>1414</v>
      </c>
      <c r="D57" s="1114" t="str">
        <f>IF('Assets-Liab 5-6'!C38+'Assets-Liab 5-6'!C39='Acct Summary 7-8'!C81,"OK","ERROR!")</f>
        <v>OK</v>
      </c>
    </row>
    <row r="58" spans="1:4" x14ac:dyDescent="0.2">
      <c r="A58" s="1090"/>
      <c r="B58" s="1100"/>
      <c r="C58" s="1108" t="s">
        <v>1415</v>
      </c>
      <c r="D58" s="1114" t="str">
        <f>IF((('Assets-Liab 5-6'!D38+'Assets-Liab 5-6'!D39) ='Acct Summary 7-8'!D81), "OK", "ERROR!" )</f>
        <v>OK</v>
      </c>
    </row>
    <row r="59" spans="1:4" s="1106" customFormat="1" x14ac:dyDescent="0.2">
      <c r="A59" s="1090"/>
      <c r="B59" s="1100"/>
      <c r="C59" s="1108" t="s">
        <v>1416</v>
      </c>
      <c r="D59" s="1114" t="str">
        <f>IF((('Assets-Liab 5-6'!E38 + 'Assets-Liab 5-6'!E39) ='Acct Summary 7-8'!E81), "OK", "ERROR!" )</f>
        <v>OK</v>
      </c>
    </row>
    <row r="60" spans="1:4" x14ac:dyDescent="0.2">
      <c r="A60" s="1090"/>
      <c r="B60" s="1100"/>
      <c r="C60" s="1108" t="s">
        <v>1417</v>
      </c>
      <c r="D60" s="1114" t="str">
        <f>IF((('Assets-Liab 5-6'!F38 + 'Assets-Liab 5-6'!F39) ='Acct Summary 7-8'!F81), "OK", "ERROR!" )</f>
        <v>OK</v>
      </c>
    </row>
    <row r="61" spans="1:4" ht="12.75" customHeight="1" x14ac:dyDescent="0.2">
      <c r="A61" s="1090"/>
      <c r="B61" s="1100"/>
      <c r="C61" s="1108" t="s">
        <v>1430</v>
      </c>
      <c r="D61" s="1114" t="str">
        <f>IF((('Assets-Liab 5-6'!G38 + 'Assets-Liab 5-6'!G39) ='Acct Summary 7-8'!G81), "OK", "ERROR!" )</f>
        <v>OK</v>
      </c>
    </row>
    <row r="62" spans="1:4" x14ac:dyDescent="0.2">
      <c r="A62" s="1090"/>
      <c r="B62" s="1100"/>
      <c r="C62" s="1108" t="s">
        <v>1418</v>
      </c>
      <c r="D62" s="1114" t="str">
        <f>IF((('Assets-Liab 5-6'!H38 + 'Assets-Liab 5-6'!H39) ='Acct Summary 7-8'!H81), "OK", "ERROR!" )</f>
        <v>OK</v>
      </c>
    </row>
    <row r="63" spans="1:4" ht="12.75" customHeight="1" x14ac:dyDescent="0.2">
      <c r="A63" s="1090"/>
      <c r="B63" s="1100"/>
      <c r="C63" s="1108" t="s">
        <v>1419</v>
      </c>
      <c r="D63" s="1114" t="str">
        <f>IF((('Assets-Liab 5-6'!I38 + 'Assets-Liab 5-6'!I39) ='Acct Summary 7-8'!I81), "OK", "ERROR!" )</f>
        <v>OK</v>
      </c>
    </row>
    <row r="64" spans="1:4" x14ac:dyDescent="0.2">
      <c r="A64" s="1090"/>
      <c r="B64" s="1100"/>
      <c r="C64" s="1108" t="s">
        <v>1420</v>
      </c>
      <c r="D64" s="1114" t="str">
        <f>IF((('Assets-Liab 5-6'!J38 + 'Assets-Liab 5-6'!J39) ='Acct Summary 7-8'!J81), "OK", "ERROR!" )</f>
        <v>OK</v>
      </c>
    </row>
    <row r="65" spans="1:4" x14ac:dyDescent="0.2">
      <c r="A65" s="1107"/>
      <c r="B65" s="1100"/>
      <c r="C65" s="1108" t="s">
        <v>1431</v>
      </c>
      <c r="D65" s="1114" t="str">
        <f>IF((('Assets-Liab 5-6'!K38 + 'Assets-Liab 5-6'!K39) ='Acct Summary 7-8'!K81), "OK", "ERROR!" )</f>
        <v>ERROR!</v>
      </c>
    </row>
    <row r="66" spans="1:4" x14ac:dyDescent="0.2">
      <c r="A66" s="1088"/>
      <c r="B66" s="1130">
        <f>B56+1+1</f>
        <v>8</v>
      </c>
      <c r="C66" s="1136" t="s">
        <v>2050</v>
      </c>
      <c r="D66" s="1115"/>
    </row>
    <row r="67" spans="1:4" x14ac:dyDescent="0.2">
      <c r="A67" s="1109"/>
      <c r="B67" s="1130"/>
      <c r="C67" s="1137" t="s">
        <v>1079</v>
      </c>
      <c r="D67" s="1115"/>
    </row>
    <row r="68" spans="1:4" x14ac:dyDescent="0.2">
      <c r="A68" s="1090"/>
      <c r="B68" s="1100"/>
      <c r="C68" s="1092" t="s">
        <v>2051</v>
      </c>
      <c r="D68" s="1114" t="str">
        <f>IF('Short-Term Long-Term Debt 24'!F49=SUM(,'Acct Summary 7-8'!C33:K33),"OK","ERROR!")</f>
        <v>OK</v>
      </c>
    </row>
    <row r="69" spans="1:4" x14ac:dyDescent="0.2">
      <c r="A69" s="1090"/>
      <c r="B69" s="1100"/>
      <c r="C69" s="1092" t="s">
        <v>2052</v>
      </c>
      <c r="D69" s="1114" t="str">
        <f>IF('Expenditures 15-22'!H170&lt;&gt;'Short-Term Long-Term Debt 24'!H49,"ERROR!","OK")</f>
        <v>OK</v>
      </c>
    </row>
    <row r="70" spans="1:4" x14ac:dyDescent="0.2">
      <c r="A70" s="1088"/>
      <c r="B70" s="1110">
        <f>B66+1</f>
        <v>9</v>
      </c>
      <c r="C70" s="2378" t="s">
        <v>1797</v>
      </c>
      <c r="D70" s="2379"/>
    </row>
    <row r="71" spans="1:4" x14ac:dyDescent="0.2">
      <c r="A71" s="1088"/>
      <c r="B71" s="1110"/>
      <c r="C71" s="1092" t="s">
        <v>1421</v>
      </c>
      <c r="D71" s="1116" t="str">
        <f>IF(SUM('Acct Summary 7-8'!C27:K27) =SUM( 'Acct Summary 7-8'!C49:K49),"OK", "ERROR")</f>
        <v>OK</v>
      </c>
    </row>
    <row r="72" spans="1:4" x14ac:dyDescent="0.2">
      <c r="A72" s="1090"/>
      <c r="B72" s="1100"/>
      <c r="C72" s="1108" t="s">
        <v>1422</v>
      </c>
      <c r="D72" s="1114" t="str">
        <f>IF(SUM('Acct Summary 7-8'!C28:K28)=SUM('Acct Summary 7-8'!C50:K50),"OK","ERROR!")</f>
        <v>OK</v>
      </c>
    </row>
    <row r="73" spans="1:4" ht="24" x14ac:dyDescent="0.2">
      <c r="A73" s="1117"/>
      <c r="B73" s="1100"/>
      <c r="C73" s="1108" t="s">
        <v>1798</v>
      </c>
      <c r="D73" s="1116" t="str">
        <f>IF(SUM('Acct Summary 7-8'!C42:K42)&gt;=SUM( 'Acct Summary 7-8'!C74:K74),"OK", "ERROR")</f>
        <v>OK</v>
      </c>
    </row>
    <row r="74" spans="1:4" x14ac:dyDescent="0.2">
      <c r="A74" s="1088"/>
      <c r="B74" s="1110">
        <f>B70+1</f>
        <v>10</v>
      </c>
      <c r="C74" s="1104" t="s">
        <v>2053</v>
      </c>
      <c r="D74" s="1118"/>
    </row>
    <row r="75" spans="1:4" x14ac:dyDescent="0.2">
      <c r="A75" s="1090"/>
      <c r="B75" s="1100"/>
      <c r="C75" s="1108" t="s">
        <v>1444</v>
      </c>
      <c r="D75" s="1114" t="str">
        <f>IF(SUM('Assets-Liab 5-6'!C38:H38)&gt;=SUM('Rest Tax Levies-Tort Im 25'!G25:K25),"OK","ERROR")</f>
        <v>OK</v>
      </c>
    </row>
    <row r="76" spans="1:4" x14ac:dyDescent="0.2">
      <c r="A76" s="1090"/>
      <c r="B76" s="1100"/>
      <c r="C76" s="1108" t="s">
        <v>1490</v>
      </c>
      <c r="D76" s="1114" t="str">
        <f>IF(SUM('Assets-Liab 5-6'!C39:K39)&gt;0,"OK","ENTRY IS REQUIRED!")</f>
        <v>OK</v>
      </c>
    </row>
    <row r="77" spans="1:4" x14ac:dyDescent="0.2">
      <c r="A77" s="1090"/>
      <c r="B77" s="1119">
        <f>B74+1</f>
        <v>11</v>
      </c>
      <c r="C77" s="1164" t="s">
        <v>1445</v>
      </c>
      <c r="D77" s="1114"/>
    </row>
    <row r="78" spans="1:4" x14ac:dyDescent="0.2">
      <c r="A78" s="1090"/>
      <c r="B78" s="1100"/>
      <c r="C78" s="1108" t="s">
        <v>2054</v>
      </c>
      <c r="D78" s="1114" t="str">
        <f>IF(ISNUMBER('Acct Summary 7-8'!C9),"OK","ENTRY IS REQUIRED!")</f>
        <v>OK</v>
      </c>
    </row>
    <row r="79" spans="1:4" x14ac:dyDescent="0.2">
      <c r="A79" s="1109"/>
      <c r="B79" s="1110">
        <f>B74+1+1</f>
        <v>12</v>
      </c>
      <c r="C79" s="1120" t="s">
        <v>2019</v>
      </c>
      <c r="D79" s="1121" t="str">
        <f>IF(OR(COVER!$B$6="X",'PCTC-OEPP 27-28'!F78&gt;0),"OK","PLEASE ENTER 9 MO ADA.")</f>
        <v>OK</v>
      </c>
    </row>
    <row r="80" spans="1:4" x14ac:dyDescent="0.2">
      <c r="A80" s="1088"/>
      <c r="B80" s="1110">
        <v>13</v>
      </c>
      <c r="C80" s="1120" t="s">
        <v>2055</v>
      </c>
      <c r="D80" s="1121" t="str">
        <f>IF('Contracts Paid in CY 29'!D141&gt;0,"OK","PLEASE ENTER CONTRACTS PAID IN CURRENT YEAR.")</f>
        <v>OK</v>
      </c>
    </row>
    <row r="81" spans="1:4" x14ac:dyDescent="0.2">
      <c r="A81" s="1088"/>
      <c r="B81" s="1110">
        <v>14</v>
      </c>
      <c r="C81" s="1120" t="s">
        <v>1496</v>
      </c>
      <c r="D81" s="1113" t="str">
        <f>IF('Shared Outsourced Services 31'!B8="X","OK",IF('Shared Outsourced Services 31'!K34&gt;0,"OK","ENTRY REQUIRED!"))</f>
        <v>OK</v>
      </c>
    </row>
    <row r="82" spans="1:4" x14ac:dyDescent="0.2">
      <c r="A82" s="1109"/>
      <c r="B82" s="1110">
        <v>15</v>
      </c>
      <c r="C82" s="1120" t="s">
        <v>1495</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19022025002</v>
      </c>
    </row>
    <row r="3" spans="1:2" x14ac:dyDescent="0.2">
      <c r="A3" t="s">
        <v>1013</v>
      </c>
      <c r="B3" s="138" t="str">
        <f>COVER!A15</f>
        <v>Dupage</v>
      </c>
    </row>
    <row r="4" spans="1:2" x14ac:dyDescent="0.2">
      <c r="A4" t="s">
        <v>1064</v>
      </c>
      <c r="B4" s="138" t="str">
        <f>COVER!A17</f>
        <v>Benjamin SD 25</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66003412</v>
      </c>
    </row>
    <row r="16" spans="1:2" x14ac:dyDescent="0.2">
      <c r="A16" t="s">
        <v>442</v>
      </c>
      <c r="B16" s="138" t="str">
        <f>COVER!T13</f>
        <v>Mathieson, Moyski, Austin &amp; Co. LLP</v>
      </c>
    </row>
    <row r="17" spans="1:2" x14ac:dyDescent="0.2">
      <c r="A17" t="s">
        <v>939</v>
      </c>
      <c r="B17" s="138" t="str">
        <f>COVER!T15</f>
        <v>Michael Moyski</v>
      </c>
    </row>
    <row r="18" spans="1:2" x14ac:dyDescent="0.2">
      <c r="A18" t="s">
        <v>1212</v>
      </c>
      <c r="B18" s="138" t="str">
        <f>COVER!T17</f>
        <v>211 South Wheaton Avenue, Suite 300</v>
      </c>
    </row>
    <row r="19" spans="1:2" x14ac:dyDescent="0.2">
      <c r="A19" t="s">
        <v>941</v>
      </c>
      <c r="B19" s="138" t="str">
        <f>COVER!T25</f>
        <v>mmoyski@mmaadvisors.com</v>
      </c>
    </row>
    <row r="20" spans="1:2" x14ac:dyDescent="0.2">
      <c r="A20" t="s">
        <v>942</v>
      </c>
      <c r="B20" s="138" t="str">
        <f>COVER!T19</f>
        <v>Wheaton</v>
      </c>
    </row>
    <row r="21" spans="1:2" x14ac:dyDescent="0.2">
      <c r="A21" t="s">
        <v>500</v>
      </c>
      <c r="B21" s="138" t="str">
        <f>COVER!X19</f>
        <v>IL</v>
      </c>
    </row>
    <row r="22" spans="1:2" x14ac:dyDescent="0.2">
      <c r="A22" t="s">
        <v>943</v>
      </c>
      <c r="B22" s="138">
        <f>COVER!Z19</f>
        <v>60187</v>
      </c>
    </row>
    <row r="23" spans="1:2" x14ac:dyDescent="0.2">
      <c r="A23" t="s">
        <v>1214</v>
      </c>
      <c r="B23" s="138" t="str">
        <f>COVER!T21</f>
        <v>630-653-1616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33482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6662916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6665353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6665353</v>
      </c>
      <c r="D92" s="2" t="str">
        <f t="shared" si="0"/>
        <v>Error?</v>
      </c>
    </row>
    <row r="93" spans="1:4" x14ac:dyDescent="0.2">
      <c r="A93" s="5">
        <v>32</v>
      </c>
      <c r="B93" s="138">
        <f>'Assets-Liab 5-6'!C41</f>
        <v>6665353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1943835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1955756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1955756</v>
      </c>
      <c r="D123" s="2" t="str">
        <f t="shared" si="0"/>
        <v>Error?</v>
      </c>
    </row>
    <row r="124" spans="1:4" x14ac:dyDescent="0.2">
      <c r="A124" s="5">
        <v>63</v>
      </c>
      <c r="B124" s="138">
        <f>'Assets-Liab 5-6'!D41</f>
        <v>1955756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761761</v>
      </c>
      <c r="D129" s="2" t="str">
        <f t="shared" si="1"/>
        <v>Error?</v>
      </c>
    </row>
    <row r="130" spans="1:4" x14ac:dyDescent="0.2">
      <c r="A130" s="5">
        <v>69</v>
      </c>
      <c r="B130" s="138">
        <f>'Assets-Liab 5-6'!E12</f>
        <v>0</v>
      </c>
      <c r="D130" s="2" t="str">
        <f t="shared" si="1"/>
        <v>Error?</v>
      </c>
    </row>
    <row r="131" spans="1:4" x14ac:dyDescent="0.2">
      <c r="A131" s="5">
        <v>70</v>
      </c>
      <c r="B131" s="138">
        <f>'Assets-Liab 5-6'!E13</f>
        <v>809689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809689</v>
      </c>
      <c r="D140" s="2" t="str">
        <f t="shared" si="1"/>
        <v>Error?</v>
      </c>
    </row>
    <row r="141" spans="1:4" x14ac:dyDescent="0.2">
      <c r="A141" s="5">
        <v>80</v>
      </c>
      <c r="B141" s="138">
        <f>'Assets-Liab 5-6'!E41</f>
        <v>809689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1332232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1343231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1343231</v>
      </c>
      <c r="D170" s="2" t="str">
        <f t="shared" si="1"/>
        <v>Error?</v>
      </c>
    </row>
    <row r="171" spans="1:4" x14ac:dyDescent="0.2">
      <c r="A171" s="5">
        <v>110</v>
      </c>
      <c r="B171" s="138">
        <f>'Assets-Liab 5-6'!F41</f>
        <v>1343231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1226586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1239827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1239827</v>
      </c>
      <c r="D189" s="2" t="str">
        <f t="shared" si="1"/>
        <v>Error?</v>
      </c>
    </row>
    <row r="190" spans="1:4" x14ac:dyDescent="0.2">
      <c r="A190" s="5">
        <v>129</v>
      </c>
      <c r="B190" s="138">
        <f>'Assets-Liab 5-6'!G41</f>
        <v>1239827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159877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170912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170912</v>
      </c>
      <c r="D212" s="2" t="str">
        <f t="shared" si="2"/>
        <v>Error?</v>
      </c>
    </row>
    <row r="213" spans="1:4" x14ac:dyDescent="0.2">
      <c r="A213" s="12">
        <v>152</v>
      </c>
      <c r="B213" s="138">
        <f>'Assets-Liab 5-6'!H41</f>
        <v>170912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135061</v>
      </c>
      <c r="D273" s="2" t="str">
        <f t="shared" si="3"/>
        <v>Error?</v>
      </c>
    </row>
    <row r="274" spans="1:4" x14ac:dyDescent="0.2">
      <c r="A274" s="5">
        <v>213</v>
      </c>
      <c r="B274" s="138">
        <f>'Assets-Liab 5-6'!M17</f>
        <v>17190207</v>
      </c>
      <c r="D274" s="2" t="str">
        <f t="shared" si="3"/>
        <v>Error?</v>
      </c>
    </row>
    <row r="275" spans="1:4" x14ac:dyDescent="0.2">
      <c r="A275" s="5">
        <v>214</v>
      </c>
      <c r="B275" s="138">
        <f>'Assets-Liab 5-6'!M18</f>
        <v>185241</v>
      </c>
      <c r="D275" s="2" t="str">
        <f t="shared" si="3"/>
        <v>Error?</v>
      </c>
    </row>
    <row r="276" spans="1:4" x14ac:dyDescent="0.2">
      <c r="A276" s="5">
        <v>215</v>
      </c>
      <c r="B276" s="138">
        <f>'Assets-Liab 5-6'!M19</f>
        <v>2813092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20448074</v>
      </c>
      <c r="C279" s="2" t="s">
        <v>594</v>
      </c>
      <c r="D279" s="2" t="str">
        <f t="shared" si="3"/>
        <v>Error?</v>
      </c>
    </row>
    <row r="280" spans="1:4" x14ac:dyDescent="0.2">
      <c r="A280" s="5">
        <v>219</v>
      </c>
      <c r="B280" s="138">
        <f>'Assets-Liab 5-6'!M40</f>
        <v>20448074</v>
      </c>
      <c r="D280" s="2" t="str">
        <f t="shared" si="3"/>
        <v>Error?</v>
      </c>
    </row>
    <row r="281" spans="1:4" x14ac:dyDescent="0.2">
      <c r="A281" s="5">
        <v>220</v>
      </c>
      <c r="B281" s="138">
        <f>'Assets-Liab 5-6'!M41</f>
        <v>20448074</v>
      </c>
      <c r="C281" s="2" t="s">
        <v>594</v>
      </c>
      <c r="D281" s="2" t="str">
        <f t="shared" si="3"/>
        <v>Error?</v>
      </c>
    </row>
    <row r="282" spans="1:4" x14ac:dyDescent="0.2">
      <c r="A282" s="5">
        <v>221</v>
      </c>
      <c r="B282" s="138">
        <f>'Assets-Liab 5-6'!N21</f>
        <v>809689</v>
      </c>
      <c r="D282" s="2" t="str">
        <f t="shared" si="3"/>
        <v>Error?</v>
      </c>
    </row>
    <row r="283" spans="1:4" x14ac:dyDescent="0.2">
      <c r="A283" s="5">
        <v>222</v>
      </c>
      <c r="B283" s="138">
        <f>'Assets-Liab 5-6'!N22</f>
        <v>7434058</v>
      </c>
      <c r="D283" s="2" t="str">
        <f t="shared" si="3"/>
        <v>Error?</v>
      </c>
    </row>
    <row r="284" spans="1:4" x14ac:dyDescent="0.2">
      <c r="A284" s="5">
        <v>223</v>
      </c>
      <c r="B284" s="138">
        <f>'Assets-Liab 5-6'!N23</f>
        <v>8243747</v>
      </c>
      <c r="C284" s="2" t="s">
        <v>594</v>
      </c>
      <c r="D284" s="2" t="str">
        <f t="shared" si="3"/>
        <v>Error?</v>
      </c>
    </row>
    <row r="285" spans="1:4" x14ac:dyDescent="0.2">
      <c r="A285" s="5">
        <v>224</v>
      </c>
      <c r="B285" s="138">
        <f>'Assets-Liab 5-6'!N36</f>
        <v>8243747</v>
      </c>
      <c r="D285" s="2" t="str">
        <f t="shared" si="3"/>
        <v>Error?</v>
      </c>
    </row>
    <row r="286" spans="1:4" x14ac:dyDescent="0.2">
      <c r="A286" s="10">
        <v>225</v>
      </c>
      <c r="D286" s="2" t="str">
        <f t="shared" si="3"/>
        <v>OK</v>
      </c>
    </row>
    <row r="287" spans="1:4" x14ac:dyDescent="0.2">
      <c r="A287" s="5">
        <v>226</v>
      </c>
      <c r="B287" s="138">
        <f>'Assets-Liab 5-6'!N37</f>
        <v>8243747</v>
      </c>
      <c r="C287" s="2" t="s">
        <v>594</v>
      </c>
      <c r="D287" s="2" t="str">
        <f t="shared" si="3"/>
        <v>Error?</v>
      </c>
    </row>
    <row r="288" spans="1:4" x14ac:dyDescent="0.2">
      <c r="A288" s="5">
        <v>227</v>
      </c>
      <c r="B288" s="138">
        <f>'Assets-Liab 5-6'!N41</f>
        <v>8243747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3980000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3554452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73128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33214</v>
      </c>
      <c r="D719" s="2" t="str">
        <f t="shared" si="10"/>
        <v>Error?</v>
      </c>
    </row>
    <row r="720" spans="1:4" x14ac:dyDescent="0.2">
      <c r="A720" s="5">
        <v>659</v>
      </c>
      <c r="B720" s="138">
        <f>'Expenditures 15-22'!C33</f>
        <v>4694474</v>
      </c>
      <c r="C720" s="2" t="s">
        <v>594</v>
      </c>
      <c r="D720" s="2" t="str">
        <f t="shared" si="10"/>
        <v>Error?</v>
      </c>
    </row>
    <row r="721" spans="1:4" x14ac:dyDescent="0.2">
      <c r="A721" s="5">
        <v>660</v>
      </c>
      <c r="B721" s="138">
        <f>'Expenditures 15-22'!C36</f>
        <v>104124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96010</v>
      </c>
      <c r="D723" s="2" t="str">
        <f t="shared" si="10"/>
        <v>Error?</v>
      </c>
    </row>
    <row r="724" spans="1:4" x14ac:dyDescent="0.2">
      <c r="A724" s="5">
        <v>663</v>
      </c>
      <c r="B724" s="138">
        <f>'Expenditures 15-22'!C39</f>
        <v>97865</v>
      </c>
      <c r="D724" s="2" t="str">
        <f t="shared" si="10"/>
        <v>Error?</v>
      </c>
    </row>
    <row r="725" spans="1:4" x14ac:dyDescent="0.2">
      <c r="A725" s="5">
        <v>664</v>
      </c>
      <c r="B725" s="138">
        <f>'Expenditures 15-22'!C40</f>
        <v>187720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485719</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248378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248378</v>
      </c>
      <c r="C731" s="2" t="s">
        <v>594</v>
      </c>
      <c r="D731" s="2" t="str">
        <f t="shared" si="10"/>
        <v>Error?</v>
      </c>
    </row>
    <row r="732" spans="1:4" x14ac:dyDescent="0.2">
      <c r="A732" s="5">
        <v>671</v>
      </c>
      <c r="B732" s="138">
        <f>'Expenditures 15-22'!C49</f>
        <v>1665</v>
      </c>
      <c r="D732" s="2" t="str">
        <f t="shared" si="10"/>
        <v>Error?</v>
      </c>
    </row>
    <row r="733" spans="1:4" x14ac:dyDescent="0.2">
      <c r="A733" s="5">
        <v>672</v>
      </c>
      <c r="B733" s="138">
        <f>'Expenditures 15-22'!C50</f>
        <v>285433</v>
      </c>
      <c r="D733" s="2" t="str">
        <f t="shared" si="10"/>
        <v>Error?</v>
      </c>
    </row>
    <row r="734" spans="1:4" x14ac:dyDescent="0.2">
      <c r="A734" s="5">
        <v>673</v>
      </c>
      <c r="B734" s="138">
        <f>'Expenditures 15-22'!C53</f>
        <v>320802</v>
      </c>
      <c r="C734" s="2" t="s">
        <v>594</v>
      </c>
      <c r="D734" s="2" t="str">
        <f t="shared" si="10"/>
        <v>Error?</v>
      </c>
    </row>
    <row r="735" spans="1:4" x14ac:dyDescent="0.2">
      <c r="A735" s="5">
        <v>674</v>
      </c>
      <c r="B735" s="138">
        <f>'Expenditures 15-22'!C55</f>
        <v>372000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372000</v>
      </c>
      <c r="C737" s="2" t="s">
        <v>594</v>
      </c>
      <c r="D737" s="2" t="str">
        <f t="shared" si="10"/>
        <v>Error?</v>
      </c>
    </row>
    <row r="738" spans="1:4" x14ac:dyDescent="0.2">
      <c r="A738" s="5">
        <v>677</v>
      </c>
      <c r="B738" s="138">
        <f>'Expenditures 15-22'!C59</f>
        <v>77698</v>
      </c>
      <c r="D738" s="2" t="str">
        <f t="shared" si="10"/>
        <v>Error?</v>
      </c>
    </row>
    <row r="739" spans="1:4" x14ac:dyDescent="0.2">
      <c r="A739" s="5">
        <v>678</v>
      </c>
      <c r="B739" s="138">
        <f>'Expenditures 15-22'!C60</f>
        <v>61364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25333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164395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72520</v>
      </c>
      <c r="D751" s="2" t="str">
        <f t="shared" si="10"/>
        <v>Error?</v>
      </c>
    </row>
    <row r="752" spans="1:4" x14ac:dyDescent="0.2">
      <c r="A752" s="10">
        <v>691</v>
      </c>
      <c r="D752" s="2" t="str">
        <f t="shared" si="10"/>
        <v>OK</v>
      </c>
    </row>
    <row r="753" spans="1:4" x14ac:dyDescent="0.2">
      <c r="A753" s="5">
        <v>692</v>
      </c>
      <c r="B753" s="138">
        <f>'Expenditures 15-22'!C72</f>
        <v>72520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1663814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6358288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532280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14632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24</v>
      </c>
      <c r="D777" s="2" t="str">
        <f t="shared" si="11"/>
        <v>Error?</v>
      </c>
    </row>
    <row r="778" spans="1:4" x14ac:dyDescent="0.2">
      <c r="A778" s="5">
        <v>717</v>
      </c>
      <c r="B778" s="138">
        <f>'Expenditures 15-22'!D33</f>
        <v>844568</v>
      </c>
      <c r="C778" s="2" t="s">
        <v>594</v>
      </c>
      <c r="D778" s="2" t="str">
        <f t="shared" si="11"/>
        <v>Error?</v>
      </c>
    </row>
    <row r="779" spans="1:4" x14ac:dyDescent="0.2">
      <c r="A779" s="5">
        <v>718</v>
      </c>
      <c r="B779" s="138">
        <f>'Expenditures 15-22'!D36</f>
        <v>2141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28752</v>
      </c>
      <c r="D781" s="2" t="str">
        <f t="shared" si="11"/>
        <v>Error?</v>
      </c>
    </row>
    <row r="782" spans="1:4" x14ac:dyDescent="0.2">
      <c r="A782" s="5">
        <v>721</v>
      </c>
      <c r="B782" s="138">
        <f>'Expenditures 15-22'!D39</f>
        <v>10938</v>
      </c>
      <c r="D782" s="2" t="str">
        <f t="shared" si="11"/>
        <v>Error?</v>
      </c>
    </row>
    <row r="783" spans="1:4" x14ac:dyDescent="0.2">
      <c r="A783" s="5">
        <v>722</v>
      </c>
      <c r="B783" s="138">
        <f>'Expenditures 15-22'!D40</f>
        <v>26310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68141</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45830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45830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41776</v>
      </c>
      <c r="D791" s="2" t="str">
        <f t="shared" si="11"/>
        <v>Error?</v>
      </c>
    </row>
    <row r="792" spans="1:4" x14ac:dyDescent="0.2">
      <c r="A792" s="5">
        <v>731</v>
      </c>
      <c r="B792" s="138">
        <f>'Expenditures 15-22'!D53</f>
        <v>52511</v>
      </c>
      <c r="C792" s="2" t="s">
        <v>594</v>
      </c>
      <c r="D792" s="2" t="str">
        <f t="shared" si="11"/>
        <v>Error?</v>
      </c>
    </row>
    <row r="793" spans="1:4" x14ac:dyDescent="0.2">
      <c r="A793" s="5">
        <v>732</v>
      </c>
      <c r="B793" s="138">
        <f>'Expenditures 15-22'!D55</f>
        <v>95521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95521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11000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11000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24466</v>
      </c>
      <c r="D809" s="2" t="str">
        <f t="shared" si="11"/>
        <v>Error?</v>
      </c>
    </row>
    <row r="810" spans="1:4" x14ac:dyDescent="0.2">
      <c r="A810" s="10">
        <v>749</v>
      </c>
      <c r="D810" s="2" t="str">
        <f t="shared" si="11"/>
        <v>OK</v>
      </c>
    </row>
    <row r="811" spans="1:4" x14ac:dyDescent="0.2">
      <c r="A811" s="5">
        <v>750</v>
      </c>
      <c r="B811" s="138">
        <f>'Expenditures 15-22'!D72</f>
        <v>24466</v>
      </c>
      <c r="C811" s="2" t="s">
        <v>594</v>
      </c>
      <c r="D811" s="2" t="str">
        <f t="shared" si="11"/>
        <v>Error?</v>
      </c>
    </row>
    <row r="812" spans="1:4" x14ac:dyDescent="0.2">
      <c r="A812" s="5">
        <v>751</v>
      </c>
      <c r="B812" s="138">
        <f>'Expenditures 15-22'!D73</f>
        <v>7520</v>
      </c>
      <c r="D812" s="2" t="str">
        <f t="shared" si="11"/>
        <v>Error?</v>
      </c>
    </row>
    <row r="813" spans="1:4" x14ac:dyDescent="0.2">
      <c r="A813" s="5">
        <v>752</v>
      </c>
      <c r="B813" s="138">
        <f>'Expenditures 15-22'!D74</f>
        <v>304989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1149557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5319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5319</v>
      </c>
      <c r="C836" s="2" t="s">
        <v>594</v>
      </c>
      <c r="D836" s="2" t="str">
        <f t="shared" si="12"/>
        <v>Error?</v>
      </c>
    </row>
    <row r="837" spans="1:4" x14ac:dyDescent="0.2">
      <c r="A837" s="5">
        <v>776</v>
      </c>
      <c r="B837" s="138">
        <f>'Expenditures 15-22'!E36</f>
        <v>101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1355</v>
      </c>
      <c r="D840" s="2" t="str">
        <f t="shared" si="12"/>
        <v>Error?</v>
      </c>
    </row>
    <row r="841" spans="1:4" x14ac:dyDescent="0.2">
      <c r="A841" s="5">
        <v>780</v>
      </c>
      <c r="B841" s="138">
        <f>'Expenditures 15-22'!E40</f>
        <v>111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1567</v>
      </c>
      <c r="C843" s="2" t="s">
        <v>594</v>
      </c>
      <c r="D843" s="2" t="str">
        <f t="shared" si="12"/>
        <v>Error?</v>
      </c>
    </row>
    <row r="844" spans="1:4" x14ac:dyDescent="0.2">
      <c r="A844" s="5">
        <v>783</v>
      </c>
      <c r="B844" s="138">
        <f>'Expenditures 15-22'!E44</f>
        <v>38540</v>
      </c>
      <c r="D844" s="2" t="str">
        <f t="shared" si="12"/>
        <v>Error?</v>
      </c>
    </row>
    <row r="845" spans="1:4" x14ac:dyDescent="0.2">
      <c r="A845" s="5">
        <v>784</v>
      </c>
      <c r="B845" s="138">
        <f>'Expenditures 15-22'!E45</f>
        <v>113852</v>
      </c>
      <c r="D845" s="2" t="str">
        <f t="shared" si="12"/>
        <v>Error?</v>
      </c>
    </row>
    <row r="846" spans="1:4" x14ac:dyDescent="0.2">
      <c r="A846" s="5">
        <v>785</v>
      </c>
      <c r="B846" s="138">
        <f>'Expenditures 15-22'!E46</f>
        <v>3523</v>
      </c>
      <c r="D846" s="2" t="str">
        <f t="shared" si="12"/>
        <v>Error?</v>
      </c>
    </row>
    <row r="847" spans="1:4" x14ac:dyDescent="0.2">
      <c r="A847" s="5">
        <v>786</v>
      </c>
      <c r="B847" s="138">
        <f>'Expenditures 15-22'!E47</f>
        <v>155915</v>
      </c>
      <c r="C847" s="2" t="s">
        <v>594</v>
      </c>
      <c r="D847" s="2" t="str">
        <f t="shared" si="12"/>
        <v>Error?</v>
      </c>
    </row>
    <row r="848" spans="1:4" x14ac:dyDescent="0.2">
      <c r="A848" s="5">
        <v>787</v>
      </c>
      <c r="B848" s="138">
        <f>'Expenditures 15-22'!E49</f>
        <v>73581</v>
      </c>
      <c r="D848" s="2" t="str">
        <f t="shared" si="12"/>
        <v>Error?</v>
      </c>
    </row>
    <row r="849" spans="1:4" x14ac:dyDescent="0.2">
      <c r="A849" s="5">
        <v>788</v>
      </c>
      <c r="B849" s="138">
        <f>'Expenditures 15-22'!E50</f>
        <v>25413</v>
      </c>
      <c r="D849" s="2" t="str">
        <f t="shared" si="12"/>
        <v>Error?</v>
      </c>
    </row>
    <row r="850" spans="1:4" x14ac:dyDescent="0.2">
      <c r="A850" s="5">
        <v>789</v>
      </c>
      <c r="B850" s="138">
        <f>'Expenditures 15-22'!E53</f>
        <v>100854</v>
      </c>
      <c r="C850" s="2" t="s">
        <v>594</v>
      </c>
      <c r="D850" s="2" t="str">
        <f t="shared" si="12"/>
        <v>Error?</v>
      </c>
    </row>
    <row r="851" spans="1:4" x14ac:dyDescent="0.2">
      <c r="A851" s="5">
        <v>790</v>
      </c>
      <c r="B851" s="138">
        <f>'Expenditures 15-22'!E55</f>
        <v>1966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1966</v>
      </c>
      <c r="C853" s="2" t="s">
        <v>594</v>
      </c>
      <c r="D853" s="2" t="str">
        <f t="shared" si="12"/>
        <v>Error?</v>
      </c>
    </row>
    <row r="854" spans="1:4" x14ac:dyDescent="0.2">
      <c r="A854" s="5">
        <v>793</v>
      </c>
      <c r="B854" s="138">
        <f>'Expenditures 15-22'!E59</f>
        <v>1243</v>
      </c>
      <c r="D854" s="2" t="str">
        <f t="shared" si="12"/>
        <v>Error?</v>
      </c>
    </row>
    <row r="855" spans="1:4" x14ac:dyDescent="0.2">
      <c r="A855" s="5">
        <v>794</v>
      </c>
      <c r="B855" s="138">
        <f>'Expenditures 15-22'!E60</f>
        <v>14872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51137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67252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8898</v>
      </c>
      <c r="D870" s="2" t="str">
        <f t="shared" si="12"/>
        <v>Error?</v>
      </c>
    </row>
    <row r="871" spans="1:4" x14ac:dyDescent="0.2">
      <c r="A871" s="5">
        <v>810</v>
      </c>
      <c r="B871" s="138">
        <f>'Expenditures 15-22'!E74</f>
        <v>336452</v>
      </c>
      <c r="C871" s="2" t="s">
        <v>594</v>
      </c>
      <c r="D871" s="2" t="str">
        <f t="shared" si="12"/>
        <v>Error?</v>
      </c>
    </row>
    <row r="872" spans="1:4" x14ac:dyDescent="0.2">
      <c r="A872" s="5">
        <v>811</v>
      </c>
      <c r="B872" s="138">
        <f>'Expenditures 15-22'!E75</f>
        <v>98</v>
      </c>
      <c r="D872" s="2" t="str">
        <f t="shared" si="12"/>
        <v>Error?</v>
      </c>
    </row>
    <row r="873" spans="1:4" x14ac:dyDescent="0.2">
      <c r="A873" s="5">
        <v>812</v>
      </c>
      <c r="B873" s="138">
        <f>'Expenditures 15-22'!E114</f>
        <v>341869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125226</v>
      </c>
      <c r="D879" s="2" t="str">
        <f t="shared" si="12"/>
        <v>Error?</v>
      </c>
    </row>
    <row r="880" spans="1:4" x14ac:dyDescent="0.2">
      <c r="A880" s="5">
        <v>819</v>
      </c>
      <c r="B880" s="138">
        <f>'Expenditures 15-22'!F16</f>
        <v>3013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131931</v>
      </c>
      <c r="C894" s="2" t="s">
        <v>594</v>
      </c>
      <c r="D894" s="2" t="str">
        <f t="shared" si="12"/>
        <v>Error?</v>
      </c>
    </row>
    <row r="895" spans="1:4" x14ac:dyDescent="0.2">
      <c r="A895" s="5">
        <v>834</v>
      </c>
      <c r="B895" s="138">
        <f>'Expenditures 15-22'!F36</f>
        <v>32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1432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1464</v>
      </c>
      <c r="C901" s="2" t="s">
        <v>594</v>
      </c>
      <c r="D901" s="2" t="str">
        <f t="shared" si="13"/>
        <v>Error?</v>
      </c>
    </row>
    <row r="902" spans="1:4" x14ac:dyDescent="0.2">
      <c r="A902" s="5">
        <v>841</v>
      </c>
      <c r="B902" s="138">
        <f>'Expenditures 15-22'!F44</f>
        <v>6453</v>
      </c>
      <c r="D902" s="2" t="str">
        <f t="shared" si="13"/>
        <v>Error?</v>
      </c>
    </row>
    <row r="903" spans="1:4" x14ac:dyDescent="0.2">
      <c r="A903" s="5">
        <v>842</v>
      </c>
      <c r="B903" s="138">
        <f>'Expenditures 15-22'!F45</f>
        <v>170980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177433</v>
      </c>
      <c r="C905" s="2" t="s">
        <v>594</v>
      </c>
      <c r="D905" s="2" t="str">
        <f t="shared" si="13"/>
        <v>Error?</v>
      </c>
    </row>
    <row r="906" spans="1:4" x14ac:dyDescent="0.2">
      <c r="A906" s="5">
        <v>845</v>
      </c>
      <c r="B906" s="138">
        <f>'Expenditures 15-22'!F49</f>
        <v>4124</v>
      </c>
      <c r="D906" s="2" t="str">
        <f t="shared" si="13"/>
        <v>Error?</v>
      </c>
    </row>
    <row r="907" spans="1:4" x14ac:dyDescent="0.2">
      <c r="A907" s="5">
        <v>846</v>
      </c>
      <c r="B907" s="138">
        <f>'Expenditures 15-22'!F50</f>
        <v>9177</v>
      </c>
      <c r="D907" s="2" t="str">
        <f t="shared" si="13"/>
        <v>Error?</v>
      </c>
    </row>
    <row r="908" spans="1:4" x14ac:dyDescent="0.2">
      <c r="A908" s="5">
        <v>847</v>
      </c>
      <c r="B908" s="138">
        <f>'Expenditures 15-22'!F53</f>
        <v>13301</v>
      </c>
      <c r="C908" s="2" t="s">
        <v>594</v>
      </c>
      <c r="D908" s="2" t="str">
        <f t="shared" si="13"/>
        <v>Error?</v>
      </c>
    </row>
    <row r="909" spans="1:4" x14ac:dyDescent="0.2">
      <c r="A909" s="5">
        <v>848</v>
      </c>
      <c r="B909" s="138">
        <f>'Expenditures 15-22'!F55</f>
        <v>25081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25081</v>
      </c>
      <c r="C911" s="2" t="s">
        <v>594</v>
      </c>
      <c r="D911" s="2" t="str">
        <f t="shared" si="13"/>
        <v>Error?</v>
      </c>
    </row>
    <row r="912" spans="1:4" x14ac:dyDescent="0.2">
      <c r="A912" s="5">
        <v>851</v>
      </c>
      <c r="B912" s="138">
        <f>'Expenditures 15-22'!F59</f>
        <v>867</v>
      </c>
      <c r="D912" s="2" t="str">
        <f t="shared" si="13"/>
        <v>Error?</v>
      </c>
    </row>
    <row r="913" spans="1:4" x14ac:dyDescent="0.2">
      <c r="A913" s="5">
        <v>852</v>
      </c>
      <c r="B913" s="138">
        <f>'Expenditures 15-22'!F60</f>
        <v>3894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15688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20449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237728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369659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3200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3200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130606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130606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114756</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114756</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245362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248562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66395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307556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373951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4215158</v>
      </c>
      <c r="C1093" s="2" t="s">
        <v>594</v>
      </c>
      <c r="D1093" s="2" t="str">
        <f t="shared" si="16"/>
        <v>Error?</v>
      </c>
    </row>
    <row r="1094" spans="1:4" x14ac:dyDescent="0.2">
      <c r="A1094" s="5">
        <v>1033</v>
      </c>
      <c r="B1094" s="138">
        <f>'Expenditures 15-22'!K16</f>
        <v>3013</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87760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5319</v>
      </c>
      <c r="C1106" s="2" t="s">
        <v>594</v>
      </c>
      <c r="D1106" s="2" t="str">
        <f t="shared" si="16"/>
        <v>Error?</v>
      </c>
    </row>
    <row r="1107" spans="1:4" x14ac:dyDescent="0.2">
      <c r="A1107" s="5">
        <v>1046</v>
      </c>
      <c r="B1107" s="138">
        <f>'Expenditures 15-22'!K15</f>
        <v>33238</v>
      </c>
      <c r="C1107" s="2" t="s">
        <v>594</v>
      </c>
      <c r="D1107" s="2" t="str">
        <f t="shared" si="16"/>
        <v>Error?</v>
      </c>
    </row>
    <row r="1108" spans="1:4" x14ac:dyDescent="0.2">
      <c r="A1108" s="5">
        <v>1047</v>
      </c>
      <c r="B1108" s="138">
        <f>'Expenditures 15-22'!K33</f>
        <v>5745887</v>
      </c>
      <c r="C1108" s="2" t="s">
        <v>594</v>
      </c>
      <c r="D1108" s="2" t="str">
        <f t="shared" si="16"/>
        <v>Error?</v>
      </c>
    </row>
    <row r="1109" spans="1:4" x14ac:dyDescent="0.2">
      <c r="A1109" s="5">
        <v>1048</v>
      </c>
      <c r="B1109" s="138">
        <f>'Expenditures 15-22'!K36</f>
        <v>106398</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126194</v>
      </c>
      <c r="C1111" s="2" t="s">
        <v>594</v>
      </c>
      <c r="D1111" s="2" t="str">
        <f t="shared" si="16"/>
        <v>Error?</v>
      </c>
    </row>
    <row r="1112" spans="1:4" x14ac:dyDescent="0.2">
      <c r="A1112" s="5">
        <v>1051</v>
      </c>
      <c r="B1112" s="138">
        <f>'Expenditures 15-22'!K39</f>
        <v>110158</v>
      </c>
      <c r="C1112" s="2" t="s">
        <v>594</v>
      </c>
      <c r="D1112" s="2" t="str">
        <f t="shared" si="16"/>
        <v>Error?</v>
      </c>
    </row>
    <row r="1113" spans="1:4" x14ac:dyDescent="0.2">
      <c r="A1113" s="5">
        <v>1052</v>
      </c>
      <c r="B1113" s="138">
        <f>'Expenditures 15-22'!K40</f>
        <v>214141</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556891</v>
      </c>
      <c r="C1115" s="2" t="s">
        <v>594</v>
      </c>
      <c r="D1115" s="2" t="str">
        <f t="shared" si="16"/>
        <v>Error?</v>
      </c>
    </row>
    <row r="1116" spans="1:4" x14ac:dyDescent="0.2">
      <c r="A1116" s="5">
        <v>1055</v>
      </c>
      <c r="B1116" s="138">
        <f>'Expenditures 15-22'!K44</f>
        <v>44993</v>
      </c>
      <c r="C1116" s="2" t="s">
        <v>594</v>
      </c>
      <c r="D1116" s="2" t="str">
        <f t="shared" si="16"/>
        <v>Error?</v>
      </c>
    </row>
    <row r="1117" spans="1:4" x14ac:dyDescent="0.2">
      <c r="A1117" s="5">
        <v>1056</v>
      </c>
      <c r="B1117" s="138">
        <f>'Expenditures 15-22'!K45</f>
        <v>709646</v>
      </c>
      <c r="C1117" s="2" t="s">
        <v>594</v>
      </c>
      <c r="D1117" s="2" t="str">
        <f t="shared" si="16"/>
        <v>Error?</v>
      </c>
    </row>
    <row r="1118" spans="1:4" x14ac:dyDescent="0.2">
      <c r="A1118" s="5">
        <v>1057</v>
      </c>
      <c r="B1118" s="138">
        <f>'Expenditures 15-22'!K46</f>
        <v>3523</v>
      </c>
      <c r="C1118" s="2" t="s">
        <v>594</v>
      </c>
      <c r="D1118" s="2" t="str">
        <f t="shared" si="16"/>
        <v>Error?</v>
      </c>
    </row>
    <row r="1119" spans="1:4" x14ac:dyDescent="0.2">
      <c r="A1119" s="5">
        <v>1058</v>
      </c>
      <c r="B1119" s="138">
        <f>'Expenditures 15-22'!K47</f>
        <v>758162</v>
      </c>
      <c r="C1119" s="2" t="s">
        <v>594</v>
      </c>
      <c r="D1119" s="2" t="str">
        <f t="shared" si="16"/>
        <v>Error?</v>
      </c>
    </row>
    <row r="1120" spans="1:4" x14ac:dyDescent="0.2">
      <c r="A1120" s="5">
        <v>1059</v>
      </c>
      <c r="B1120" s="138">
        <f>'Expenditures 15-22'!K49</f>
        <v>79370</v>
      </c>
      <c r="C1120" s="2" t="s">
        <v>594</v>
      </c>
      <c r="D1120" s="2" t="str">
        <f t="shared" si="16"/>
        <v>Error?</v>
      </c>
    </row>
    <row r="1121" spans="1:4" x14ac:dyDescent="0.2">
      <c r="A1121" s="5">
        <v>1060</v>
      </c>
      <c r="B1121" s="138">
        <f>'Expenditures 15-22'!K50</f>
        <v>361799</v>
      </c>
      <c r="C1121" s="2" t="s">
        <v>594</v>
      </c>
      <c r="D1121" s="2" t="str">
        <f t="shared" si="16"/>
        <v>Error?</v>
      </c>
    </row>
    <row r="1122" spans="1:4" x14ac:dyDescent="0.2">
      <c r="A1122" s="5">
        <v>1061</v>
      </c>
      <c r="B1122" s="138">
        <f>'Expenditures 15-22'!K53</f>
        <v>487468</v>
      </c>
      <c r="C1122" s="2" t="s">
        <v>594</v>
      </c>
      <c r="D1122" s="2" t="str">
        <f t="shared" si="16"/>
        <v>Error?</v>
      </c>
    </row>
    <row r="1123" spans="1:4" x14ac:dyDescent="0.2">
      <c r="A1123" s="5">
        <v>1062</v>
      </c>
      <c r="B1123" s="138">
        <f>'Expenditures 15-22'!K55</f>
        <v>495095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495095</v>
      </c>
      <c r="C1125" s="2" t="s">
        <v>594</v>
      </c>
      <c r="D1125" s="2" t="str">
        <f t="shared" si="16"/>
        <v>Error?</v>
      </c>
    </row>
    <row r="1126" spans="1:4" x14ac:dyDescent="0.2">
      <c r="A1126" s="5">
        <v>1065</v>
      </c>
      <c r="B1126" s="138">
        <f>'Expenditures 15-22'!K59</f>
        <v>79808</v>
      </c>
      <c r="C1126" s="2" t="s">
        <v>594</v>
      </c>
      <c r="D1126" s="2" t="str">
        <f t="shared" si="16"/>
        <v>Error?</v>
      </c>
    </row>
    <row r="1127" spans="1:4" x14ac:dyDescent="0.2">
      <c r="A1127" s="5">
        <v>1066</v>
      </c>
      <c r="B1127" s="138">
        <f>'Expenditures 15-22'!K60</f>
        <v>205886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92158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377852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96986</v>
      </c>
      <c r="C1139" s="2" t="s">
        <v>594</v>
      </c>
      <c r="D1139" s="2" t="str">
        <f t="shared" si="16"/>
        <v>Error?</v>
      </c>
    </row>
    <row r="1140" spans="1:4" x14ac:dyDescent="0.2">
      <c r="A1140" s="10">
        <v>1079</v>
      </c>
      <c r="D1140" s="2" t="str">
        <f t="shared" si="16"/>
        <v>OK</v>
      </c>
    </row>
    <row r="1141" spans="1:4" x14ac:dyDescent="0.2">
      <c r="A1141" s="5">
        <v>1080</v>
      </c>
      <c r="B1141" s="138">
        <f>'Expenditures 15-22'!K72</f>
        <v>96986</v>
      </c>
      <c r="C1141" s="2" t="s">
        <v>594</v>
      </c>
      <c r="D1141" s="2" t="str">
        <f t="shared" si="16"/>
        <v>Error?</v>
      </c>
    </row>
    <row r="1142" spans="1:4" x14ac:dyDescent="0.2">
      <c r="A1142" s="5">
        <v>1081</v>
      </c>
      <c r="B1142" s="138">
        <f>'Expenditures 15-22'!K73</f>
        <v>16418</v>
      </c>
      <c r="C1142" s="2" t="s">
        <v>594</v>
      </c>
      <c r="D1142" s="2" t="str">
        <f t="shared" si="16"/>
        <v>Error?</v>
      </c>
    </row>
    <row r="1143" spans="1:4" x14ac:dyDescent="0.2">
      <c r="A1143" s="5">
        <v>1082</v>
      </c>
      <c r="B1143" s="138">
        <f>'Expenditures 15-22'!K74</f>
        <v>2788872</v>
      </c>
      <c r="C1143" s="2" t="s">
        <v>594</v>
      </c>
      <c r="D1143" s="2" t="str">
        <f t="shared" si="16"/>
        <v>Error?</v>
      </c>
    </row>
    <row r="1144" spans="1:4" x14ac:dyDescent="0.2">
      <c r="A1144" s="5">
        <v>1083</v>
      </c>
      <c r="B1144" s="138">
        <f>'Expenditures 15-22'!K75</f>
        <v>98</v>
      </c>
      <c r="C1144" s="2" t="s">
        <v>594</v>
      </c>
      <c r="D1144" s="2" t="str">
        <f t="shared" si="16"/>
        <v>Error?</v>
      </c>
    </row>
    <row r="1145" spans="1:4" x14ac:dyDescent="0.2">
      <c r="A1145" s="5">
        <v>1084</v>
      </c>
      <c r="B1145" s="138">
        <f>'Expenditures 15-22'!K102</f>
        <v>307556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8842413</v>
      </c>
      <c r="C1152" s="2" t="s">
        <v>594</v>
      </c>
      <c r="D1152" s="2" t="str">
        <f t="shared" si="17"/>
        <v>Error?</v>
      </c>
    </row>
    <row r="1153" spans="1:4" x14ac:dyDescent="0.2">
      <c r="A1153" s="5">
        <v>1092</v>
      </c>
      <c r="B1153" s="138">
        <f>'Expenditures 15-22'!K115</f>
        <v>1265916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67386</v>
      </c>
      <c r="D1221" s="2" t="str">
        <f t="shared" si="18"/>
        <v>Error?</v>
      </c>
    </row>
    <row r="1222" spans="1:4" x14ac:dyDescent="0.2">
      <c r="A1222" s="10">
        <v>1161</v>
      </c>
      <c r="D1222" s="2" t="str">
        <f t="shared" si="18"/>
        <v>OK</v>
      </c>
    </row>
    <row r="1223" spans="1:4" x14ac:dyDescent="0.2">
      <c r="A1223" s="5">
        <v>1162</v>
      </c>
      <c r="B1223" s="138">
        <f>'Expenditures 15-22'!C127</f>
        <v>67386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67386</v>
      </c>
      <c r="C1225" s="2" t="s">
        <v>594</v>
      </c>
      <c r="D1225" s="2" t="str">
        <f t="shared" si="18"/>
        <v>Error?</v>
      </c>
    </row>
    <row r="1226" spans="1:4" x14ac:dyDescent="0.2">
      <c r="A1226" s="5">
        <v>1165</v>
      </c>
      <c r="B1226" s="138">
        <f>'Expenditures 15-22'!C151</f>
        <v>67386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9342</v>
      </c>
      <c r="D1229" s="2" t="str">
        <f t="shared" si="18"/>
        <v>Error?</v>
      </c>
    </row>
    <row r="1230" spans="1:4" x14ac:dyDescent="0.2">
      <c r="A1230" s="10">
        <v>1169</v>
      </c>
      <c r="D1230" s="2" t="str">
        <f t="shared" si="18"/>
        <v>OK</v>
      </c>
    </row>
    <row r="1231" spans="1:4" x14ac:dyDescent="0.2">
      <c r="A1231" s="5">
        <v>1170</v>
      </c>
      <c r="B1231" s="138">
        <f>'Expenditures 15-22'!D127</f>
        <v>9342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9342</v>
      </c>
      <c r="C1233" s="2" t="s">
        <v>594</v>
      </c>
      <c r="D1233" s="2" t="str">
        <f t="shared" si="18"/>
        <v>Error?</v>
      </c>
    </row>
    <row r="1234" spans="1:4" x14ac:dyDescent="0.2">
      <c r="A1234" s="5">
        <v>1173</v>
      </c>
      <c r="B1234" s="138">
        <f>'Expenditures 15-22'!D151</f>
        <v>9342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150</v>
      </c>
      <c r="D1236" s="2" t="str">
        <f t="shared" si="18"/>
        <v>Error?</v>
      </c>
    </row>
    <row r="1237" spans="1:4" x14ac:dyDescent="0.2">
      <c r="A1237" s="5">
        <v>1176</v>
      </c>
      <c r="B1237" s="138">
        <f>'Expenditures 15-22'!E124</f>
        <v>504505</v>
      </c>
      <c r="D1237" s="2" t="str">
        <f t="shared" si="18"/>
        <v>Error?</v>
      </c>
    </row>
    <row r="1238" spans="1:4" x14ac:dyDescent="0.2">
      <c r="A1238" s="10">
        <v>1177</v>
      </c>
      <c r="D1238" s="2" t="str">
        <f t="shared" si="18"/>
        <v>OK</v>
      </c>
    </row>
    <row r="1239" spans="1:4" x14ac:dyDescent="0.2">
      <c r="A1239" s="5">
        <v>1178</v>
      </c>
      <c r="B1239" s="138">
        <f>'Expenditures 15-22'!E127</f>
        <v>504655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504655</v>
      </c>
      <c r="C1241" s="2" t="s">
        <v>594</v>
      </c>
      <c r="D1241" s="2" t="str">
        <f t="shared" si="18"/>
        <v>Error?</v>
      </c>
    </row>
    <row r="1242" spans="1:4" x14ac:dyDescent="0.2">
      <c r="A1242" s="5">
        <v>1181</v>
      </c>
      <c r="B1242" s="138">
        <f>'Expenditures 15-22'!E151</f>
        <v>504655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174095</v>
      </c>
      <c r="D1245" s="2" t="str">
        <f t="shared" si="18"/>
        <v>Error?</v>
      </c>
    </row>
    <row r="1246" spans="1:4" x14ac:dyDescent="0.2">
      <c r="A1246" s="10">
        <v>1185</v>
      </c>
      <c r="D1246" s="2" t="str">
        <f t="shared" si="18"/>
        <v>OK</v>
      </c>
    </row>
    <row r="1247" spans="1:4" x14ac:dyDescent="0.2">
      <c r="A1247" s="5">
        <v>1186</v>
      </c>
      <c r="B1247" s="138">
        <f>'Expenditures 15-22'!F127</f>
        <v>174095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174095</v>
      </c>
      <c r="C1249" s="2" t="s">
        <v>594</v>
      </c>
      <c r="D1249" s="2" t="str">
        <f t="shared" si="18"/>
        <v>Error?</v>
      </c>
    </row>
    <row r="1250" spans="1:4" x14ac:dyDescent="0.2">
      <c r="A1250" s="5">
        <v>1189</v>
      </c>
      <c r="B1250" s="138">
        <f>'Expenditures 15-22'!F151</f>
        <v>174095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12305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12305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12305</v>
      </c>
      <c r="C1258" s="2" t="s">
        <v>594</v>
      </c>
      <c r="D1258" s="2" t="str">
        <f t="shared" si="18"/>
        <v>Error?</v>
      </c>
    </row>
    <row r="1259" spans="1:4" x14ac:dyDescent="0.2">
      <c r="A1259" s="5">
        <v>1198</v>
      </c>
      <c r="B1259" s="138">
        <f>'Expenditures 15-22'!G151</f>
        <v>12305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150</v>
      </c>
      <c r="C1275" s="2" t="s">
        <v>594</v>
      </c>
      <c r="D1275" s="2" t="str">
        <f t="shared" si="18"/>
        <v>Error?</v>
      </c>
    </row>
    <row r="1276" spans="1:4" x14ac:dyDescent="0.2">
      <c r="A1276" s="5">
        <v>1215</v>
      </c>
      <c r="B1276" s="138">
        <f>'Expenditures 15-22'!K124</f>
        <v>767633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767783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767783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767783</v>
      </c>
      <c r="C1288" s="2" t="s">
        <v>594</v>
      </c>
      <c r="D1288" s="2" t="str">
        <f t="shared" si="19"/>
        <v>Error?</v>
      </c>
    </row>
    <row r="1289" spans="1:4" x14ac:dyDescent="0.2">
      <c r="A1289" s="5">
        <v>1228</v>
      </c>
      <c r="B1289" s="138">
        <f>'Expenditures 15-22'!K152</f>
        <v>-28080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40000</v>
      </c>
      <c r="D1307" s="2" t="str">
        <f t="shared" si="19"/>
        <v>Error?</v>
      </c>
    </row>
    <row r="1308" spans="1:4" x14ac:dyDescent="0.2">
      <c r="A1308" s="5">
        <v>1247</v>
      </c>
      <c r="B1308" s="138">
        <f>'Expenditures 15-22'!E172</f>
        <v>40000</v>
      </c>
      <c r="C1308" s="2" t="s">
        <v>594</v>
      </c>
      <c r="D1308" s="2" t="str">
        <f t="shared" si="19"/>
        <v>Error?</v>
      </c>
    </row>
    <row r="1309" spans="1:4" x14ac:dyDescent="0.2">
      <c r="A1309" s="5">
        <v>1248</v>
      </c>
      <c r="B1309" s="138">
        <f>'Expenditures 15-22'!E174</f>
        <v>40000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103519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1124616</v>
      </c>
      <c r="D1315" s="2" t="str">
        <f t="shared" si="19"/>
        <v>Error?</v>
      </c>
    </row>
    <row r="1316" spans="1:4" x14ac:dyDescent="0.2">
      <c r="A1316" s="5">
        <v>1255</v>
      </c>
      <c r="B1316" s="138">
        <f>'Expenditures 15-22'!H171</f>
        <v>2733</v>
      </c>
      <c r="D1316" s="2" t="str">
        <f t="shared" si="19"/>
        <v>Error?</v>
      </c>
    </row>
    <row r="1317" spans="1:4" x14ac:dyDescent="0.2">
      <c r="A1317" s="5">
        <v>1256</v>
      </c>
      <c r="B1317" s="138">
        <f>'Expenditures 15-22'!H172</f>
        <v>1230868</v>
      </c>
      <c r="C1317" s="2" t="s">
        <v>594</v>
      </c>
      <c r="D1317" s="2" t="str">
        <f t="shared" si="19"/>
        <v>Error?</v>
      </c>
    </row>
    <row r="1318" spans="1:4" x14ac:dyDescent="0.2">
      <c r="A1318" s="5">
        <v>1257</v>
      </c>
      <c r="B1318" s="138">
        <f>'Expenditures 15-22'!H174</f>
        <v>1230868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103519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1124616</v>
      </c>
      <c r="C1329" s="2" t="s">
        <v>594</v>
      </c>
      <c r="D1329" s="2" t="str">
        <f t="shared" si="19"/>
        <v>Error?</v>
      </c>
    </row>
    <row r="1330" spans="1:4" x14ac:dyDescent="0.2">
      <c r="A1330" s="5">
        <v>1269</v>
      </c>
      <c r="B1330" s="138">
        <f>'Expenditures 15-22'!K171</f>
        <v>42733</v>
      </c>
      <c r="C1330" s="2" t="s">
        <v>594</v>
      </c>
      <c r="D1330" s="2" t="str">
        <f t="shared" si="19"/>
        <v>Error?</v>
      </c>
    </row>
    <row r="1331" spans="1:4" x14ac:dyDescent="0.2">
      <c r="A1331" s="5">
        <v>1270</v>
      </c>
      <c r="B1331" s="138">
        <f>'Expenditures 15-22'!K172</f>
        <v>1270868</v>
      </c>
      <c r="C1331" s="2" t="s">
        <v>594</v>
      </c>
      <c r="D1331" s="2" t="str">
        <f t="shared" si="19"/>
        <v>Error?</v>
      </c>
    </row>
    <row r="1332" spans="1:4" x14ac:dyDescent="0.2">
      <c r="A1332" s="5">
        <v>1271</v>
      </c>
      <c r="B1332" s="138">
        <f>'Expenditures 15-22'!K174</f>
        <v>1270868</v>
      </c>
      <c r="C1332" s="2" t="s">
        <v>594</v>
      </c>
      <c r="D1332" s="2" t="str">
        <f t="shared" si="19"/>
        <v>Error?</v>
      </c>
    </row>
    <row r="1333" spans="1:4" x14ac:dyDescent="0.2">
      <c r="A1333" s="5">
        <v>1272</v>
      </c>
      <c r="B1333" s="138">
        <f>'Expenditures 15-22'!K175</f>
        <v>-29026</v>
      </c>
      <c r="C1333" s="2" t="s">
        <v>594</v>
      </c>
      <c r="D1333" s="2" t="str">
        <f t="shared" si="19"/>
        <v>Error?</v>
      </c>
    </row>
    <row r="1334" spans="1:4" x14ac:dyDescent="0.2">
      <c r="A1334" s="10">
        <v>1273</v>
      </c>
      <c r="D1334" s="2" t="str">
        <f t="shared" si="19"/>
        <v>OK</v>
      </c>
    </row>
    <row r="1335" spans="1:4" x14ac:dyDescent="0.2">
      <c r="A1335" s="5">
        <v>1274</v>
      </c>
      <c r="B1335" s="138">
        <f>'Expenditures 15-22'!C182</f>
        <v>22448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76544</v>
      </c>
      <c r="C1339" s="2" t="s">
        <v>594</v>
      </c>
      <c r="D1339" s="2" t="str">
        <f t="shared" si="19"/>
        <v>Error?</v>
      </c>
    </row>
    <row r="1340" spans="1:4" x14ac:dyDescent="0.2">
      <c r="A1340" s="5">
        <v>1279</v>
      </c>
      <c r="B1340" s="138">
        <f>'Expenditures 15-22'!C210</f>
        <v>76544</v>
      </c>
      <c r="C1340" s="2" t="s">
        <v>594</v>
      </c>
      <c r="D1340" s="2" t="str">
        <f t="shared" si="19"/>
        <v>Error?</v>
      </c>
    </row>
    <row r="1341" spans="1:4" x14ac:dyDescent="0.2">
      <c r="A1341" s="5">
        <v>1280</v>
      </c>
      <c r="B1341" s="138">
        <f>'Expenditures 15-22'!D182</f>
        <v>216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411</v>
      </c>
      <c r="C1345" s="2" t="s">
        <v>594</v>
      </c>
      <c r="D1345" s="2" t="str">
        <f t="shared" si="20"/>
        <v>Error?</v>
      </c>
    </row>
    <row r="1346" spans="1:4" x14ac:dyDescent="0.2">
      <c r="A1346" s="5">
        <v>1285</v>
      </c>
      <c r="B1346" s="138">
        <f>'Expenditures 15-22'!D210</f>
        <v>411</v>
      </c>
      <c r="C1346" s="2" t="s">
        <v>594</v>
      </c>
      <c r="D1346" s="2" t="str">
        <f t="shared" si="20"/>
        <v>Error?</v>
      </c>
    </row>
    <row r="1347" spans="1:4" x14ac:dyDescent="0.2">
      <c r="A1347" s="5">
        <v>1286</v>
      </c>
      <c r="B1347" s="138">
        <f>'Expenditures 15-22'!E182</f>
        <v>339892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339892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339892</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362556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416847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416847</v>
      </c>
      <c r="C1388" s="2" t="s">
        <v>594</v>
      </c>
      <c r="D1388" s="2" t="str">
        <f t="shared" si="20"/>
        <v>Error?</v>
      </c>
    </row>
    <row r="1389" spans="1:4" x14ac:dyDescent="0.2">
      <c r="A1389" s="5">
        <v>1328</v>
      </c>
      <c r="B1389" s="138">
        <f>'Expenditures 15-22'!K211</f>
        <v>212122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1067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321</v>
      </c>
      <c r="D1409" s="2" t="str">
        <f t="shared" si="21"/>
        <v>Error?</v>
      </c>
    </row>
    <row r="1410" spans="1:4" x14ac:dyDescent="0.2">
      <c r="A1410" s="5">
        <v>1349</v>
      </c>
      <c r="B1410" s="138">
        <f>'Expenditures 15-22'!D229</f>
        <v>144524</v>
      </c>
      <c r="C1410" s="2" t="s">
        <v>594</v>
      </c>
      <c r="D1410" s="2" t="str">
        <f t="shared" si="21"/>
        <v>Error?</v>
      </c>
    </row>
    <row r="1411" spans="1:4" x14ac:dyDescent="0.2">
      <c r="A1411" s="5">
        <v>1350</v>
      </c>
      <c r="B1411" s="138">
        <f>'Expenditures 15-22'!D232</f>
        <v>1556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17372</v>
      </c>
      <c r="D1413" s="2" t="str">
        <f t="shared" si="21"/>
        <v>Error?</v>
      </c>
    </row>
    <row r="1414" spans="1:4" x14ac:dyDescent="0.2">
      <c r="A1414" s="5">
        <v>1353</v>
      </c>
      <c r="B1414" s="138">
        <f>'Expenditures 15-22'!D235</f>
        <v>1396</v>
      </c>
      <c r="D1414" s="2" t="str">
        <f t="shared" si="21"/>
        <v>Error?</v>
      </c>
    </row>
    <row r="1415" spans="1:4" x14ac:dyDescent="0.2">
      <c r="A1415" s="5">
        <v>1354</v>
      </c>
      <c r="B1415" s="138">
        <f>'Expenditures 15-22'!D236</f>
        <v>2593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22917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15486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15486</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16404</v>
      </c>
      <c r="D1423" s="2" t="str">
        <f t="shared" si="21"/>
        <v>Error?</v>
      </c>
    </row>
    <row r="1424" spans="1:4" x14ac:dyDescent="0.2">
      <c r="A1424" s="5">
        <v>1363</v>
      </c>
      <c r="B1424" s="138">
        <f>'Expenditures 15-22'!D257</f>
        <v>25080</v>
      </c>
      <c r="C1424" s="2" t="s">
        <v>594</v>
      </c>
      <c r="D1424" s="2" t="str">
        <f t="shared" si="21"/>
        <v>Error?</v>
      </c>
    </row>
    <row r="1425" spans="1:4" x14ac:dyDescent="0.2">
      <c r="A1425" s="5">
        <v>1364</v>
      </c>
      <c r="B1425" s="138">
        <f>'Expenditures 15-22'!D259</f>
        <v>23704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23704</v>
      </c>
      <c r="C1427" s="2" t="s">
        <v>594</v>
      </c>
      <c r="D1427" s="2" t="str">
        <f t="shared" si="21"/>
        <v>Error?</v>
      </c>
    </row>
    <row r="1428" spans="1:4" x14ac:dyDescent="0.2">
      <c r="A1428" s="5">
        <v>1367</v>
      </c>
      <c r="B1428" s="138">
        <f>'Expenditures 15-22'!D263</f>
        <v>1089</v>
      </c>
      <c r="D1428" s="2" t="str">
        <f t="shared" si="21"/>
        <v>Error?</v>
      </c>
    </row>
    <row r="1429" spans="1:4" x14ac:dyDescent="0.2">
      <c r="A1429" s="5">
        <v>1368</v>
      </c>
      <c r="B1429" s="138">
        <f>'Expenditures 15-22'!D264</f>
        <v>12297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13503</v>
      </c>
      <c r="D1431" s="2" t="str">
        <f t="shared" si="21"/>
        <v>Error?</v>
      </c>
    </row>
    <row r="1432" spans="1:4" x14ac:dyDescent="0.2">
      <c r="A1432" s="5">
        <v>1371</v>
      </c>
      <c r="B1432" s="138">
        <f>'Expenditures 15-22'!D267</f>
        <v>151</v>
      </c>
      <c r="D1432" s="2" t="str">
        <f t="shared" si="21"/>
        <v>Error?</v>
      </c>
    </row>
    <row r="1433" spans="1:4" x14ac:dyDescent="0.2">
      <c r="A1433" s="5">
        <v>1372</v>
      </c>
      <c r="B1433" s="138">
        <f>'Expenditures 15-22'!D268</f>
        <v>1644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28684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14427</v>
      </c>
      <c r="D1442" s="2" t="str">
        <f t="shared" si="21"/>
        <v>Error?</v>
      </c>
    </row>
    <row r="1443" spans="1:4" x14ac:dyDescent="0.2">
      <c r="A1443" s="10">
        <v>1382</v>
      </c>
      <c r="D1443" s="2" t="str">
        <f t="shared" si="21"/>
        <v>OK</v>
      </c>
    </row>
    <row r="1444" spans="1:4" x14ac:dyDescent="0.2">
      <c r="A1444" s="5">
        <v>1383</v>
      </c>
      <c r="B1444" s="138">
        <f>'Expenditures 15-22'!D277</f>
        <v>14427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130298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274822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1067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321</v>
      </c>
      <c r="C1473" s="2" t="s">
        <v>594</v>
      </c>
      <c r="D1473" s="2" t="str">
        <f t="shared" si="22"/>
        <v>Error?</v>
      </c>
    </row>
    <row r="1474" spans="1:4" x14ac:dyDescent="0.2">
      <c r="A1474" s="5">
        <v>1413</v>
      </c>
      <c r="B1474" s="138">
        <f>'Expenditures 15-22'!K229</f>
        <v>144524</v>
      </c>
      <c r="C1474" s="2" t="s">
        <v>594</v>
      </c>
      <c r="D1474" s="2" t="str">
        <f t="shared" si="22"/>
        <v>Error?</v>
      </c>
    </row>
    <row r="1475" spans="1:4" x14ac:dyDescent="0.2">
      <c r="A1475" s="5">
        <v>1414</v>
      </c>
      <c r="B1475" s="138">
        <f>'Expenditures 15-22'!K232</f>
        <v>1556</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17372</v>
      </c>
      <c r="C1477" s="2" t="s">
        <v>594</v>
      </c>
      <c r="D1477" s="2" t="str">
        <f t="shared" si="22"/>
        <v>Error?</v>
      </c>
    </row>
    <row r="1478" spans="1:4" x14ac:dyDescent="0.2">
      <c r="A1478" s="5">
        <v>1417</v>
      </c>
      <c r="B1478" s="138">
        <f>'Expenditures 15-22'!K235</f>
        <v>1396</v>
      </c>
      <c r="C1478" s="2" t="s">
        <v>594</v>
      </c>
      <c r="D1478" s="2" t="str">
        <f t="shared" si="22"/>
        <v>Error?</v>
      </c>
    </row>
    <row r="1479" spans="1:4" x14ac:dyDescent="0.2">
      <c r="A1479" s="5">
        <v>1418</v>
      </c>
      <c r="B1479" s="138">
        <f>'Expenditures 15-22'!K236</f>
        <v>2593</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22917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15486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15486</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16404</v>
      </c>
      <c r="C1487" s="2" t="s">
        <v>594</v>
      </c>
      <c r="D1487" s="2" t="str">
        <f t="shared" si="22"/>
        <v>Error?</v>
      </c>
    </row>
    <row r="1488" spans="1:4" x14ac:dyDescent="0.2">
      <c r="A1488" s="5">
        <v>1427</v>
      </c>
      <c r="B1488" s="138">
        <f>'Expenditures 15-22'!K257</f>
        <v>25080</v>
      </c>
      <c r="C1488" s="2" t="s">
        <v>594</v>
      </c>
      <c r="D1488" s="2" t="str">
        <f t="shared" si="22"/>
        <v>Error?</v>
      </c>
    </row>
    <row r="1489" spans="1:4" x14ac:dyDescent="0.2">
      <c r="A1489" s="5">
        <v>1428</v>
      </c>
      <c r="B1489" s="138">
        <f>'Expenditures 15-22'!K259</f>
        <v>23704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23704</v>
      </c>
      <c r="C1491" s="2" t="s">
        <v>594</v>
      </c>
      <c r="D1491" s="2" t="str">
        <f t="shared" si="22"/>
        <v>Error?</v>
      </c>
    </row>
    <row r="1492" spans="1:4" x14ac:dyDescent="0.2">
      <c r="A1492" s="5">
        <v>1431</v>
      </c>
      <c r="B1492" s="138">
        <f>'Expenditures 15-22'!K263</f>
        <v>1089</v>
      </c>
      <c r="C1492" s="2" t="s">
        <v>594</v>
      </c>
      <c r="D1492" s="2" t="str">
        <f t="shared" si="22"/>
        <v>Error?</v>
      </c>
    </row>
    <row r="1493" spans="1:4" x14ac:dyDescent="0.2">
      <c r="A1493" s="5">
        <v>1432</v>
      </c>
      <c r="B1493" s="138">
        <f>'Expenditures 15-22'!K264</f>
        <v>12297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13503</v>
      </c>
      <c r="C1495" s="2" t="s">
        <v>594</v>
      </c>
      <c r="D1495" s="2" t="str">
        <f t="shared" si="22"/>
        <v>Error?</v>
      </c>
    </row>
    <row r="1496" spans="1:4" x14ac:dyDescent="0.2">
      <c r="A1496" s="5">
        <v>1435</v>
      </c>
      <c r="B1496" s="138">
        <f>'Expenditures 15-22'!K267</f>
        <v>151</v>
      </c>
      <c r="C1496" s="2" t="s">
        <v>594</v>
      </c>
      <c r="D1496" s="2" t="str">
        <f t="shared" si="22"/>
        <v>Error?</v>
      </c>
    </row>
    <row r="1497" spans="1:4" x14ac:dyDescent="0.2">
      <c r="A1497" s="5">
        <v>1436</v>
      </c>
      <c r="B1497" s="138">
        <f>'Expenditures 15-22'!K268</f>
        <v>1644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28684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14427</v>
      </c>
      <c r="C1506" s="2" t="s">
        <v>594</v>
      </c>
      <c r="D1506" s="2" t="str">
        <f t="shared" si="22"/>
        <v>Error?</v>
      </c>
    </row>
    <row r="1507" spans="1:4" x14ac:dyDescent="0.2">
      <c r="A1507" s="10">
        <v>1446</v>
      </c>
      <c r="D1507" s="2" t="str">
        <f t="shared" si="22"/>
        <v>OK</v>
      </c>
    </row>
    <row r="1508" spans="1:4" x14ac:dyDescent="0.2">
      <c r="A1508" s="5">
        <v>1447</v>
      </c>
      <c r="B1508" s="138">
        <f>'Expenditures 15-22'!K277</f>
        <v>14427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130298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274822</v>
      </c>
      <c r="C1517" s="2" t="s">
        <v>594</v>
      </c>
      <c r="D1517" s="2" t="str">
        <f t="shared" si="22"/>
        <v>Error?</v>
      </c>
    </row>
    <row r="1518" spans="1:4" x14ac:dyDescent="0.2">
      <c r="A1518" s="5">
        <v>1457</v>
      </c>
      <c r="B1518" s="138">
        <f>'Expenditures 15-22'!K296</f>
        <v>164626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320605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320605</v>
      </c>
      <c r="C1535" s="2" t="s">
        <v>594</v>
      </c>
      <c r="D1535" s="2" t="str">
        <f t="shared" ref="D1535:D1598" si="23">IF(ISBLANK(B1535),"OK",IF(A1535-B1535=0,"OK","Error?"))</f>
        <v>Error?</v>
      </c>
    </row>
    <row r="1536" spans="1:4" x14ac:dyDescent="0.2">
      <c r="A1536" s="5">
        <v>1475</v>
      </c>
      <c r="B1536" s="138">
        <f>'Expenditures 15-22'!E312</f>
        <v>320605</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954861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954861</v>
      </c>
      <c r="C1547" s="2" t="s">
        <v>594</v>
      </c>
      <c r="D1547" s="2" t="str">
        <f t="shared" si="23"/>
        <v>Error?</v>
      </c>
    </row>
    <row r="1548" spans="1:4" x14ac:dyDescent="0.2">
      <c r="A1548" s="5">
        <v>1487</v>
      </c>
      <c r="B1548" s="138">
        <f>'Expenditures 15-22'!G312</f>
        <v>954861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1662163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1662163</v>
      </c>
      <c r="C1559" s="2" t="s">
        <v>594</v>
      </c>
      <c r="D1559" s="2" t="str">
        <f t="shared" si="23"/>
        <v>Error?</v>
      </c>
    </row>
    <row r="1560" spans="1:4" x14ac:dyDescent="0.2">
      <c r="A1560" s="5">
        <v>1499</v>
      </c>
      <c r="B1560" s="138">
        <f>'Expenditures 15-22'!K312</f>
        <v>1662163</v>
      </c>
      <c r="C1560" s="2" t="s">
        <v>594</v>
      </c>
      <c r="D1560" s="2" t="str">
        <f t="shared" si="23"/>
        <v>Error?</v>
      </c>
    </row>
    <row r="1561" spans="1:4" x14ac:dyDescent="0.2">
      <c r="A1561" s="5">
        <v>1500</v>
      </c>
      <c r="B1561" s="138">
        <f>'Expenditures 15-22'!K313</f>
        <v>-1662163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5323838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6665353</v>
      </c>
      <c r="C1630" s="2" t="s">
        <v>594</v>
      </c>
      <c r="D1630" s="2" t="str">
        <f t="shared" si="24"/>
        <v>Error?</v>
      </c>
    </row>
    <row r="1631" spans="1:4" x14ac:dyDescent="0.2">
      <c r="A1631" s="5">
        <v>1570</v>
      </c>
      <c r="B1631" s="138">
        <f>'Acct Summary 7-8'!D79</f>
        <v>1983836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1955756</v>
      </c>
      <c r="C1644" s="2" t="s">
        <v>594</v>
      </c>
      <c r="D1644" s="2" t="str">
        <f t="shared" si="24"/>
        <v>Error?</v>
      </c>
    </row>
    <row r="1645" spans="1:4" x14ac:dyDescent="0.2">
      <c r="A1645" s="5">
        <v>1584</v>
      </c>
      <c r="B1645" s="138">
        <f>'Acct Summary 7-8'!E79</f>
        <v>759558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809689</v>
      </c>
      <c r="C1658" s="2" t="s">
        <v>594</v>
      </c>
      <c r="D1658" s="2" t="str">
        <f t="shared" si="24"/>
        <v>Error?</v>
      </c>
    </row>
    <row r="1659" spans="1:4" x14ac:dyDescent="0.2">
      <c r="A1659" s="5">
        <v>1598</v>
      </c>
      <c r="B1659" s="138">
        <f>'Acct Summary 7-8'!F79</f>
        <v>1131109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1343231</v>
      </c>
      <c r="C1672" s="2" t="s">
        <v>594</v>
      </c>
      <c r="D1672" s="2" t="str">
        <f t="shared" si="25"/>
        <v>Error?</v>
      </c>
    </row>
    <row r="1673" spans="1:4" x14ac:dyDescent="0.2">
      <c r="A1673" s="5">
        <v>1612</v>
      </c>
      <c r="B1673" s="138">
        <f>'Acct Summary 7-8'!G79</f>
        <v>1075201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1239827</v>
      </c>
      <c r="C1686" s="2" t="s">
        <v>594</v>
      </c>
      <c r="D1686" s="2" t="str">
        <f t="shared" si="25"/>
        <v>Error?</v>
      </c>
    </row>
    <row r="1687" spans="1:4" x14ac:dyDescent="0.2">
      <c r="A1687" s="5">
        <v>1626</v>
      </c>
      <c r="B1687" s="138">
        <f>'Acct Summary 7-8'!H79</f>
        <v>328243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170912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7895298</v>
      </c>
      <c r="C1744" s="2" t="s">
        <v>594</v>
      </c>
      <c r="D1744" s="2" t="str">
        <f t="shared" si="26"/>
        <v>Error?</v>
      </c>
    </row>
    <row r="1745" spans="1:5" x14ac:dyDescent="0.2">
      <c r="A1745" s="5">
        <v>1684</v>
      </c>
      <c r="B1745" s="138">
        <f>'Tax Sched 23'!B5</f>
        <v>664371</v>
      </c>
      <c r="C1745" s="2" t="s">
        <v>594</v>
      </c>
      <c r="D1745" s="2" t="str">
        <f t="shared" si="26"/>
        <v>Error?</v>
      </c>
    </row>
    <row r="1746" spans="1:5" x14ac:dyDescent="0.2">
      <c r="A1746" s="5">
        <v>1685</v>
      </c>
      <c r="B1746" s="138">
        <f>'Tax Sched 23'!B6</f>
        <v>1235713</v>
      </c>
      <c r="C1746" s="2" t="s">
        <v>594</v>
      </c>
      <c r="D1746" s="2" t="str">
        <f t="shared" si="26"/>
        <v>Error?</v>
      </c>
    </row>
    <row r="1747" spans="1:5" x14ac:dyDescent="0.2">
      <c r="A1747" s="5">
        <v>1686</v>
      </c>
      <c r="B1747" s="138">
        <f>'Tax Sched 23'!B7</f>
        <v>377674</v>
      </c>
      <c r="C1747" s="2" t="s">
        <v>594</v>
      </c>
      <c r="D1747" s="2" t="str">
        <f t="shared" si="26"/>
        <v>Error?</v>
      </c>
    </row>
    <row r="1748" spans="1:5" x14ac:dyDescent="0.2">
      <c r="A1748" s="5">
        <v>1687</v>
      </c>
      <c r="B1748" s="138">
        <f>'Tax Sched 23'!B8</f>
        <v>214006</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80665</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628179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11309912</v>
      </c>
      <c r="C1759" s="2" t="s">
        <v>594</v>
      </c>
      <c r="D1759" s="2" t="str">
        <f t="shared" si="26"/>
        <v>Error?</v>
      </c>
    </row>
    <row r="1760" spans="1:5" x14ac:dyDescent="0.2">
      <c r="A1760" s="5">
        <v>1699</v>
      </c>
      <c r="B1760" s="138">
        <f>'Tax Sched 23'!D4</f>
        <v>3720635</v>
      </c>
      <c r="C1760" s="2" t="s">
        <v>594</v>
      </c>
      <c r="D1760" s="2" t="str">
        <f t="shared" si="26"/>
        <v>Error?</v>
      </c>
    </row>
    <row r="1761" spans="1:5" x14ac:dyDescent="0.2">
      <c r="A1761" s="5">
        <v>1700</v>
      </c>
      <c r="B1761" s="138">
        <f>'Tax Sched 23'!D5</f>
        <v>316136</v>
      </c>
      <c r="C1761" s="2" t="s">
        <v>594</v>
      </c>
      <c r="D1761" s="2" t="str">
        <f t="shared" si="26"/>
        <v>Error?</v>
      </c>
    </row>
    <row r="1762" spans="1:5" s="8" customFormat="1" x14ac:dyDescent="0.2">
      <c r="A1762" s="5">
        <v>1701</v>
      </c>
      <c r="B1762" s="138">
        <f>'Tax Sched 23'!D6</f>
        <v>590943</v>
      </c>
      <c r="C1762" s="2" t="s">
        <v>594</v>
      </c>
      <c r="D1762" s="2" t="str">
        <f t="shared" si="26"/>
        <v>Error?</v>
      </c>
      <c r="E1762" s="9"/>
    </row>
    <row r="1763" spans="1:5" x14ac:dyDescent="0.2">
      <c r="A1763" s="5">
        <v>1702</v>
      </c>
      <c r="B1763" s="138">
        <f>'Tax Sched 23'!D7</f>
        <v>191077</v>
      </c>
      <c r="C1763" s="2" t="s">
        <v>594</v>
      </c>
      <c r="D1763" s="2" t="str">
        <f t="shared" si="26"/>
        <v>Error?</v>
      </c>
    </row>
    <row r="1764" spans="1:5" x14ac:dyDescent="0.2">
      <c r="A1764" s="5">
        <v>1703</v>
      </c>
      <c r="B1764" s="138">
        <f>'Tax Sched 23'!D8</f>
        <v>104663</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40255</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298960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5367332</v>
      </c>
      <c r="C1775" s="2" t="s">
        <v>594</v>
      </c>
      <c r="D1775" s="2" t="str">
        <f t="shared" si="26"/>
        <v>Error?</v>
      </c>
    </row>
    <row r="1776" spans="1:5" x14ac:dyDescent="0.2">
      <c r="A1776" s="5">
        <v>1715</v>
      </c>
      <c r="B1776" s="138">
        <f>'Tax Sched 23'!C4</f>
        <v>4174663</v>
      </c>
      <c r="D1776" s="2" t="str">
        <f t="shared" si="26"/>
        <v>Error?</v>
      </c>
    </row>
    <row r="1777" spans="1:4" x14ac:dyDescent="0.2">
      <c r="A1777" s="5">
        <v>1716</v>
      </c>
      <c r="B1777" s="138">
        <f>'Tax Sched 23'!C5</f>
        <v>348235</v>
      </c>
      <c r="D1777" s="2" t="str">
        <f t="shared" si="26"/>
        <v>Error?</v>
      </c>
    </row>
    <row r="1778" spans="1:4" x14ac:dyDescent="0.2">
      <c r="A1778" s="5">
        <v>1717</v>
      </c>
      <c r="B1778" s="138">
        <f>'Tax Sched 23'!C6</f>
        <v>644770</v>
      </c>
      <c r="D1778" s="2" t="str">
        <f t="shared" si="26"/>
        <v>Error?</v>
      </c>
    </row>
    <row r="1779" spans="1:4" x14ac:dyDescent="0.2">
      <c r="A1779" s="5">
        <v>1718</v>
      </c>
      <c r="B1779" s="138">
        <f>'Tax Sched 23'!C7</f>
        <v>186597</v>
      </c>
      <c r="D1779" s="2" t="str">
        <f t="shared" si="26"/>
        <v>Error?</v>
      </c>
    </row>
    <row r="1780" spans="1:4" x14ac:dyDescent="0.2">
      <c r="A1780" s="5">
        <v>1719</v>
      </c>
      <c r="B1780" s="138">
        <f>'Tax Sched 23'!C8</f>
        <v>109343</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40410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329219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5942580</v>
      </c>
      <c r="C1791" s="2" t="s">
        <v>594</v>
      </c>
      <c r="D1791" s="2" t="str">
        <f t="shared" ref="D1791:D1854" si="27">IF(ISBLANK(B1791),"OK",IF(A1791-B1791=0,"OK","Error?"))</f>
        <v>Error?</v>
      </c>
    </row>
    <row r="1792" spans="1:4" x14ac:dyDescent="0.2">
      <c r="A1792" s="5">
        <v>1731</v>
      </c>
      <c r="B1792" s="138">
        <f>'Tax Sched 23'!F4</f>
        <v>3665312</v>
      </c>
      <c r="C1792" s="2" t="s">
        <v>594</v>
      </c>
      <c r="D1792" s="2" t="str">
        <f t="shared" si="27"/>
        <v>Error?</v>
      </c>
    </row>
    <row r="1793" spans="1:4" x14ac:dyDescent="0.2">
      <c r="A1793" s="5">
        <v>1732</v>
      </c>
      <c r="B1793" s="138">
        <f>'Tax Sched 23'!F5</f>
        <v>305519</v>
      </c>
      <c r="C1793" s="2" t="s">
        <v>594</v>
      </c>
      <c r="D1793" s="2" t="str">
        <f t="shared" si="27"/>
        <v>Error?</v>
      </c>
    </row>
    <row r="1794" spans="1:4" x14ac:dyDescent="0.2">
      <c r="A1794" s="5">
        <v>1733</v>
      </c>
      <c r="B1794" s="138">
        <f>'Tax Sched 23'!F6</f>
        <v>566218</v>
      </c>
      <c r="C1794" s="2" t="s">
        <v>594</v>
      </c>
      <c r="D1794" s="2" t="str">
        <f t="shared" si="27"/>
        <v>Error?</v>
      </c>
    </row>
    <row r="1795" spans="1:4" x14ac:dyDescent="0.2">
      <c r="A1795" s="5">
        <v>1734</v>
      </c>
      <c r="B1795" s="138">
        <f>'Tax Sched 23'!F7</f>
        <v>163315</v>
      </c>
      <c r="C1795" s="2" t="s">
        <v>594</v>
      </c>
      <c r="D1795" s="2" t="str">
        <f t="shared" si="27"/>
        <v>Error?</v>
      </c>
    </row>
    <row r="1796" spans="1:4" x14ac:dyDescent="0.2">
      <c r="A1796" s="5">
        <v>1735</v>
      </c>
      <c r="B1796" s="138">
        <f>'Tax Sched 23'!F8</f>
        <v>95675</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35608</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289290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5216612</v>
      </c>
      <c r="C1807" s="2" t="s">
        <v>594</v>
      </c>
      <c r="D1807" s="2" t="str">
        <f t="shared" si="27"/>
        <v>Error?</v>
      </c>
    </row>
    <row r="1808" spans="1:4" x14ac:dyDescent="0.2">
      <c r="A1808" s="5">
        <v>1747</v>
      </c>
      <c r="B1808" s="138">
        <f>'Tax Sched 23'!E4</f>
        <v>7839975</v>
      </c>
      <c r="D1808" s="2" t="str">
        <f t="shared" si="27"/>
        <v>Error?</v>
      </c>
    </row>
    <row r="1809" spans="1:4" x14ac:dyDescent="0.2">
      <c r="A1809" s="5">
        <v>1748</v>
      </c>
      <c r="B1809" s="138">
        <f>'Tax Sched 23'!E5</f>
        <v>653754</v>
      </c>
      <c r="D1809" s="2" t="str">
        <f t="shared" si="27"/>
        <v>Error?</v>
      </c>
    </row>
    <row r="1810" spans="1:4" x14ac:dyDescent="0.2">
      <c r="A1810" s="5">
        <v>1749</v>
      </c>
      <c r="B1810" s="138">
        <f>'Tax Sched 23'!E6</f>
        <v>1210988</v>
      </c>
      <c r="D1810" s="2" t="str">
        <f t="shared" si="27"/>
        <v>Error?</v>
      </c>
    </row>
    <row r="1811" spans="1:4" x14ac:dyDescent="0.2">
      <c r="A1811" s="5">
        <v>1750</v>
      </c>
      <c r="B1811" s="138">
        <f>'Tax Sched 23'!E7</f>
        <v>349912</v>
      </c>
      <c r="D1811" s="2" t="str">
        <f t="shared" si="27"/>
        <v>Error?</v>
      </c>
    </row>
    <row r="1812" spans="1:4" x14ac:dyDescent="0.2">
      <c r="A1812" s="5">
        <v>1751</v>
      </c>
      <c r="B1812" s="138">
        <f>'Tax Sched 23'!E8</f>
        <v>205018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76018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618509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11159192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4313607</v>
      </c>
      <c r="C1939" s="2" t="s">
        <v>594</v>
      </c>
      <c r="D1939" s="2" t="str">
        <f t="shared" si="29"/>
        <v>Error?</v>
      </c>
    </row>
    <row r="1940" spans="1:5" x14ac:dyDescent="0.2">
      <c r="A1940" s="5">
        <v>1879</v>
      </c>
      <c r="B1940" s="138">
        <f>'Short-Term Long-Term Debt 24'!F49</f>
        <v>4940000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628179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628179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628179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135061</v>
      </c>
      <c r="D2008" s="2" t="str">
        <f t="shared" si="30"/>
        <v>Error?</v>
      </c>
    </row>
    <row r="2009" spans="1:4" x14ac:dyDescent="0.2">
      <c r="A2009" s="5">
        <v>1948</v>
      </c>
      <c r="B2009" s="138">
        <f>'Cap Outlay Deprec 26'!C8</f>
        <v>16278602</v>
      </c>
      <c r="D2009" s="2" t="str">
        <f t="shared" si="30"/>
        <v>Error?</v>
      </c>
    </row>
    <row r="2010" spans="1:4" x14ac:dyDescent="0.2">
      <c r="A2010" s="5">
        <v>1949</v>
      </c>
      <c r="B2010" s="138">
        <f>'Cap Outlay Deprec 26'!C10</f>
        <v>177850</v>
      </c>
      <c r="D2010" s="2" t="str">
        <f t="shared" si="30"/>
        <v>Error?</v>
      </c>
    </row>
    <row r="2011" spans="1:4" x14ac:dyDescent="0.2">
      <c r="A2011" s="5">
        <v>1950</v>
      </c>
      <c r="B2011" s="138">
        <f>'Cap Outlay Deprec 26'!C12</f>
        <v>2476769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19181681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911605</v>
      </c>
      <c r="D2015" s="2" t="str">
        <f t="shared" si="30"/>
        <v>Error?</v>
      </c>
    </row>
    <row r="2016" spans="1:4" x14ac:dyDescent="0.2">
      <c r="A2016" s="5">
        <v>1955</v>
      </c>
      <c r="B2016" s="138">
        <f>'Cap Outlay Deprec 26'!D10</f>
        <v>7391</v>
      </c>
      <c r="D2016" s="2" t="str">
        <f t="shared" si="30"/>
        <v>Error?</v>
      </c>
    </row>
    <row r="2017" spans="1:4" x14ac:dyDescent="0.2">
      <c r="A2017" s="5">
        <v>1956</v>
      </c>
      <c r="B2017" s="138">
        <f>'Cap Outlay Deprec 26'!D12</f>
        <v>336323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1379792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113399</v>
      </c>
      <c r="C2025" s="2" t="s">
        <v>594</v>
      </c>
      <c r="D2025" s="2" t="str">
        <f t="shared" si="30"/>
        <v>Error?</v>
      </c>
    </row>
    <row r="2026" spans="1:4" x14ac:dyDescent="0.2">
      <c r="A2026" s="5">
        <v>1965</v>
      </c>
      <c r="B2026" s="138">
        <f>'Cap Outlay Deprec 26'!F5</f>
        <v>135061</v>
      </c>
      <c r="C2026" s="2" t="s">
        <v>594</v>
      </c>
      <c r="D2026" s="2" t="str">
        <f t="shared" si="30"/>
        <v>Error?</v>
      </c>
    </row>
    <row r="2027" spans="1:4" x14ac:dyDescent="0.2">
      <c r="A2027" s="5">
        <v>1966</v>
      </c>
      <c r="B2027" s="138">
        <f>'Cap Outlay Deprec 26'!F8</f>
        <v>17190207</v>
      </c>
      <c r="C2027" s="2" t="s">
        <v>594</v>
      </c>
      <c r="D2027" s="2" t="str">
        <f t="shared" si="30"/>
        <v>Error?</v>
      </c>
    </row>
    <row r="2028" spans="1:4" x14ac:dyDescent="0.2">
      <c r="A2028" s="5">
        <v>1967</v>
      </c>
      <c r="B2028" s="138">
        <f>'Cap Outlay Deprec 26'!F10</f>
        <v>185241</v>
      </c>
      <c r="C2028" s="2" t="s">
        <v>594</v>
      </c>
      <c r="D2028" s="2" t="str">
        <f t="shared" si="30"/>
        <v>Error?</v>
      </c>
    </row>
    <row r="2029" spans="1:4" x14ac:dyDescent="0.2">
      <c r="A2029" s="5">
        <v>1968</v>
      </c>
      <c r="B2029" s="138">
        <f>'Cap Outlay Deprec 26'!F12</f>
        <v>2813092</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20448074</v>
      </c>
      <c r="C2031" s="2" t="s">
        <v>594</v>
      </c>
      <c r="D2031" s="2" t="str">
        <f t="shared" si="30"/>
        <v>Error?</v>
      </c>
    </row>
    <row r="2032" spans="1:4" x14ac:dyDescent="0.2">
      <c r="A2032" s="10">
        <v>1971</v>
      </c>
      <c r="D2032" s="2" t="str">
        <f t="shared" si="30"/>
        <v>OK</v>
      </c>
    </row>
    <row r="2033" spans="1:4" x14ac:dyDescent="0.2">
      <c r="A2033" s="5">
        <v>1972</v>
      </c>
      <c r="B2033" s="138">
        <f>'Cap Outlay Deprec 26'!H8</f>
        <v>8970064</v>
      </c>
      <c r="D2033" s="2" t="str">
        <f t="shared" si="30"/>
        <v>Error?</v>
      </c>
    </row>
    <row r="2034" spans="1:4" x14ac:dyDescent="0.2">
      <c r="A2034" s="5">
        <v>1973</v>
      </c>
      <c r="B2034" s="138">
        <f>'Cap Outlay Deprec 26'!H10</f>
        <v>169306</v>
      </c>
      <c r="D2034" s="2" t="str">
        <f t="shared" si="30"/>
        <v>Error?</v>
      </c>
    </row>
    <row r="2035" spans="1:4" x14ac:dyDescent="0.2">
      <c r="A2035" s="5">
        <v>1974</v>
      </c>
      <c r="B2035" s="138">
        <f>'Cap Outlay Deprec 26'!H12</f>
        <v>1927428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11066798</v>
      </c>
      <c r="C2037" s="2" t="s">
        <v>594</v>
      </c>
      <c r="D2037" s="2" t="str">
        <f t="shared" si="30"/>
        <v>Error?</v>
      </c>
    </row>
    <row r="2038" spans="1:4" x14ac:dyDescent="0.2">
      <c r="A2038" s="10">
        <v>1977</v>
      </c>
      <c r="D2038" s="2" t="str">
        <f t="shared" si="30"/>
        <v>OK</v>
      </c>
    </row>
    <row r="2039" spans="1:4" x14ac:dyDescent="0.2">
      <c r="A2039" s="5">
        <v>1978</v>
      </c>
      <c r="B2039" s="138">
        <f>'Cap Outlay Deprec 26'!I8</f>
        <v>455268</v>
      </c>
      <c r="D2039" s="2" t="str">
        <f t="shared" si="30"/>
        <v>Error?</v>
      </c>
    </row>
    <row r="2040" spans="1:4" x14ac:dyDescent="0.2">
      <c r="A2040" s="5">
        <v>1979</v>
      </c>
      <c r="B2040" s="138">
        <f>'Cap Outlay Deprec 26'!I10</f>
        <v>5581</v>
      </c>
      <c r="D2040" s="2" t="str">
        <f t="shared" si="30"/>
        <v>Error?</v>
      </c>
    </row>
    <row r="2041" spans="1:4" x14ac:dyDescent="0.2">
      <c r="A2041" s="5">
        <v>1980</v>
      </c>
      <c r="B2041" s="138">
        <f>'Cap Outlay Deprec 26'!I12</f>
        <v>101366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562215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9425332</v>
      </c>
      <c r="C2051" s="2" t="s">
        <v>594</v>
      </c>
      <c r="D2051" s="2" t="str">
        <f t="shared" si="31"/>
        <v>Error?</v>
      </c>
    </row>
    <row r="2052" spans="1:4" x14ac:dyDescent="0.2">
      <c r="A2052" s="5">
        <v>1991</v>
      </c>
      <c r="B2052" s="138">
        <f>'Cap Outlay Deprec 26'!K10</f>
        <v>174887</v>
      </c>
      <c r="C2052" s="2" t="s">
        <v>594</v>
      </c>
      <c r="D2052" s="2" t="str">
        <f t="shared" si="31"/>
        <v>Error?</v>
      </c>
    </row>
    <row r="2053" spans="1:4" x14ac:dyDescent="0.2">
      <c r="A2053" s="5">
        <v>1992</v>
      </c>
      <c r="B2053" s="138">
        <f>'Cap Outlay Deprec 26'!K12</f>
        <v>2028794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11629013</v>
      </c>
      <c r="C2055" s="2" t="s">
        <v>594</v>
      </c>
      <c r="D2055" s="2" t="str">
        <f t="shared" si="31"/>
        <v>Error?</v>
      </c>
    </row>
    <row r="2056" spans="1:4" x14ac:dyDescent="0.2">
      <c r="A2056" s="5">
        <v>1995</v>
      </c>
      <c r="B2056" s="138">
        <f>'Cap Outlay Deprec 26'!L5</f>
        <v>135061</v>
      </c>
      <c r="C2056" s="2" t="s">
        <v>594</v>
      </c>
      <c r="D2056" s="2" t="str">
        <f t="shared" si="31"/>
        <v>Error?</v>
      </c>
    </row>
    <row r="2057" spans="1:4" x14ac:dyDescent="0.2">
      <c r="A2057" s="5">
        <v>1996</v>
      </c>
      <c r="B2057" s="138">
        <f>'Cap Outlay Deprec 26'!L8</f>
        <v>7764875</v>
      </c>
      <c r="C2057" s="2" t="s">
        <v>594</v>
      </c>
      <c r="D2057" s="2" t="str">
        <f t="shared" si="31"/>
        <v>Error?</v>
      </c>
    </row>
    <row r="2058" spans="1:4" x14ac:dyDescent="0.2">
      <c r="A2058" s="5">
        <v>1997</v>
      </c>
      <c r="B2058" s="138">
        <f>'Cap Outlay Deprec 26'!L10</f>
        <v>10354</v>
      </c>
      <c r="C2058" s="2" t="s">
        <v>594</v>
      </c>
      <c r="D2058" s="2" t="str">
        <f t="shared" si="31"/>
        <v>Error?</v>
      </c>
    </row>
    <row r="2059" spans="1:4" x14ac:dyDescent="0.2">
      <c r="A2059" s="5">
        <v>1998</v>
      </c>
      <c r="B2059" s="138">
        <f>'Cap Outlay Deprec 26'!L12</f>
        <v>784298</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8819061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307556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1504832</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8907303</v>
      </c>
      <c r="C2551" s="2" t="s">
        <v>594</v>
      </c>
      <c r="D2551" s="2" t="str">
        <f t="shared" si="38"/>
        <v>Error?</v>
      </c>
    </row>
    <row r="2552" spans="1:4" x14ac:dyDescent="0.2">
      <c r="A2552" s="10">
        <v>2491</v>
      </c>
      <c r="D2552" s="2" t="str">
        <f t="shared" si="38"/>
        <v>OK</v>
      </c>
    </row>
    <row r="2553" spans="1:4" x14ac:dyDescent="0.2">
      <c r="A2553" s="5">
        <v>2492</v>
      </c>
      <c r="B2553" s="138">
        <f>'Acct Summary 7-8'!C6</f>
        <v>809428</v>
      </c>
      <c r="C2553" s="2" t="s">
        <v>594</v>
      </c>
      <c r="D2553" s="2" t="str">
        <f t="shared" si="38"/>
        <v>Error?</v>
      </c>
    </row>
    <row r="2554" spans="1:4" x14ac:dyDescent="0.2">
      <c r="A2554" s="5">
        <v>2493</v>
      </c>
      <c r="B2554" s="138">
        <f>'Acct Summary 7-8'!C7</f>
        <v>391598</v>
      </c>
      <c r="C2554" s="2" t="s">
        <v>594</v>
      </c>
      <c r="D2554" s="2" t="str">
        <f t="shared" si="38"/>
        <v>Error?</v>
      </c>
    </row>
    <row r="2555" spans="1:4" x14ac:dyDescent="0.2">
      <c r="A2555" s="5">
        <v>2494</v>
      </c>
      <c r="B2555" s="138">
        <f>'Acct Summary 7-8'!C8</f>
        <v>10108329</v>
      </c>
      <c r="C2555" s="2" t="s">
        <v>594</v>
      </c>
      <c r="D2555" s="2" t="str">
        <f t="shared" si="38"/>
        <v>Error?</v>
      </c>
    </row>
    <row r="2556" spans="1:4" x14ac:dyDescent="0.2">
      <c r="A2556" s="5">
        <v>2495</v>
      </c>
      <c r="B2556" s="138">
        <f>'Acct Summary 7-8'!C12</f>
        <v>5745887</v>
      </c>
      <c r="C2556" s="2" t="s">
        <v>594</v>
      </c>
      <c r="D2556" s="2" t="str">
        <f t="shared" si="38"/>
        <v>Error?</v>
      </c>
    </row>
    <row r="2557" spans="1:4" x14ac:dyDescent="0.2">
      <c r="A2557" s="5">
        <v>2496</v>
      </c>
      <c r="B2557" s="138">
        <f>'Acct Summary 7-8'!C13</f>
        <v>2788872</v>
      </c>
      <c r="C2557" s="2" t="s">
        <v>594</v>
      </c>
      <c r="D2557" s="2" t="str">
        <f t="shared" si="38"/>
        <v>Error?</v>
      </c>
    </row>
    <row r="2558" spans="1:4" x14ac:dyDescent="0.2">
      <c r="A2558" s="5">
        <v>2497</v>
      </c>
      <c r="B2558" s="138">
        <f>'Acct Summary 7-8'!C14</f>
        <v>98</v>
      </c>
      <c r="C2558" s="2" t="s">
        <v>594</v>
      </c>
      <c r="D2558" s="2" t="str">
        <f t="shared" si="38"/>
        <v>Error?</v>
      </c>
    </row>
    <row r="2559" spans="1:4" x14ac:dyDescent="0.2">
      <c r="A2559" s="5">
        <v>2498</v>
      </c>
      <c r="B2559" s="138">
        <f>'Acct Summary 7-8'!C15</f>
        <v>307556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8842413</v>
      </c>
      <c r="C2561" s="2" t="s">
        <v>594</v>
      </c>
      <c r="D2561" s="2" t="str">
        <f t="shared" si="39"/>
        <v>Error?</v>
      </c>
    </row>
    <row r="2562" spans="1:4" x14ac:dyDescent="0.2">
      <c r="A2562" s="5">
        <v>2501</v>
      </c>
      <c r="B2562" s="138">
        <f>'Acct Summary 7-8'!C20</f>
        <v>1265916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739703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739703</v>
      </c>
      <c r="C2568" s="2" t="s">
        <v>594</v>
      </c>
      <c r="D2568" s="2" t="str">
        <f t="shared" si="39"/>
        <v>Error?</v>
      </c>
    </row>
    <row r="2569" spans="1:4" x14ac:dyDescent="0.2">
      <c r="A2569" s="5">
        <v>2508</v>
      </c>
      <c r="B2569" s="138">
        <f>'Acct Summary 7-8'!D13</f>
        <v>767783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767783</v>
      </c>
      <c r="C2573" s="2" t="s">
        <v>594</v>
      </c>
      <c r="D2573" s="2" t="str">
        <f t="shared" si="39"/>
        <v>Error?</v>
      </c>
    </row>
    <row r="2574" spans="1:4" x14ac:dyDescent="0.2">
      <c r="A2574" s="5">
        <v>2513</v>
      </c>
      <c r="B2574" s="138">
        <f>'Acct Summary 7-8'!D20</f>
        <v>-28080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393146</v>
      </c>
      <c r="C2591" s="2" t="s">
        <v>594</v>
      </c>
      <c r="D2591" s="2" t="str">
        <f t="shared" si="39"/>
        <v>Error?</v>
      </c>
    </row>
    <row r="2592" spans="1:4" x14ac:dyDescent="0.2">
      <c r="A2592" s="10">
        <v>2531</v>
      </c>
      <c r="D2592" s="2" t="str">
        <f t="shared" si="39"/>
        <v>OK</v>
      </c>
    </row>
    <row r="2593" spans="1:4" x14ac:dyDescent="0.2">
      <c r="A2593" s="5">
        <v>2532</v>
      </c>
      <c r="B2593" s="138">
        <f>'Acct Summary 7-8'!F6</f>
        <v>235823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628969</v>
      </c>
      <c r="C2595" s="2" t="s">
        <v>594</v>
      </c>
      <c r="D2595" s="2" t="str">
        <f t="shared" si="39"/>
        <v>Error?</v>
      </c>
    </row>
    <row r="2596" spans="1:4" x14ac:dyDescent="0.2">
      <c r="A2596" s="5">
        <v>2535</v>
      </c>
      <c r="B2596" s="138">
        <f>'Acct Summary 7-8'!F13</f>
        <v>416847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416847</v>
      </c>
      <c r="C2600" s="2" t="s">
        <v>594</v>
      </c>
      <c r="D2600" s="2" t="str">
        <f t="shared" si="39"/>
        <v>Error?</v>
      </c>
    </row>
    <row r="2601" spans="1:4" x14ac:dyDescent="0.2">
      <c r="A2601" s="5">
        <v>2540</v>
      </c>
      <c r="B2601" s="138">
        <f>'Acct Summary 7-8'!F20</f>
        <v>212122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439448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439448</v>
      </c>
      <c r="C2606" s="2" t="s">
        <v>594</v>
      </c>
      <c r="D2606" s="2" t="str">
        <f t="shared" si="39"/>
        <v>Error?</v>
      </c>
    </row>
    <row r="2607" spans="1:4" x14ac:dyDescent="0.2">
      <c r="A2607" s="5">
        <v>2546</v>
      </c>
      <c r="B2607" s="138">
        <f>'Acct Summary 7-8'!G12</f>
        <v>144524</v>
      </c>
      <c r="C2607" s="2" t="s">
        <v>594</v>
      </c>
      <c r="D2607" s="2" t="str">
        <f t="shared" si="39"/>
        <v>Error?</v>
      </c>
    </row>
    <row r="2608" spans="1:4" x14ac:dyDescent="0.2">
      <c r="A2608" s="5">
        <v>2547</v>
      </c>
      <c r="B2608" s="138">
        <f>'Acct Summary 7-8'!G13</f>
        <v>130298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274822</v>
      </c>
      <c r="C2612" s="2" t="s">
        <v>594</v>
      </c>
      <c r="D2612" s="2" t="str">
        <f t="shared" si="39"/>
        <v>Error?</v>
      </c>
    </row>
    <row r="2613" spans="1:4" x14ac:dyDescent="0.2">
      <c r="A2613" s="5">
        <v>2552</v>
      </c>
      <c r="B2613" s="138">
        <f>'Acct Summary 7-8'!G20</f>
        <v>164626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1241842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1241842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1270868</v>
      </c>
      <c r="C2634" s="2" t="s">
        <v>594</v>
      </c>
      <c r="D2634" s="2" t="str">
        <f t="shared" si="40"/>
        <v>Error?</v>
      </c>
    </row>
    <row r="2635" spans="1:4" x14ac:dyDescent="0.2">
      <c r="A2635" s="5">
        <v>2574</v>
      </c>
      <c r="B2635" s="138">
        <f>'Acct Summary 7-8'!E17</f>
        <v>1270868</v>
      </c>
      <c r="C2635" s="2" t="s">
        <v>594</v>
      </c>
      <c r="D2635" s="2" t="str">
        <f t="shared" si="40"/>
        <v>Error?</v>
      </c>
    </row>
    <row r="2636" spans="1:4" x14ac:dyDescent="0.2">
      <c r="A2636" s="5">
        <v>2575</v>
      </c>
      <c r="B2636" s="138">
        <f>'Acct Summary 7-8'!E20</f>
        <v>-29026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1662163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1662163</v>
      </c>
      <c r="C2661" s="2" t="s">
        <v>594</v>
      </c>
      <c r="D2661" s="2" t="str">
        <f t="shared" si="40"/>
        <v>Error?</v>
      </c>
    </row>
    <row r="2662" spans="1:4" x14ac:dyDescent="0.2">
      <c r="A2662" s="5">
        <v>2601</v>
      </c>
      <c r="B2662" s="138">
        <f>'Acct Summary 7-8'!H20</f>
        <v>-1662163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33704</v>
      </c>
      <c r="D2718" s="2" t="str">
        <f t="shared" si="41"/>
        <v>Error?</v>
      </c>
    </row>
    <row r="2719" spans="1:4" x14ac:dyDescent="0.2">
      <c r="A2719" s="5">
        <v>2658</v>
      </c>
      <c r="B2719" s="138">
        <f>'Expenditures 15-22'!D51</f>
        <v>10735</v>
      </c>
      <c r="D2719" s="2" t="str">
        <f t="shared" si="41"/>
        <v>Error?</v>
      </c>
    </row>
    <row r="2720" spans="1:4" x14ac:dyDescent="0.2">
      <c r="A2720" s="5">
        <v>2659</v>
      </c>
      <c r="B2720" s="138">
        <f>'Expenditures 15-22'!E51</f>
        <v>1860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46299</v>
      </c>
      <c r="C2724" s="2" t="s">
        <v>594</v>
      </c>
      <c r="D2724" s="2" t="str">
        <f t="shared" si="41"/>
        <v>Error?</v>
      </c>
    </row>
    <row r="2725" spans="1:4" x14ac:dyDescent="0.2">
      <c r="A2725" s="5">
        <v>2664</v>
      </c>
      <c r="B2725" s="138">
        <f>'Expenditures 15-22'!D247</f>
        <v>8676</v>
      </c>
      <c r="D2725" s="2" t="str">
        <f t="shared" si="41"/>
        <v>Error?</v>
      </c>
    </row>
    <row r="2726" spans="1:4" x14ac:dyDescent="0.2">
      <c r="A2726" s="5">
        <v>2665</v>
      </c>
      <c r="B2726" s="138">
        <f>'Expenditures 15-22'!K247</f>
        <v>8676</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124473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5065180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5067212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56809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5067212</v>
      </c>
      <c r="D2912" s="2" t="str">
        <f t="shared" si="44"/>
        <v>Error?</v>
      </c>
    </row>
    <row r="2913" spans="1:4" x14ac:dyDescent="0.2">
      <c r="A2913" s="5">
        <v>2852</v>
      </c>
      <c r="B2913" s="138">
        <f>'Assets-Liab 5-6'!I41</f>
        <v>5067212</v>
      </c>
      <c r="C2913" s="2" t="s">
        <v>594</v>
      </c>
      <c r="D2913" s="2" t="str">
        <f t="shared" si="44"/>
        <v>Error?</v>
      </c>
    </row>
    <row r="2914" spans="1:4" x14ac:dyDescent="0.2">
      <c r="A2914" s="5">
        <v>2853</v>
      </c>
      <c r="B2914" s="138">
        <f>'Assets-Liab 5-6'!L33</f>
        <v>56809</v>
      </c>
      <c r="D2914" s="2" t="str">
        <f t="shared" si="44"/>
        <v>Error?</v>
      </c>
    </row>
    <row r="2915" spans="1:4" x14ac:dyDescent="0.2">
      <c r="A2915" s="10">
        <v>2854</v>
      </c>
      <c r="D2915" s="2" t="str">
        <f t="shared" si="44"/>
        <v>OK</v>
      </c>
    </row>
    <row r="2916" spans="1:4" x14ac:dyDescent="0.2">
      <c r="A2916" s="5">
        <v>2855</v>
      </c>
      <c r="B2916" s="138">
        <f>'Assets-Liab 5-6'!L34</f>
        <v>56809</v>
      </c>
      <c r="C2916" s="2" t="s">
        <v>594</v>
      </c>
      <c r="D2916" s="2" t="str">
        <f t="shared" si="44"/>
        <v>Error?</v>
      </c>
    </row>
    <row r="2917" spans="1:4" x14ac:dyDescent="0.2">
      <c r="A2917" s="5">
        <v>2856</v>
      </c>
      <c r="B2917" s="138">
        <f>'Assets-Liab 5-6'!L41</f>
        <v>56809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69978</v>
      </c>
      <c r="D3055" s="2" t="str">
        <f t="shared" si="46"/>
        <v>Error?</v>
      </c>
    </row>
    <row r="3056" spans="1:4" x14ac:dyDescent="0.2">
      <c r="A3056" s="5">
        <v>2995</v>
      </c>
      <c r="B3056" s="138">
        <f>'Expenditures 15-22'!D10</f>
        <v>20091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804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90873</v>
      </c>
      <c r="C3062" s="2" t="s">
        <v>594</v>
      </c>
      <c r="D3062" s="2" t="str">
        <f t="shared" si="46"/>
        <v>Error?</v>
      </c>
    </row>
    <row r="3063" spans="1:4" x14ac:dyDescent="0.2">
      <c r="A3063" s="10">
        <v>3002</v>
      </c>
      <c r="D3063" s="2" t="str">
        <f t="shared" si="46"/>
        <v>OK</v>
      </c>
    </row>
    <row r="3064" spans="1:4" x14ac:dyDescent="0.2">
      <c r="A3064" s="5">
        <v>3003</v>
      </c>
      <c r="B3064" s="138">
        <f>'Expenditures 15-22'!D219</f>
        <v>989</v>
      </c>
      <c r="D3064" s="2" t="str">
        <f t="shared" si="46"/>
        <v>Error?</v>
      </c>
    </row>
    <row r="3065" spans="1:4" x14ac:dyDescent="0.2">
      <c r="A3065" s="5">
        <v>3004</v>
      </c>
      <c r="B3065" s="138">
        <f>'Expenditures 15-22'!K219</f>
        <v>989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19669</v>
      </c>
      <c r="C3225" s="2" t="s">
        <v>594</v>
      </c>
      <c r="D3225" s="2" t="str">
        <f t="shared" si="49"/>
        <v>Error?</v>
      </c>
    </row>
    <row r="3226" spans="1:4" x14ac:dyDescent="0.2">
      <c r="A3226" s="5">
        <v>3165</v>
      </c>
      <c r="B3226" s="138">
        <f>'Acct Summary 7-8'!I8</f>
        <v>19669</v>
      </c>
      <c r="C3226" s="2" t="s">
        <v>594</v>
      </c>
      <c r="D3226" s="2" t="str">
        <f t="shared" si="49"/>
        <v>Error?</v>
      </c>
    </row>
    <row r="3227" spans="1:4" x14ac:dyDescent="0.2">
      <c r="A3227" s="5">
        <v>3166</v>
      </c>
      <c r="B3227" s="138">
        <f>'Acct Summary 7-8'!I20</f>
        <v>19669</v>
      </c>
      <c r="C3227" s="2" t="s">
        <v>594</v>
      </c>
      <c r="D3227" s="2" t="str">
        <f t="shared" si="49"/>
        <v>Error?</v>
      </c>
    </row>
    <row r="3228" spans="1:4" x14ac:dyDescent="0.2">
      <c r="A3228" s="5">
        <v>3167</v>
      </c>
      <c r="B3228" s="138">
        <f>'Acct Summary 7-8'!C43</f>
        <v>114756</v>
      </c>
      <c r="D3228" s="2" t="str">
        <f t="shared" si="49"/>
        <v>Error?</v>
      </c>
    </row>
    <row r="3229" spans="1:4" x14ac:dyDescent="0.2">
      <c r="A3229" s="5">
        <v>3168</v>
      </c>
      <c r="B3229" s="138">
        <f>'Acct Summary 7-8'!C44</f>
        <v>114756</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39157</v>
      </c>
      <c r="C3231" s="2" t="s">
        <v>594</v>
      </c>
      <c r="D3231" s="2" t="str">
        <f t="shared" si="49"/>
        <v>Error?</v>
      </c>
    </row>
    <row r="3232" spans="1:4" x14ac:dyDescent="0.2">
      <c r="A3232" s="5">
        <v>3171</v>
      </c>
      <c r="B3232" s="138">
        <f>'Acct Summary 7-8'!C77</f>
        <v>75599</v>
      </c>
      <c r="C3232" s="2" t="s">
        <v>594</v>
      </c>
      <c r="D3232" s="2" t="str">
        <f t="shared" si="49"/>
        <v>Error?</v>
      </c>
    </row>
    <row r="3233" spans="1:4" x14ac:dyDescent="0.2">
      <c r="A3233" s="5">
        <v>3172</v>
      </c>
      <c r="B3233" s="138">
        <f>'Acct Summary 7-8'!C78</f>
        <v>1341515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-28080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212122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164626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79157</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79157</v>
      </c>
      <c r="C3277" s="2" t="s">
        <v>594</v>
      </c>
      <c r="D3277" s="2" t="str">
        <f t="shared" si="50"/>
        <v>Error?</v>
      </c>
    </row>
    <row r="3278" spans="1:4" x14ac:dyDescent="0.2">
      <c r="A3278" s="5">
        <v>3217</v>
      </c>
      <c r="B3278" s="138">
        <f>'Acct Summary 7-8'!E78</f>
        <v>50131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1504832</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1504832</v>
      </c>
      <c r="C3299" s="2" t="s">
        <v>594</v>
      </c>
      <c r="D3299" s="2" t="str">
        <f t="shared" si="50"/>
        <v>Error?</v>
      </c>
    </row>
    <row r="3300" spans="1:4" x14ac:dyDescent="0.2">
      <c r="A3300" s="5">
        <v>3239</v>
      </c>
      <c r="B3300" s="138">
        <f>'Acct Summary 7-8'!H78</f>
        <v>-157331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3980000</v>
      </c>
      <c r="C3317" s="2" t="s">
        <v>594</v>
      </c>
      <c r="D3317" s="2" t="str">
        <f t="shared" si="50"/>
        <v>Error?</v>
      </c>
    </row>
    <row r="3318" spans="1:4" x14ac:dyDescent="0.2">
      <c r="A3318" s="5">
        <v>3257</v>
      </c>
      <c r="B3318" s="138">
        <f>'Acct Summary 7-8'!I76</f>
        <v>1504832</v>
      </c>
      <c r="C3318" s="2" t="s">
        <v>594</v>
      </c>
      <c r="D3318" s="2" t="str">
        <f t="shared" si="50"/>
        <v>Error?</v>
      </c>
    </row>
    <row r="3319" spans="1:4" x14ac:dyDescent="0.2">
      <c r="A3319" s="5">
        <v>3258</v>
      </c>
      <c r="B3319" s="138">
        <f>'Acct Summary 7-8'!I77</f>
        <v>2475168</v>
      </c>
      <c r="C3319" s="2" t="s">
        <v>594</v>
      </c>
      <c r="D3319" s="2" t="str">
        <f t="shared" si="50"/>
        <v>Error?</v>
      </c>
    </row>
    <row r="3320" spans="1:4" x14ac:dyDescent="0.2">
      <c r="A3320" s="5">
        <v>3259</v>
      </c>
      <c r="B3320" s="138">
        <f>'Acct Summary 7-8'!I78</f>
        <v>2494837</v>
      </c>
      <c r="C3320" s="2" t="s">
        <v>594</v>
      </c>
      <c r="D3320" s="2" t="str">
        <f t="shared" si="50"/>
        <v>Error?</v>
      </c>
    </row>
    <row r="3321" spans="1:4" x14ac:dyDescent="0.2">
      <c r="A3321" s="5">
        <v>3260</v>
      </c>
      <c r="B3321" s="138">
        <f>'Acct Summary 7-8'!I79</f>
        <v>2572375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5067212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963702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277541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2888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1244131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51061</v>
      </c>
      <c r="D3387" s="2" t="str">
        <f t="shared" si="51"/>
        <v>Error?</v>
      </c>
    </row>
    <row r="3388" spans="1:4" x14ac:dyDescent="0.2">
      <c r="A3388" s="5">
        <v>3327</v>
      </c>
      <c r="B3388" s="138">
        <f>'Expenditures 15-22'!D217</f>
        <v>91086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51061</v>
      </c>
      <c r="C3390" s="2" t="s">
        <v>594</v>
      </c>
      <c r="D3390" s="2" t="str">
        <f t="shared" si="51"/>
        <v>Error?</v>
      </c>
    </row>
    <row r="3391" spans="1:4" x14ac:dyDescent="0.2">
      <c r="A3391" s="5">
        <v>3330</v>
      </c>
      <c r="B3391" s="138">
        <f>'Expenditures 15-22'!K217</f>
        <v>91086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2437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11921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47928</v>
      </c>
      <c r="D3417" s="2" t="str">
        <f t="shared" si="52"/>
        <v>Error?</v>
      </c>
    </row>
    <row r="3418" spans="1:4" x14ac:dyDescent="0.2">
      <c r="A3418" s="10">
        <v>3357</v>
      </c>
      <c r="D3418" s="2" t="str">
        <f t="shared" si="52"/>
        <v>OK</v>
      </c>
    </row>
    <row r="3419" spans="1:4" x14ac:dyDescent="0.2">
      <c r="A3419" s="5">
        <v>3358</v>
      </c>
      <c r="B3419" s="138">
        <f>'Assets-Liab 5-6'!F4</f>
        <v>10999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13241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11035</v>
      </c>
      <c r="D3425" s="2" t="str">
        <f t="shared" si="52"/>
        <v>Error?</v>
      </c>
    </row>
    <row r="3426" spans="1:4" x14ac:dyDescent="0.2">
      <c r="A3426" s="10">
        <v>3365</v>
      </c>
      <c r="D3426" s="2" t="str">
        <f t="shared" si="52"/>
        <v>OK</v>
      </c>
    </row>
    <row r="3427" spans="1:4" x14ac:dyDescent="0.2">
      <c r="A3427" s="5">
        <v>3366</v>
      </c>
      <c r="B3427" s="138">
        <f>'Assets-Liab 5-6'!I4</f>
        <v>2032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56809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214006</v>
      </c>
      <c r="C3446" s="2" t="s">
        <v>594</v>
      </c>
      <c r="D3446" s="2" t="str">
        <f t="shared" si="52"/>
        <v>Error?</v>
      </c>
    </row>
    <row r="3447" spans="1:4" x14ac:dyDescent="0.2">
      <c r="A3447" s="5">
        <v>3386</v>
      </c>
      <c r="B3447" s="138">
        <f>'Tax Sched 23'!D16</f>
        <v>104663</v>
      </c>
      <c r="C3447" s="2" t="s">
        <v>594</v>
      </c>
      <c r="D3447" s="2" t="str">
        <f t="shared" si="52"/>
        <v>Error?</v>
      </c>
    </row>
    <row r="3448" spans="1:4" x14ac:dyDescent="0.2">
      <c r="A3448" s="5">
        <v>3387</v>
      </c>
      <c r="B3448" s="138">
        <f>'Tax Sched 23'!C16</f>
        <v>109343</v>
      </c>
      <c r="D3448" s="2" t="str">
        <f t="shared" si="52"/>
        <v>Error?</v>
      </c>
    </row>
    <row r="3449" spans="1:4" x14ac:dyDescent="0.2">
      <c r="A3449" s="5">
        <v>3388</v>
      </c>
      <c r="B3449" s="138">
        <f>'Tax Sched 23'!F16</f>
        <v>95675</v>
      </c>
      <c r="C3449" s="2" t="s">
        <v>594</v>
      </c>
      <c r="D3449" s="2" t="str">
        <f t="shared" si="52"/>
        <v>Error?</v>
      </c>
    </row>
    <row r="3450" spans="1:4" x14ac:dyDescent="0.2">
      <c r="A3450" s="5">
        <v>3389</v>
      </c>
      <c r="B3450" s="138">
        <f>'Tax Sched 23'!E16</f>
        <v>205018</v>
      </c>
      <c r="D3450" s="2" t="str">
        <f t="shared" si="52"/>
        <v>Error?</v>
      </c>
    </row>
    <row r="3451" spans="1:4" x14ac:dyDescent="0.2">
      <c r="A3451" s="5">
        <v>3390</v>
      </c>
      <c r="B3451" s="138">
        <f>'Cap Outlay Deprec 26'!C15</f>
        <v>113399</v>
      </c>
      <c r="D3451" s="2" t="str">
        <f t="shared" si="52"/>
        <v>Error?</v>
      </c>
    </row>
    <row r="3452" spans="1:4" x14ac:dyDescent="0.2">
      <c r="A3452" s="5">
        <v>3391</v>
      </c>
      <c r="B3452" s="138">
        <f>'Cap Outlay Deprec 26'!D15</f>
        <v>124473</v>
      </c>
      <c r="D3452" s="2" t="str">
        <f t="shared" si="52"/>
        <v>Error?</v>
      </c>
    </row>
    <row r="3453" spans="1:4" x14ac:dyDescent="0.2">
      <c r="A3453" s="5">
        <v>3392</v>
      </c>
      <c r="B3453" s="138">
        <f>'Cap Outlay Deprec 26'!E15</f>
        <v>113399</v>
      </c>
      <c r="D3453" s="2" t="str">
        <f t="shared" si="52"/>
        <v>Error?</v>
      </c>
    </row>
    <row r="3454" spans="1:4" x14ac:dyDescent="0.2">
      <c r="A3454" s="5">
        <v>3393</v>
      </c>
      <c r="B3454" s="138">
        <f>'Cap Outlay Deprec 26'!F15</f>
        <v>124473</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124473</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54190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777725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831915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831915</v>
      </c>
      <c r="D3567" s="2" t="str">
        <f t="shared" si="54"/>
        <v>Error?</v>
      </c>
    </row>
    <row r="3568" spans="1:4" x14ac:dyDescent="0.2">
      <c r="A3568" s="5">
        <v>3507</v>
      </c>
      <c r="B3568" s="138">
        <f>'Assets-Liab 5-6'!K41</f>
        <v>831915</v>
      </c>
      <c r="C3568" s="2" t="s">
        <v>594</v>
      </c>
      <c r="D3568" s="2" t="str">
        <f t="shared" si="54"/>
        <v>Error?</v>
      </c>
    </row>
    <row r="3569" spans="1:4" x14ac:dyDescent="0.2">
      <c r="A3569" s="5">
        <v>3508</v>
      </c>
      <c r="B3569" s="138">
        <f>'Acct Summary 7-8'!K4</f>
        <v>2415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2415</v>
      </c>
      <c r="C3571" s="2" t="s">
        <v>594</v>
      </c>
      <c r="D3571" s="2" t="str">
        <f t="shared" si="54"/>
        <v>Error?</v>
      </c>
    </row>
    <row r="3572" spans="1:4" x14ac:dyDescent="0.2">
      <c r="A3572" s="5">
        <v>3511</v>
      </c>
      <c r="B3572" s="138">
        <f>'Acct Summary 7-8'!K13</f>
        <v>50665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50665</v>
      </c>
      <c r="C3575" s="2" t="s">
        <v>594</v>
      </c>
      <c r="D3575" s="2" t="str">
        <f t="shared" si="54"/>
        <v>Error?</v>
      </c>
    </row>
    <row r="3576" spans="1:4" x14ac:dyDescent="0.2">
      <c r="A3576" s="5">
        <v>3515</v>
      </c>
      <c r="B3576" s="138">
        <f>'Acct Summary 7-8'!K20</f>
        <v>-48250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920000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920000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920000</v>
      </c>
      <c r="C3587" s="2" t="s">
        <v>594</v>
      </c>
      <c r="D3587" s="2" t="str">
        <f t="shared" si="55"/>
        <v>Error?</v>
      </c>
    </row>
    <row r="3588" spans="1:4" x14ac:dyDescent="0.2">
      <c r="A3588" s="5">
        <v>3527</v>
      </c>
      <c r="B3588" s="138">
        <f>'Acct Summary 7-8'!K78</f>
        <v>871750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871750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50665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50665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50665</v>
      </c>
      <c r="C3649" s="2" t="s">
        <v>594</v>
      </c>
      <c r="D3649" s="2" t="str">
        <f t="shared" si="56"/>
        <v>Error?</v>
      </c>
    </row>
    <row r="3650" spans="1:4" x14ac:dyDescent="0.2">
      <c r="A3650" s="5">
        <v>3589</v>
      </c>
      <c r="B3650" s="138">
        <f>'Expenditures 15-22'!G367</f>
        <v>50665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50665</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50665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50665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50665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-48250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9663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54096</v>
      </c>
      <c r="D4081" s="2" t="str">
        <f t="shared" si="62"/>
        <v>Error?</v>
      </c>
    </row>
    <row r="4082" spans="1:4" x14ac:dyDescent="0.2">
      <c r="A4082" s="5">
        <v>4021</v>
      </c>
      <c r="B4082" s="138">
        <f>'Expenditures 15-22'!D180</f>
        <v>195</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54291</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3780952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13889281</v>
      </c>
      <c r="C4122" s="2" t="s">
        <v>594</v>
      </c>
      <c r="D4122" s="2" t="str">
        <f t="shared" si="63"/>
        <v>Error?</v>
      </c>
    </row>
    <row r="4123" spans="1:4" x14ac:dyDescent="0.2">
      <c r="A4123" s="5">
        <v>4062</v>
      </c>
      <c r="B4123" s="138">
        <f>'Acct Summary 7-8'!D10</f>
        <v>739703</v>
      </c>
      <c r="C4123" s="2" t="s">
        <v>594</v>
      </c>
      <c r="D4123" s="2" t="str">
        <f t="shared" si="63"/>
        <v>Error?</v>
      </c>
    </row>
    <row r="4124" spans="1:4" x14ac:dyDescent="0.2">
      <c r="A4124" s="5">
        <v>4063</v>
      </c>
      <c r="B4124" s="138">
        <f>'Acct Summary 7-8'!E10</f>
        <v>1241842</v>
      </c>
      <c r="C4124" s="2" t="s">
        <v>594</v>
      </c>
      <c r="D4124" s="2" t="str">
        <f t="shared" si="63"/>
        <v>Error?</v>
      </c>
    </row>
    <row r="4125" spans="1:4" x14ac:dyDescent="0.2">
      <c r="A4125" s="5">
        <v>4064</v>
      </c>
      <c r="B4125" s="138">
        <f>'Acct Summary 7-8'!F10</f>
        <v>628969</v>
      </c>
      <c r="C4125" s="2" t="s">
        <v>594</v>
      </c>
      <c r="D4125" s="2" t="str">
        <f t="shared" si="63"/>
        <v>Error?</v>
      </c>
    </row>
    <row r="4126" spans="1:4" x14ac:dyDescent="0.2">
      <c r="A4126" s="5">
        <v>4065</v>
      </c>
      <c r="B4126" s="138">
        <f>'Acct Summary 7-8'!G10</f>
        <v>439448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19669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2415</v>
      </c>
      <c r="C4130" s="2" t="s">
        <v>594</v>
      </c>
      <c r="D4130" s="2" t="str">
        <f t="shared" si="63"/>
        <v>Error?</v>
      </c>
    </row>
    <row r="4131" spans="1:4" x14ac:dyDescent="0.2">
      <c r="A4131" s="5">
        <v>4070</v>
      </c>
      <c r="B4131" s="138">
        <f>'Acct Summary 7-8'!C18</f>
        <v>3780952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12623365</v>
      </c>
      <c r="C4136" s="2" t="s">
        <v>594</v>
      </c>
      <c r="D4136" s="2" t="str">
        <f t="shared" si="63"/>
        <v>Error?</v>
      </c>
    </row>
    <row r="4137" spans="1:4" x14ac:dyDescent="0.2">
      <c r="A4137" s="5">
        <v>4076</v>
      </c>
      <c r="B4137" s="138">
        <f>'Acct Summary 7-8'!D19</f>
        <v>767783</v>
      </c>
      <c r="C4137" s="2" t="s">
        <v>594</v>
      </c>
      <c r="D4137" s="2" t="str">
        <f t="shared" si="63"/>
        <v>Error?</v>
      </c>
    </row>
    <row r="4138" spans="1:4" x14ac:dyDescent="0.2">
      <c r="A4138" s="5">
        <v>4077</v>
      </c>
      <c r="B4138" s="138">
        <f>'Acct Summary 7-8'!E19</f>
        <v>1270868</v>
      </c>
      <c r="C4138" s="2" t="s">
        <v>594</v>
      </c>
      <c r="D4138" s="2" t="str">
        <f t="shared" si="63"/>
        <v>Error?</v>
      </c>
    </row>
    <row r="4139" spans="1:4" x14ac:dyDescent="0.2">
      <c r="A4139" s="5">
        <v>4078</v>
      </c>
      <c r="B4139" s="138">
        <f>'Acct Summary 7-8'!F19</f>
        <v>416847</v>
      </c>
      <c r="C4139" s="2" t="s">
        <v>594</v>
      </c>
      <c r="D4139" s="2" t="str">
        <f t="shared" si="63"/>
        <v>Error?</v>
      </c>
    </row>
    <row r="4140" spans="1:4" x14ac:dyDescent="0.2">
      <c r="A4140" s="5">
        <v>4079</v>
      </c>
      <c r="B4140" s="138">
        <f>'Acct Summary 7-8'!G19</f>
        <v>274822</v>
      </c>
      <c r="C4140" s="2" t="s">
        <v>594</v>
      </c>
      <c r="D4140" s="2" t="str">
        <f t="shared" si="63"/>
        <v>Error?</v>
      </c>
    </row>
    <row r="4141" spans="1:4" x14ac:dyDescent="0.2">
      <c r="A4141" s="5">
        <v>4080</v>
      </c>
      <c r="B4141" s="138">
        <f>'Acct Summary 7-8'!H19</f>
        <v>1662163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50665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8243747</v>
      </c>
      <c r="C4171" s="2" t="s">
        <v>594</v>
      </c>
      <c r="D4171" s="2" t="str">
        <f t="shared" si="64"/>
        <v>Error?</v>
      </c>
    </row>
    <row r="4172" spans="1:4" x14ac:dyDescent="0.2">
      <c r="A4172" s="5">
        <v>4111</v>
      </c>
      <c r="B4172" s="138">
        <f>'Short-Term Long-Term Debt 24'!J49</f>
        <v>7434058</v>
      </c>
      <c r="C4172" s="2" t="s">
        <v>594</v>
      </c>
      <c r="D4172" s="2" t="str">
        <f t="shared" si="64"/>
        <v>Error?</v>
      </c>
    </row>
    <row r="4173" spans="1:4" x14ac:dyDescent="0.2">
      <c r="A4173" s="5">
        <v>4112</v>
      </c>
      <c r="B4173" s="138">
        <f>'Short-Term Long-Term Debt 24'!H49</f>
        <v>1124616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114756</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3403.4</v>
      </c>
      <c r="C4265" s="2" t="s">
        <v>594</v>
      </c>
      <c r="D4265" s="2" t="str">
        <f t="shared" si="65"/>
        <v>Error?</v>
      </c>
      <c r="E4265" s="128"/>
    </row>
    <row r="4266" spans="1:5" x14ac:dyDescent="0.2">
      <c r="A4266" s="12">
        <v>4205</v>
      </c>
      <c r="B4266" s="138">
        <f>('FP Info 3'!F10)*100000</f>
        <v>283.79999999999995</v>
      </c>
      <c r="C4266" s="2" t="s">
        <v>594</v>
      </c>
      <c r="D4266" s="2" t="str">
        <f t="shared" si="65"/>
        <v>Error?</v>
      </c>
      <c r="E4266" s="128"/>
    </row>
    <row r="4267" spans="1:5" x14ac:dyDescent="0.2">
      <c r="A4267" s="12">
        <v>4206</v>
      </c>
      <c r="B4267" s="138">
        <f>('FP Info 3'!H10)*100000</f>
        <v>151.9</v>
      </c>
      <c r="C4267" s="2" t="s">
        <v>594</v>
      </c>
      <c r="D4267" s="2" t="str">
        <f t="shared" si="65"/>
        <v>Error?</v>
      </c>
      <c r="E4267" s="128"/>
    </row>
    <row r="4268" spans="1:5" x14ac:dyDescent="0.2">
      <c r="A4268" s="12">
        <v>4207</v>
      </c>
      <c r="B4268" s="138">
        <f>('FP Info 3'!J10)*100000</f>
        <v>3839</v>
      </c>
      <c r="C4268" s="2" t="s">
        <v>594</v>
      </c>
      <c r="D4268" s="2" t="str">
        <f t="shared" si="65"/>
        <v>Error?</v>
      </c>
    </row>
    <row r="4269" spans="1:5" x14ac:dyDescent="0.2">
      <c r="A4269" s="12">
        <v>4208</v>
      </c>
      <c r="B4269" s="138">
        <f>'FP Info 3'!J16</f>
        <v>15031552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14188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22943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8362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21807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230357158</v>
      </c>
      <c r="D4995" s="2" t="str">
        <f t="shared" si="77"/>
        <v>Error?</v>
      </c>
    </row>
    <row r="4996" spans="1:4" x14ac:dyDescent="0.2">
      <c r="A4996" s="12">
        <v>4935</v>
      </c>
      <c r="B4996" s="138">
        <f>'FP Info 3'!H31</f>
        <v>15894643.902000001</v>
      </c>
      <c r="D4996" s="2" t="str">
        <f t="shared" si="77"/>
        <v>Error?</v>
      </c>
    </row>
    <row r="4997" spans="1:4" x14ac:dyDescent="0.2">
      <c r="A4997" s="12">
        <v>4936</v>
      </c>
      <c r="B4997" s="138">
        <f>'FP Info 3'!H37</f>
        <v>8243747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7895298</v>
      </c>
      <c r="D5061" s="2" t="str">
        <f t="shared" si="78"/>
        <v>Error?</v>
      </c>
    </row>
    <row r="5062" spans="1:4" x14ac:dyDescent="0.2">
      <c r="A5062" s="10">
        <v>5001</v>
      </c>
      <c r="D5062" s="2" t="str">
        <f t="shared" si="78"/>
        <v>OK</v>
      </c>
    </row>
    <row r="5063" spans="1:4" x14ac:dyDescent="0.2">
      <c r="A5063" s="5">
        <v>5002</v>
      </c>
      <c r="B5063" s="138">
        <f>'Revenues 9-14'!C7</f>
        <v>628179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8523477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38997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38997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31244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31244</v>
      </c>
      <c r="C5090" s="2" t="s">
        <v>594</v>
      </c>
      <c r="D5090" s="2" t="str">
        <f t="shared" si="78"/>
        <v>Error?</v>
      </c>
    </row>
    <row r="5091" spans="1:4" x14ac:dyDescent="0.2">
      <c r="A5091" s="5">
        <v>5030</v>
      </c>
      <c r="B5091" s="138">
        <f>'Revenues 9-14'!C70</f>
        <v>1559</v>
      </c>
      <c r="D5091" s="2" t="str">
        <f t="shared" si="78"/>
        <v>Error?</v>
      </c>
    </row>
    <row r="5092" spans="1:4" x14ac:dyDescent="0.2">
      <c r="A5092" s="5">
        <v>5031</v>
      </c>
      <c r="B5092" s="138">
        <f>'Revenues 9-14'!C71</f>
        <v>42485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52213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27845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27845</v>
      </c>
      <c r="C5102" s="2" t="s">
        <v>594</v>
      </c>
      <c r="D5102" s="2" t="str">
        <f t="shared" si="78"/>
        <v>Error?</v>
      </c>
    </row>
    <row r="5103" spans="1:4" x14ac:dyDescent="0.2">
      <c r="A5103" s="5">
        <v>5042</v>
      </c>
      <c r="B5103" s="138">
        <f>'Revenues 9-14'!C84</f>
        <v>50954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50954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44441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24524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38837</v>
      </c>
      <c r="D5118" s="2" t="str">
        <f t="shared" si="78"/>
        <v>Error?</v>
      </c>
    </row>
    <row r="5119" spans="1:4" x14ac:dyDescent="0.2">
      <c r="A5119" s="5">
        <v>5058</v>
      </c>
      <c r="B5119" s="138">
        <f>'Revenues 9-14'!C107</f>
        <v>74771</v>
      </c>
      <c r="D5119" s="2" t="str">
        <f t="shared" ref="D5119:D5182" si="79">IF(ISBLANK(B5119),"OK",IF(A5119-B5119=0,"OK","Error?"))</f>
        <v>Error?</v>
      </c>
    </row>
    <row r="5120" spans="1:4" x14ac:dyDescent="0.2">
      <c r="A5120" s="5">
        <v>5059</v>
      </c>
      <c r="B5120" s="138">
        <f>'Revenues 9-14'!C108</f>
        <v>182573</v>
      </c>
      <c r="C5120" s="2" t="s">
        <v>594</v>
      </c>
      <c r="D5120" s="2" t="str">
        <f t="shared" si="79"/>
        <v>Error?</v>
      </c>
    </row>
    <row r="5121" spans="1:4" x14ac:dyDescent="0.2">
      <c r="A5121" s="5">
        <v>5060</v>
      </c>
      <c r="B5121" s="138">
        <f>'Revenues 9-14'!C109</f>
        <v>8907303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567672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567672</v>
      </c>
      <c r="C5132" s="2" t="s">
        <v>594</v>
      </c>
      <c r="D5132" s="2" t="str">
        <f t="shared" si="79"/>
        <v>Error?</v>
      </c>
    </row>
    <row r="5133" spans="1:4" x14ac:dyDescent="0.2">
      <c r="A5133" s="5">
        <v>5072</v>
      </c>
      <c r="B5133" s="138">
        <f>'Revenues 9-14'!C124</f>
        <v>46075</v>
      </c>
      <c r="D5133" s="2" t="str">
        <f t="shared" si="79"/>
        <v>Error?</v>
      </c>
    </row>
    <row r="5134" spans="1:4" x14ac:dyDescent="0.2">
      <c r="A5134" s="5">
        <v>5073</v>
      </c>
      <c r="B5134" s="138">
        <f>'Revenues 9-14'!C125</f>
        <v>40407</v>
      </c>
      <c r="D5134" s="2" t="str">
        <f t="shared" si="79"/>
        <v>Error?</v>
      </c>
    </row>
    <row r="5135" spans="1:4" x14ac:dyDescent="0.2">
      <c r="A5135" s="5">
        <v>5074</v>
      </c>
      <c r="B5135" s="138">
        <f>'Revenues 9-14'!C126</f>
        <v>85678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366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172526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10197</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10197</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58283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241756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809428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9663</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9663</v>
      </c>
      <c r="C5246" s="2" t="s">
        <v>594</v>
      </c>
      <c r="D5246" s="2" t="str">
        <f t="shared" si="80"/>
        <v>Error?</v>
      </c>
    </row>
    <row r="5247" spans="1:4" x14ac:dyDescent="0.2">
      <c r="A5247" s="5">
        <v>5186</v>
      </c>
      <c r="B5247" s="138">
        <f>'Revenues 9-14'!C203</f>
        <v>40486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8362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40486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13058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259252</v>
      </c>
      <c r="D5278" s="2" t="str">
        <f t="shared" si="81"/>
        <v>Error?</v>
      </c>
    </row>
    <row r="5279" spans="1:4" x14ac:dyDescent="0.2">
      <c r="A5279" s="5">
        <v>5218</v>
      </c>
      <c r="B5279" s="138">
        <f>'Revenues 9-14'!C221</f>
        <v>1839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274149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391598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391598</v>
      </c>
      <c r="C5326" s="2" t="s">
        <v>594</v>
      </c>
      <c r="D5326" s="2" t="str">
        <f t="shared" si="82"/>
        <v>Error?</v>
      </c>
    </row>
    <row r="5327" spans="1:4" x14ac:dyDescent="0.2">
      <c r="A5327" s="5">
        <v>5266</v>
      </c>
      <c r="B5327" s="138">
        <f>'Revenues 9-14'!C275</f>
        <v>10108329</v>
      </c>
      <c r="C5327" s="2" t="s">
        <v>594</v>
      </c>
      <c r="D5327" s="2" t="str">
        <f t="shared" si="82"/>
        <v>Error?</v>
      </c>
    </row>
    <row r="5328" spans="1:4" x14ac:dyDescent="0.2">
      <c r="A5328" s="5">
        <v>5267</v>
      </c>
      <c r="B5328" s="138">
        <f>'Revenues 9-14'!D5</f>
        <v>664371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664371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9134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9134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61198</v>
      </c>
      <c r="D5349" s="2" t="str">
        <f t="shared" si="82"/>
        <v>Error?</v>
      </c>
    </row>
    <row r="5350" spans="1:4" x14ac:dyDescent="0.2">
      <c r="A5350" s="5">
        <v>5289</v>
      </c>
      <c r="B5350" s="138">
        <f>'Revenues 9-14'!D96</f>
        <v>5000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66198</v>
      </c>
      <c r="C5355" s="2" t="s">
        <v>594</v>
      </c>
      <c r="D5355" s="2" t="str">
        <f t="shared" si="82"/>
        <v>Error?</v>
      </c>
    </row>
    <row r="5356" spans="1:4" x14ac:dyDescent="0.2">
      <c r="A5356" s="5">
        <v>5295</v>
      </c>
      <c r="B5356" s="138">
        <f>'Revenues 9-14'!D109</f>
        <v>739703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739703</v>
      </c>
      <c r="C5508" s="2" t="s">
        <v>594</v>
      </c>
      <c r="D5508" s="2" t="str">
        <f t="shared" si="85"/>
        <v>Error?</v>
      </c>
    </row>
    <row r="5509" spans="1:4" x14ac:dyDescent="0.2">
      <c r="A5509" s="5">
        <v>5448</v>
      </c>
      <c r="B5509" s="138">
        <f>'Revenues 9-14'!E5</f>
        <v>1235713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1235713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2387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2387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3742</v>
      </c>
      <c r="D5525" s="2" t="str">
        <f t="shared" si="85"/>
        <v>Error?</v>
      </c>
    </row>
    <row r="5526" spans="1:4" x14ac:dyDescent="0.2">
      <c r="A5526" s="5">
        <v>5465</v>
      </c>
      <c r="B5526" s="138">
        <f>'Revenues 9-14'!E108</f>
        <v>3742</v>
      </c>
      <c r="C5526" s="2" t="s">
        <v>594</v>
      </c>
      <c r="D5526" s="2" t="str">
        <f t="shared" si="85"/>
        <v>Error?</v>
      </c>
    </row>
    <row r="5527" spans="1:4" x14ac:dyDescent="0.2">
      <c r="A5527" s="5">
        <v>5466</v>
      </c>
      <c r="B5527" s="138">
        <f>'Revenues 9-14'!E109</f>
        <v>1241842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1241842</v>
      </c>
      <c r="C5552" s="2" t="s">
        <v>594</v>
      </c>
      <c r="D5552" s="2" t="str">
        <f t="shared" si="85"/>
        <v>Error?</v>
      </c>
    </row>
    <row r="5553" spans="1:4" x14ac:dyDescent="0.2">
      <c r="A5553" s="5">
        <v>5492</v>
      </c>
      <c r="B5553" s="138">
        <f>'Revenues 9-14'!F5</f>
        <v>377674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377674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5978</v>
      </c>
      <c r="D5563" s="2" t="str">
        <f t="shared" si="85"/>
        <v>Error?</v>
      </c>
    </row>
    <row r="5564" spans="1:4" x14ac:dyDescent="0.2">
      <c r="A5564" s="5">
        <v>5503</v>
      </c>
      <c r="B5564" s="138">
        <f>'Revenues 9-14'!F43</f>
        <v>3778</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9756</v>
      </c>
      <c r="C5579" s="2" t="s">
        <v>594</v>
      </c>
      <c r="D5579" s="2" t="str">
        <f t="shared" si="86"/>
        <v>Error?</v>
      </c>
    </row>
    <row r="5580" spans="1:4" x14ac:dyDescent="0.2">
      <c r="A5580" s="5">
        <v>5519</v>
      </c>
      <c r="B5580" s="138">
        <f>'Revenues 9-14'!F65</f>
        <v>5716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5716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393146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89663</v>
      </c>
      <c r="D5615" s="2" t="str">
        <f t="shared" si="86"/>
        <v>Error?</v>
      </c>
    </row>
    <row r="5616" spans="1:4" x14ac:dyDescent="0.2">
      <c r="A5616" s="10">
        <v>5555</v>
      </c>
      <c r="D5616" s="2" t="str">
        <f t="shared" si="86"/>
        <v>OK</v>
      </c>
    </row>
    <row r="5617" spans="1:4" x14ac:dyDescent="0.2">
      <c r="A5617" s="5">
        <v>5556</v>
      </c>
      <c r="B5617" s="138">
        <f>'Revenues 9-14'!F152</f>
        <v>146160</v>
      </c>
      <c r="D5617" s="2" t="str">
        <f t="shared" si="86"/>
        <v>Error?</v>
      </c>
    </row>
    <row r="5618" spans="1:4" x14ac:dyDescent="0.2">
      <c r="A5618" s="5">
        <v>5557</v>
      </c>
      <c r="B5618" s="138">
        <f>'Revenues 9-14'!F154</f>
        <v>235823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235823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235823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628969</v>
      </c>
      <c r="C5720" s="2" t="s">
        <v>594</v>
      </c>
      <c r="D5720" s="2" t="str">
        <f t="shared" si="88"/>
        <v>Error?</v>
      </c>
    </row>
    <row r="5721" spans="1:4" x14ac:dyDescent="0.2">
      <c r="A5721" s="5">
        <v>5660</v>
      </c>
      <c r="B5721" s="138">
        <f>'Revenues 9-14'!G5</f>
        <v>214006</v>
      </c>
      <c r="D5721" s="2" t="str">
        <f t="shared" si="88"/>
        <v>Error?</v>
      </c>
    </row>
    <row r="5722" spans="1:4" x14ac:dyDescent="0.2">
      <c r="A5722" s="5">
        <v>5661</v>
      </c>
      <c r="B5722" s="138">
        <f>'Revenues 9-14'!G7</f>
        <v>0</v>
      </c>
      <c r="D5722" s="2" t="str">
        <f t="shared" si="88"/>
        <v>Error?</v>
      </c>
    </row>
    <row r="5723" spans="1:4" x14ac:dyDescent="0.2">
      <c r="A5723" s="5">
        <v>5662</v>
      </c>
      <c r="B5723" s="138">
        <f>'Revenues 9-14'!G8</f>
        <v>214006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428012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6000</v>
      </c>
      <c r="C5730" s="2" t="s">
        <v>594</v>
      </c>
      <c r="D5730" s="2" t="str">
        <f t="shared" si="88"/>
        <v>Error?</v>
      </c>
    </row>
    <row r="5731" spans="1:4" x14ac:dyDescent="0.2">
      <c r="A5731" s="5">
        <v>5670</v>
      </c>
      <c r="B5731" s="138">
        <f>'Revenues 9-14'!G65</f>
        <v>5436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5436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439448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19669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19669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19669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2415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2415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2415</v>
      </c>
      <c r="C6023" s="2" t="s">
        <v>594</v>
      </c>
      <c r="D6023" s="2" t="str">
        <f t="shared" si="93"/>
        <v>Error?</v>
      </c>
    </row>
    <row r="6024" spans="1:5" x14ac:dyDescent="0.2">
      <c r="A6024" s="5">
        <v>5963</v>
      </c>
      <c r="B6024" s="138">
        <f>'Revenues 9-14'!G109</f>
        <v>439448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19669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2415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8169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587.24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127173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127173</v>
      </c>
      <c r="D6215" s="2" t="str">
        <f t="shared" si="96"/>
        <v>Error?</v>
      </c>
      <c r="E6215" s="2" t="s">
        <v>199</v>
      </c>
    </row>
    <row r="6216" spans="1:5" x14ac:dyDescent="0.2">
      <c r="A6216">
        <v>6155</v>
      </c>
      <c r="B6216" s="138">
        <f>'Assets-Liab 5-6'!J41</f>
        <v>127173</v>
      </c>
      <c r="D6216" s="2" t="str">
        <f t="shared" si="96"/>
        <v>Error?</v>
      </c>
      <c r="E6216" s="2" t="s">
        <v>199</v>
      </c>
    </row>
    <row r="6217" spans="1:5" x14ac:dyDescent="0.2">
      <c r="A6217">
        <v>6156</v>
      </c>
      <c r="B6217" s="138">
        <f>'Assets-Liab 5-6'!J4</f>
        <v>50625</v>
      </c>
      <c r="D6217" s="2" t="str">
        <f t="shared" si="96"/>
        <v>Error?</v>
      </c>
      <c r="E6217" s="2" t="s">
        <v>199</v>
      </c>
    </row>
    <row r="6218" spans="1:5" x14ac:dyDescent="0.2">
      <c r="A6218">
        <v>6157</v>
      </c>
      <c r="B6218" s="138">
        <f>'Assets-Liab 5-6'!J5</f>
        <v>76548</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80979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80979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80979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54448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54448</v>
      </c>
      <c r="D6229" s="2" t="str">
        <f t="shared" si="96"/>
        <v>Error?</v>
      </c>
      <c r="E6229" s="2" t="s">
        <v>199</v>
      </c>
    </row>
    <row r="6230" spans="1:5" x14ac:dyDescent="0.2">
      <c r="A6230">
        <v>6169</v>
      </c>
      <c r="B6230" s="138">
        <f>'Acct Summary 7-8'!J20</f>
        <v>26531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34616</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4541</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26531</v>
      </c>
      <c r="D6263" s="2" t="str">
        <f t="shared" si="96"/>
        <v>Error?</v>
      </c>
      <c r="E6263" s="2" t="s">
        <v>199</v>
      </c>
    </row>
    <row r="6264" spans="1:5" x14ac:dyDescent="0.2">
      <c r="A6264">
        <v>6203</v>
      </c>
      <c r="B6264" s="138">
        <f>'Acct Summary 7-8'!J79</f>
        <v>100642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127173</v>
      </c>
      <c r="D6266" s="2" t="str">
        <f t="shared" si="96"/>
        <v>Error?</v>
      </c>
      <c r="E6266" s="2" t="s">
        <v>199</v>
      </c>
    </row>
    <row r="6267" spans="1:5" x14ac:dyDescent="0.2">
      <c r="A6267">
        <v>6206</v>
      </c>
      <c r="B6267" s="138">
        <f>'Acct Summary 7-8'!C82</f>
        <v>1341515</v>
      </c>
      <c r="D6267" s="2" t="str">
        <f t="shared" si="96"/>
        <v>Error?</v>
      </c>
      <c r="E6267" s="2" t="s">
        <v>199</v>
      </c>
    </row>
    <row r="6268" spans="1:5" x14ac:dyDescent="0.2">
      <c r="A6268">
        <v>6207</v>
      </c>
      <c r="B6268" s="138">
        <f>'Acct Summary 7-8'!D82</f>
        <v>-28080</v>
      </c>
      <c r="D6268" s="2" t="str">
        <f t="shared" si="96"/>
        <v>Error?</v>
      </c>
      <c r="E6268" s="2" t="s">
        <v>199</v>
      </c>
    </row>
    <row r="6269" spans="1:5" x14ac:dyDescent="0.2">
      <c r="A6269">
        <v>6208</v>
      </c>
      <c r="B6269" s="138">
        <f>'Acct Summary 7-8'!E82</f>
        <v>50131</v>
      </c>
      <c r="D6269" s="2" t="str">
        <f t="shared" si="96"/>
        <v>Error?</v>
      </c>
      <c r="E6269" s="2" t="s">
        <v>199</v>
      </c>
    </row>
    <row r="6270" spans="1:5" x14ac:dyDescent="0.2">
      <c r="A6270">
        <v>6209</v>
      </c>
      <c r="B6270" s="138">
        <f>'Acct Summary 7-8'!F82</f>
        <v>212122</v>
      </c>
      <c r="D6270" s="2" t="str">
        <f t="shared" si="96"/>
        <v>Error?</v>
      </c>
      <c r="E6270" s="2" t="s">
        <v>199</v>
      </c>
    </row>
    <row r="6271" spans="1:5" x14ac:dyDescent="0.2">
      <c r="A6271">
        <v>6210</v>
      </c>
      <c r="B6271" s="138">
        <f>'Acct Summary 7-8'!G82</f>
        <v>164626</v>
      </c>
      <c r="D6271" s="2" t="str">
        <f t="shared" ref="D6271:D6334" si="97">IF(ISBLANK(B6271),"OK",IF(A6271-B6271=0,"OK","Error?"))</f>
        <v>Error?</v>
      </c>
      <c r="E6271" s="2" t="s">
        <v>199</v>
      </c>
    </row>
    <row r="6272" spans="1:5" x14ac:dyDescent="0.2">
      <c r="A6272">
        <v>6211</v>
      </c>
      <c r="B6272" s="138">
        <f>'Acct Summary 7-8'!H82</f>
        <v>-157331</v>
      </c>
      <c r="D6272" s="2" t="str">
        <f t="shared" si="97"/>
        <v>Error?</v>
      </c>
      <c r="E6272" s="2" t="s">
        <v>199</v>
      </c>
    </row>
    <row r="6273" spans="1:5" x14ac:dyDescent="0.2">
      <c r="A6273">
        <v>6212</v>
      </c>
      <c r="B6273" s="138">
        <f>'Acct Summary 7-8'!I82</f>
        <v>2494837</v>
      </c>
      <c r="D6273" s="2" t="str">
        <f t="shared" si="97"/>
        <v>Error?</v>
      </c>
      <c r="E6273" s="2" t="s">
        <v>199</v>
      </c>
    </row>
    <row r="6274" spans="1:5" x14ac:dyDescent="0.2">
      <c r="A6274">
        <v>6213</v>
      </c>
      <c r="B6274" s="138">
        <f>'Acct Summary 7-8'!J82</f>
        <v>26531</v>
      </c>
      <c r="D6274" s="2" t="str">
        <f t="shared" si="97"/>
        <v>Error?</v>
      </c>
      <c r="E6274" s="2" t="s">
        <v>199</v>
      </c>
    </row>
    <row r="6275" spans="1:5" x14ac:dyDescent="0.2">
      <c r="A6275">
        <v>6214</v>
      </c>
      <c r="B6275" s="138">
        <f>'Acct Summary 7-8'!K82</f>
        <v>871750</v>
      </c>
      <c r="D6275" s="2" t="str">
        <f t="shared" si="97"/>
        <v>Error?</v>
      </c>
      <c r="E6275" s="2" t="s">
        <v>199</v>
      </c>
    </row>
    <row r="6276" spans="1:5" x14ac:dyDescent="0.2">
      <c r="A6276">
        <v>6215</v>
      </c>
      <c r="B6276" s="138">
        <f>'Acct Summary 7-8'!C83</f>
        <v>0.20126690964454547</v>
      </c>
      <c r="D6276" s="2" t="str">
        <f t="shared" si="97"/>
        <v>Error?</v>
      </c>
      <c r="E6276" s="2" t="s">
        <v>199</v>
      </c>
    </row>
    <row r="6277" spans="1:5" x14ac:dyDescent="0.2">
      <c r="A6277">
        <v>6216</v>
      </c>
      <c r="B6277" s="138">
        <f>'Acct Summary 7-8'!D83</f>
        <v>-1.4357619253117465E-2</v>
      </c>
      <c r="D6277" s="2" t="str">
        <f t="shared" si="97"/>
        <v>Error?</v>
      </c>
      <c r="E6277" s="2" t="s">
        <v>199</v>
      </c>
    </row>
    <row r="6278" spans="1:5" x14ac:dyDescent="0.2">
      <c r="A6278">
        <v>6217</v>
      </c>
      <c r="B6278" s="138">
        <f>'Acct Summary 7-8'!E83</f>
        <v>6.1913895335122496E-2</v>
      </c>
      <c r="D6278" s="2" t="str">
        <f t="shared" si="97"/>
        <v>Error?</v>
      </c>
      <c r="E6278" s="2" t="s">
        <v>199</v>
      </c>
    </row>
    <row r="6279" spans="1:5" x14ac:dyDescent="0.2">
      <c r="A6279">
        <v>6218</v>
      </c>
      <c r="B6279" s="138">
        <f>'Acct Summary 7-8'!F83</f>
        <v>0.1579192261048174</v>
      </c>
      <c r="D6279" s="2" t="str">
        <f t="shared" si="97"/>
        <v>Error?</v>
      </c>
      <c r="E6279" s="2" t="s">
        <v>199</v>
      </c>
    </row>
    <row r="6280" spans="1:5" x14ac:dyDescent="0.2">
      <c r="A6280">
        <v>6219</v>
      </c>
      <c r="B6280" s="138">
        <f>'Acct Summary 7-8'!G83</f>
        <v>0.13278142837670096</v>
      </c>
      <c r="D6280" s="2" t="str">
        <f t="shared" si="97"/>
        <v>Error?</v>
      </c>
      <c r="E6280" s="2" t="s">
        <v>199</v>
      </c>
    </row>
    <row r="6281" spans="1:5" x14ac:dyDescent="0.2">
      <c r="A6281">
        <v>6220</v>
      </c>
      <c r="B6281" s="138">
        <f>'Acct Summary 7-8'!H83</f>
        <v>-0.92053805467140981</v>
      </c>
      <c r="D6281" s="2" t="str">
        <f t="shared" si="97"/>
        <v>Error?</v>
      </c>
      <c r="E6281" s="2" t="s">
        <v>199</v>
      </c>
    </row>
    <row r="6282" spans="1:5" x14ac:dyDescent="0.2">
      <c r="A6282">
        <v>6221</v>
      </c>
      <c r="B6282" s="138">
        <f>'Acct Summary 7-8'!I83</f>
        <v>0.49234904716834427</v>
      </c>
      <c r="D6282" s="2" t="str">
        <f t="shared" si="97"/>
        <v>Error?</v>
      </c>
      <c r="E6282" s="2" t="s">
        <v>199</v>
      </c>
    </row>
    <row r="6283" spans="1:5" x14ac:dyDescent="0.2">
      <c r="A6283">
        <v>6222</v>
      </c>
      <c r="B6283" s="138">
        <f>'Acct Summary 7-8'!J83</f>
        <v>0.20862132685397058</v>
      </c>
      <c r="D6283" s="2" t="str">
        <f t="shared" si="97"/>
        <v>Error?</v>
      </c>
      <c r="E6283" s="2" t="s">
        <v>199</v>
      </c>
    </row>
    <row r="6284" spans="1:5" x14ac:dyDescent="0.2">
      <c r="A6284">
        <v>6223</v>
      </c>
      <c r="B6284" s="138">
        <f>'Acct Summary 7-8'!K83</f>
        <v>1</v>
      </c>
      <c r="D6284" s="2" t="str">
        <f t="shared" si="97"/>
        <v>Error?</v>
      </c>
      <c r="E6284" s="2" t="s">
        <v>199</v>
      </c>
    </row>
    <row r="6285" spans="1:5" x14ac:dyDescent="0.2">
      <c r="A6285">
        <v>6224</v>
      </c>
      <c r="B6285" s="138">
        <f>'Acct Summary 7-8'!E37</f>
        <v>34616</v>
      </c>
      <c r="D6285" s="2" t="str">
        <f t="shared" si="97"/>
        <v>Error?</v>
      </c>
      <c r="E6285" s="2" t="s">
        <v>199</v>
      </c>
    </row>
    <row r="6286" spans="1:5" x14ac:dyDescent="0.2">
      <c r="A6286">
        <v>6225</v>
      </c>
      <c r="B6286" s="138">
        <f>'Acct Summary 7-8'!E38</f>
        <v>4541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80665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80665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314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314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80979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66395</v>
      </c>
      <c r="D6880" s="2" t="str">
        <f t="shared" si="106"/>
        <v>Error?</v>
      </c>
    </row>
    <row r="6881" spans="1:4" x14ac:dyDescent="0.2">
      <c r="A6881">
        <v>6820</v>
      </c>
      <c r="B6881" s="138">
        <f>'Expenditures 15-22'!K22</f>
        <v>66395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527</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527</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527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307556</v>
      </c>
      <c r="D6983" s="2" t="str">
        <f t="shared" si="108"/>
        <v>Error?</v>
      </c>
    </row>
    <row r="6984" spans="1:4" x14ac:dyDescent="0.2">
      <c r="A6984">
        <v>6923</v>
      </c>
      <c r="B6984" s="138">
        <f>'Expenditures 15-22'!K86</f>
        <v>307556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307556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527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54448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80979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386697</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386697</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386697</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54448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54448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54448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54448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54448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54448</v>
      </c>
      <c r="D7224" s="2" t="str">
        <f t="shared" si="111"/>
        <v>Error?</v>
      </c>
    </row>
    <row r="7225" spans="1:4" x14ac:dyDescent="0.2">
      <c r="A7225">
        <v>7164</v>
      </c>
      <c r="B7225" s="138">
        <f>'Expenditures 15-22'!K343</f>
        <v>26531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387224</v>
      </c>
      <c r="D7624" s="2" t="str">
        <f t="shared" si="124"/>
        <v>Error?</v>
      </c>
      <c r="E7624" s="2" t="s">
        <v>19</v>
      </c>
    </row>
    <row r="7625" spans="1:5" x14ac:dyDescent="0.2">
      <c r="A7625">
        <f t="shared" si="123"/>
        <v>7564</v>
      </c>
      <c r="B7625" s="138">
        <f>'Cap Outlay Deprec 26'!I17</f>
        <v>38722.400000000001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600937.4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628179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1504832</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882962</v>
      </c>
      <c r="D7797" s="2" t="str">
        <f t="shared" si="127"/>
        <v>Error?</v>
      </c>
      <c r="E7797" s="4" t="s">
        <v>2020</v>
      </c>
    </row>
    <row r="7798" spans="1:5" x14ac:dyDescent="0.2">
      <c r="A7798">
        <v>7737</v>
      </c>
      <c r="B7798" s="138">
        <f>'Contracts Paid in CY 29'!F141</f>
        <v>157611</v>
      </c>
      <c r="D7798" s="2" t="str">
        <f t="shared" si="127"/>
        <v>Error?</v>
      </c>
      <c r="E7798" s="4" t="s">
        <v>2020</v>
      </c>
    </row>
    <row r="7799" spans="1:5" x14ac:dyDescent="0.2">
      <c r="A7799">
        <v>7738</v>
      </c>
      <c r="B7799" s="138">
        <f>'Contracts Paid in CY 29'!G141</f>
        <v>725351</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sqref="A1:D1"/>
    </sheetView>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411" t="s">
        <v>1253</v>
      </c>
      <c r="B2" s="2411"/>
      <c r="C2" s="2411"/>
      <c r="D2" s="2411"/>
      <c r="E2" s="2411"/>
      <c r="F2" s="2411"/>
      <c r="G2" s="2411"/>
      <c r="H2" s="2411"/>
      <c r="I2" s="2411"/>
      <c r="J2" s="2411"/>
      <c r="K2" s="2411"/>
      <c r="L2" s="2411"/>
    </row>
    <row r="3" spans="1:29" ht="13.5" customHeight="1" x14ac:dyDescent="0.2">
      <c r="A3" s="2397" t="s">
        <v>1252</v>
      </c>
      <c r="B3" s="2397"/>
      <c r="C3" s="2397"/>
      <c r="D3" s="2397"/>
      <c r="E3" s="2397"/>
      <c r="F3" s="2397"/>
      <c r="G3" s="2397"/>
      <c r="H3" s="2397"/>
      <c r="I3" s="2397"/>
      <c r="J3" s="2397"/>
      <c r="K3" s="2397"/>
      <c r="L3" s="2397"/>
    </row>
    <row r="4" spans="1:29" ht="13.5" customHeight="1" x14ac:dyDescent="0.2">
      <c r="A4" s="2411" t="s">
        <v>1799</v>
      </c>
      <c r="B4" s="2428"/>
      <c r="C4" s="2428"/>
      <c r="D4" s="2428"/>
      <c r="E4" s="2428"/>
      <c r="F4" s="2428"/>
      <c r="G4" s="2428"/>
      <c r="H4" s="2428"/>
      <c r="I4" s="2428"/>
      <c r="J4" s="2428"/>
      <c r="K4" s="2428"/>
      <c r="L4" s="2428"/>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1251</v>
      </c>
      <c r="B6" s="1175"/>
      <c r="C6" s="1176"/>
      <c r="D6" s="1176"/>
      <c r="E6" s="1177" t="s">
        <v>1250</v>
      </c>
      <c r="F6" s="1178"/>
      <c r="G6" s="1179" t="s">
        <v>1249</v>
      </c>
      <c r="H6" s="1176"/>
      <c r="I6" s="1176"/>
      <c r="J6" s="1176"/>
      <c r="K6" s="1176"/>
      <c r="L6" s="1180"/>
      <c r="V6" s="1173"/>
      <c r="W6" s="1173"/>
      <c r="X6" s="1173"/>
      <c r="Y6" s="1173"/>
      <c r="Z6" s="1173"/>
      <c r="AA6" s="1173"/>
      <c r="AB6" s="1173"/>
      <c r="AC6" s="1173"/>
    </row>
    <row r="7" spans="1:29" ht="16.5" customHeight="1" x14ac:dyDescent="0.2">
      <c r="A7" s="2391" t="str">
        <f>COVER!A17</f>
        <v>Benjamin SD 25</v>
      </c>
      <c r="B7" s="2392"/>
      <c r="C7" s="2392"/>
      <c r="D7" s="2429"/>
      <c r="E7" s="2430">
        <f>COVER!A13</f>
        <v>19022025002</v>
      </c>
      <c r="F7" s="2431"/>
      <c r="G7" s="2398">
        <f>COVER!T23</f>
        <v>66003412</v>
      </c>
      <c r="H7" s="2399"/>
      <c r="I7" s="2399"/>
      <c r="J7" s="2399"/>
      <c r="K7" s="2399"/>
      <c r="L7" s="2400"/>
    </row>
    <row r="8" spans="1:29" ht="13.5" customHeight="1" x14ac:dyDescent="0.2">
      <c r="A8" s="1174" t="s">
        <v>1597</v>
      </c>
      <c r="B8" s="1175"/>
      <c r="C8" s="1176"/>
      <c r="D8" s="1176"/>
      <c r="E8" s="1181"/>
      <c r="F8" s="1180"/>
      <c r="G8" s="1182" t="s">
        <v>1248</v>
      </c>
      <c r="H8" s="1183"/>
      <c r="I8" s="1183"/>
      <c r="J8" s="1183"/>
      <c r="K8" s="1183"/>
      <c r="L8" s="1184"/>
    </row>
    <row r="9" spans="1:29" ht="13.5" customHeight="1" x14ac:dyDescent="0.2">
      <c r="A9" s="2401"/>
      <c r="B9" s="2402"/>
      <c r="C9" s="2402"/>
      <c r="D9" s="2402"/>
      <c r="E9" s="2402"/>
      <c r="F9" s="2403"/>
      <c r="G9" s="2404" t="str">
        <f>COVER!T13</f>
        <v>Mathieson, Moyski, Austin &amp; Co. LLP</v>
      </c>
      <c r="H9" s="2405"/>
      <c r="I9" s="2405"/>
      <c r="J9" s="2405"/>
      <c r="K9" s="2405"/>
      <c r="L9" s="2406"/>
    </row>
    <row r="10" spans="1:29" ht="13.5" customHeight="1" x14ac:dyDescent="0.2">
      <c r="A10" s="2388">
        <f>COVER!A38</f>
        <v>0</v>
      </c>
      <c r="B10" s="2389"/>
      <c r="C10" s="2389"/>
      <c r="D10" s="2389"/>
      <c r="E10" s="2389"/>
      <c r="F10" s="2390"/>
      <c r="G10" s="2404" t="str">
        <f>COVER!T17</f>
        <v>211 South Wheaton Avenue, Suite 300</v>
      </c>
      <c r="H10" s="2417"/>
      <c r="I10" s="2417"/>
      <c r="J10" s="2417"/>
      <c r="K10" s="2417"/>
      <c r="L10" s="2418"/>
    </row>
    <row r="11" spans="1:29" ht="13.5" customHeight="1" x14ac:dyDescent="0.2">
      <c r="A11" s="1174" t="s">
        <v>1599</v>
      </c>
      <c r="B11" s="1175"/>
      <c r="C11" s="1176"/>
      <c r="D11" s="1181"/>
      <c r="E11" s="1176"/>
      <c r="F11" s="1180"/>
      <c r="G11" s="2404" t="str">
        <f>COVER!T19</f>
        <v>Wheaton</v>
      </c>
      <c r="H11" s="2417"/>
      <c r="I11" s="2417"/>
      <c r="J11" s="2417"/>
      <c r="K11" s="2417"/>
      <c r="L11" s="2418"/>
    </row>
    <row r="12" spans="1:29" ht="13.5" customHeight="1" x14ac:dyDescent="0.2">
      <c r="A12" s="2422" t="s">
        <v>1598</v>
      </c>
      <c r="B12" s="2423"/>
      <c r="C12" s="2423"/>
      <c r="D12" s="2423"/>
      <c r="E12" s="2423"/>
      <c r="F12" s="2424"/>
      <c r="G12" s="2419"/>
      <c r="H12" s="2420"/>
      <c r="I12" s="2420"/>
      <c r="J12" s="2420"/>
      <c r="K12" s="2420"/>
      <c r="L12" s="2421"/>
    </row>
    <row r="13" spans="1:29" ht="13.5" customHeight="1" x14ac:dyDescent="0.2">
      <c r="A13" s="2404"/>
      <c r="B13" s="2417"/>
      <c r="C13" s="2417"/>
      <c r="D13" s="2417"/>
      <c r="E13" s="2417"/>
      <c r="F13" s="2418"/>
      <c r="G13" s="2412" t="s">
        <v>1600</v>
      </c>
      <c r="H13" s="2413"/>
      <c r="I13" s="2425" t="str">
        <f>COVER!T25</f>
        <v>mmoyski@mmaadvisors.com</v>
      </c>
      <c r="J13" s="2426"/>
      <c r="K13" s="2426"/>
      <c r="L13" s="2427"/>
    </row>
    <row r="14" spans="1:29" ht="13.5" customHeight="1" x14ac:dyDescent="0.2">
      <c r="A14" s="2404" t="str">
        <f>COVER!A19</f>
        <v>28W250 St. Charles Road</v>
      </c>
      <c r="B14" s="2417"/>
      <c r="C14" s="2417"/>
      <c r="D14" s="2417"/>
      <c r="E14" s="2417"/>
      <c r="F14" s="2418"/>
      <c r="G14" s="1185" t="s">
        <v>1247</v>
      </c>
      <c r="H14" s="1183"/>
      <c r="I14" s="1183"/>
      <c r="J14" s="1183"/>
      <c r="K14" s="1183"/>
      <c r="L14" s="1184"/>
    </row>
    <row r="15" spans="1:29" ht="13.5" customHeight="1" x14ac:dyDescent="0.2">
      <c r="A15" s="2404" t="str">
        <f>COVER!A21</f>
        <v>West Chicago</v>
      </c>
      <c r="B15" s="2417"/>
      <c r="C15" s="2417"/>
      <c r="D15" s="2417"/>
      <c r="E15" s="2417"/>
      <c r="F15" s="2418"/>
      <c r="G15" s="2414" t="str">
        <f>COVER!T15</f>
        <v>Michael Moyski</v>
      </c>
      <c r="H15" s="2415"/>
      <c r="I15" s="2415"/>
      <c r="J15" s="2415"/>
      <c r="K15" s="2415"/>
      <c r="L15" s="2416"/>
    </row>
    <row r="16" spans="1:29" ht="12.2" customHeight="1" x14ac:dyDescent="0.2">
      <c r="A16" s="2394">
        <f>COVER!A25</f>
        <v>60185</v>
      </c>
      <c r="B16" s="2395"/>
      <c r="C16" s="2395"/>
      <c r="D16" s="2395"/>
      <c r="E16" s="2395"/>
      <c r="F16" s="2396"/>
      <c r="G16" s="2407"/>
      <c r="H16" s="2408"/>
      <c r="I16" s="2408"/>
      <c r="J16" s="2408"/>
      <c r="K16" s="2408"/>
      <c r="L16" s="2409"/>
    </row>
    <row r="17" spans="1:13" ht="12.2" customHeight="1" x14ac:dyDescent="0.2">
      <c r="A17" s="2410"/>
      <c r="B17" s="2395"/>
      <c r="C17" s="2395"/>
      <c r="D17" s="2395"/>
      <c r="E17" s="2395"/>
      <c r="F17" s="2396"/>
      <c r="G17" s="1185" t="s">
        <v>1246</v>
      </c>
      <c r="H17" s="1183"/>
      <c r="I17" s="1183"/>
      <c r="J17" s="1183"/>
      <c r="K17" s="1187" t="s">
        <v>1245</v>
      </c>
      <c r="L17" s="1180"/>
      <c r="M17" s="1173"/>
    </row>
    <row r="18" spans="1:13" ht="12.2" customHeight="1" x14ac:dyDescent="0.2">
      <c r="A18" s="2388"/>
      <c r="B18" s="2389"/>
      <c r="C18" s="2389"/>
      <c r="D18" s="2389"/>
      <c r="E18" s="2389"/>
      <c r="F18" s="2390"/>
      <c r="G18" s="2391" t="str">
        <f>COVER!T21</f>
        <v>630-653-1616</v>
      </c>
      <c r="H18" s="2392"/>
      <c r="I18" s="2392"/>
      <c r="J18" s="2392"/>
      <c r="K18" s="2391" t="str">
        <f>COVER!X21</f>
        <v>630-653-1735</v>
      </c>
      <c r="L18" s="2393"/>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1231</v>
      </c>
      <c r="K20" s="1166" t="s">
        <v>1231</v>
      </c>
    </row>
    <row r="21" spans="1:13" ht="12.2" customHeight="1" x14ac:dyDescent="0.2">
      <c r="A21" s="1189" t="s">
        <v>1800</v>
      </c>
    </row>
    <row r="22" spans="1:13" ht="12.2" customHeight="1" x14ac:dyDescent="0.2">
      <c r="A22" s="1190"/>
    </row>
    <row r="23" spans="1:13" ht="12.2" customHeight="1" x14ac:dyDescent="0.2">
      <c r="A23" s="1190"/>
      <c r="B23" s="1191"/>
      <c r="C23" s="1192" t="s">
        <v>1244</v>
      </c>
    </row>
    <row r="24" spans="1:13" ht="10.15" customHeight="1" x14ac:dyDescent="0.2">
      <c r="A24" s="1190"/>
      <c r="C24" s="1192" t="s">
        <v>1243</v>
      </c>
    </row>
    <row r="25" spans="1:13" ht="9" customHeight="1" x14ac:dyDescent="0.2">
      <c r="B25" s="1193" t="s">
        <v>1231</v>
      </c>
      <c r="C25" s="1194"/>
    </row>
    <row r="26" spans="1:13" s="1188" customFormat="1" ht="12.2" customHeight="1" x14ac:dyDescent="0.2">
      <c r="B26" s="1191"/>
      <c r="C26" s="1192" t="s">
        <v>1801</v>
      </c>
    </row>
    <row r="27" spans="1:13" s="1188" customFormat="1" ht="9" customHeight="1" x14ac:dyDescent="0.2">
      <c r="B27" s="1193"/>
      <c r="C27" s="1192"/>
    </row>
    <row r="28" spans="1:13" s="1188" customFormat="1" ht="12.2" customHeight="1" x14ac:dyDescent="0.2">
      <c r="A28" s="1195"/>
      <c r="B28" s="1191"/>
      <c r="C28" s="1192" t="s">
        <v>1802</v>
      </c>
    </row>
    <row r="29" spans="1:13" s="1188" customFormat="1" ht="9" customHeight="1" x14ac:dyDescent="0.2">
      <c r="A29" s="1195"/>
      <c r="B29" s="1193"/>
      <c r="C29" s="1192"/>
    </row>
    <row r="30" spans="1:13" s="1188" customFormat="1" ht="12.2" customHeight="1" x14ac:dyDescent="0.2">
      <c r="B30" s="1191"/>
      <c r="C30" s="1192" t="s">
        <v>1643</v>
      </c>
      <c r="D30" s="1186"/>
      <c r="E30" s="1186"/>
    </row>
    <row r="31" spans="1:13" s="1188" customFormat="1" ht="9" customHeight="1" x14ac:dyDescent="0.2">
      <c r="B31" s="1193"/>
      <c r="C31" s="1192"/>
      <c r="D31" s="1186"/>
      <c r="E31" s="1186"/>
    </row>
    <row r="32" spans="1:13" s="1188" customFormat="1" ht="12.2" customHeight="1" x14ac:dyDescent="0.2">
      <c r="B32" s="1191"/>
      <c r="C32" s="1192" t="s">
        <v>1644</v>
      </c>
      <c r="D32" s="1186"/>
      <c r="E32" s="1186"/>
    </row>
    <row r="33" spans="1:8" s="1188" customFormat="1" ht="10.9" customHeight="1" x14ac:dyDescent="0.2">
      <c r="B33" s="1193"/>
      <c r="C33" s="1196" t="s">
        <v>1803</v>
      </c>
      <c r="D33" s="1186"/>
      <c r="E33" s="1186"/>
    </row>
    <row r="34" spans="1:8" ht="9" customHeight="1" x14ac:dyDescent="0.2">
      <c r="B34" s="1193"/>
      <c r="C34" s="1196"/>
    </row>
    <row r="35" spans="1:8" s="1188" customFormat="1" ht="13.5" customHeight="1" x14ac:dyDescent="0.2">
      <c r="B35" s="1191"/>
      <c r="C35" s="1192" t="s">
        <v>1645</v>
      </c>
    </row>
    <row r="36" spans="1:8" s="1188" customFormat="1" ht="10.9" customHeight="1" x14ac:dyDescent="0.2">
      <c r="B36" s="1193"/>
      <c r="C36" s="1196" t="s">
        <v>1646</v>
      </c>
    </row>
    <row r="37" spans="1:8" ht="9" customHeight="1" x14ac:dyDescent="0.2">
      <c r="B37" s="1193"/>
      <c r="C37" s="1196"/>
    </row>
    <row r="38" spans="1:8" s="1188" customFormat="1" ht="12.2" customHeight="1" x14ac:dyDescent="0.2">
      <c r="B38" s="1191"/>
      <c r="C38" s="1192" t="s">
        <v>1647</v>
      </c>
    </row>
    <row r="39" spans="1:8" ht="9" customHeight="1" x14ac:dyDescent="0.2">
      <c r="B39" s="1193"/>
      <c r="C39" s="1196"/>
    </row>
    <row r="40" spans="1:8" s="1188" customFormat="1" ht="13.5" customHeight="1" x14ac:dyDescent="0.2">
      <c r="B40" s="1191"/>
      <c r="C40" s="1192" t="s">
        <v>1648</v>
      </c>
    </row>
    <row r="41" spans="1:8" ht="9" customHeight="1" x14ac:dyDescent="0.2">
      <c r="A41" s="1197"/>
      <c r="B41" s="1193"/>
      <c r="C41" s="1196"/>
    </row>
    <row r="42" spans="1:8" s="1188" customFormat="1" ht="13.5" customHeight="1" x14ac:dyDescent="0.2">
      <c r="B42" s="1191"/>
      <c r="C42" s="1192" t="s">
        <v>1947</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1242</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1649</v>
      </c>
      <c r="D46" s="1186"/>
      <c r="E46" s="1186"/>
      <c r="F46" s="1186"/>
      <c r="G46" s="1186"/>
      <c r="H46" s="1186"/>
    </row>
    <row r="47" spans="1:8" ht="9" customHeight="1" x14ac:dyDescent="0.2"/>
    <row r="48" spans="1:8" ht="12.2" customHeight="1" x14ac:dyDescent="0.2">
      <c r="B48" s="1200"/>
      <c r="C48" s="1201" t="s">
        <v>1650</v>
      </c>
    </row>
    <row r="49" spans="1:12" ht="9" customHeight="1" x14ac:dyDescent="0.2"/>
    <row r="50" spans="1:12" ht="6" customHeight="1" x14ac:dyDescent="0.2">
      <c r="C50" s="1201"/>
    </row>
    <row r="51" spans="1:12" ht="12.2" customHeight="1" x14ac:dyDescent="0.2">
      <c r="A51" s="1203" t="s">
        <v>1804</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432" t="str">
        <f>'Single Audit Cover'!A7</f>
        <v>Benjamin SD 25</v>
      </c>
      <c r="B1" s="2428"/>
      <c r="C1" s="2428"/>
      <c r="D1" s="2428"/>
    </row>
    <row r="2" spans="1:11" s="1204" customFormat="1" ht="12.75" x14ac:dyDescent="0.2">
      <c r="A2" s="2433">
        <f>'Single Audit Cover'!E7</f>
        <v>19022025002</v>
      </c>
      <c r="B2" s="2434"/>
      <c r="C2" s="2434"/>
      <c r="D2" s="2434"/>
    </row>
    <row r="3" spans="1:11" s="1204" customFormat="1" ht="12.75" x14ac:dyDescent="0.2">
      <c r="A3" s="2432" t="s">
        <v>1593</v>
      </c>
      <c r="B3" s="2428"/>
      <c r="C3" s="2428"/>
      <c r="D3" s="2428"/>
    </row>
    <row r="4" spans="1:11" s="1204" customFormat="1" ht="4.5" customHeight="1" x14ac:dyDescent="0.2">
      <c r="A4" s="1205"/>
      <c r="B4" s="1206"/>
      <c r="C4" s="1206"/>
      <c r="D4" s="1206"/>
    </row>
    <row r="5" spans="1:11" x14ac:dyDescent="0.2">
      <c r="B5" s="1208" t="s">
        <v>1594</v>
      </c>
      <c r="C5" s="1209"/>
      <c r="D5" s="1210"/>
    </row>
    <row r="6" spans="1:11" x14ac:dyDescent="0.2">
      <c r="B6" s="1208" t="s">
        <v>1287</v>
      </c>
      <c r="C6" s="1209"/>
      <c r="D6" s="1210"/>
    </row>
    <row r="7" spans="1:11" x14ac:dyDescent="0.2">
      <c r="B7" s="1208" t="s">
        <v>1595</v>
      </c>
      <c r="C7" s="1209"/>
      <c r="D7" s="1210"/>
    </row>
    <row r="8" spans="1:11" ht="4.5" customHeight="1" x14ac:dyDescent="0.2">
      <c r="B8" s="1208"/>
      <c r="C8" s="1209"/>
      <c r="D8" s="1210"/>
    </row>
    <row r="9" spans="1:11" x14ac:dyDescent="0.2">
      <c r="B9" s="1212" t="s">
        <v>1286</v>
      </c>
      <c r="C9" s="1213"/>
      <c r="D9" s="1210"/>
    </row>
    <row r="10" spans="1:11" ht="4.5" customHeight="1" x14ac:dyDescent="0.2">
      <c r="B10" s="1212"/>
      <c r="C10" s="1213"/>
      <c r="D10" s="1210"/>
    </row>
    <row r="11" spans="1:11" x14ac:dyDescent="0.2">
      <c r="B11" s="1214"/>
      <c r="C11" s="1215">
        <v>1</v>
      </c>
      <c r="D11" s="1216" t="s">
        <v>1805</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1806</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1807</v>
      </c>
      <c r="E15" s="1217"/>
      <c r="F15" s="1217"/>
      <c r="G15" s="1217"/>
      <c r="H15" s="1217"/>
      <c r="I15" s="1217"/>
      <c r="J15" s="1217"/>
      <c r="K15" s="1217"/>
    </row>
    <row r="16" spans="1:11" ht="10.5" customHeight="1" x14ac:dyDescent="0.2">
      <c r="B16" s="1220"/>
      <c r="D16" s="1219" t="s">
        <v>1285</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1808</v>
      </c>
      <c r="E18" s="1217"/>
      <c r="F18" s="1217"/>
      <c r="G18" s="1217"/>
      <c r="H18" s="1217"/>
      <c r="I18" s="1217"/>
      <c r="J18" s="1217"/>
      <c r="K18" s="1217"/>
    </row>
    <row r="19" spans="1:11" ht="9.75" customHeight="1" x14ac:dyDescent="0.2">
      <c r="A19" s="1211"/>
      <c r="B19" s="1220"/>
      <c r="D19" s="1219" t="s">
        <v>1284</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1283</v>
      </c>
      <c r="E21" s="1217"/>
      <c r="F21" s="1217"/>
      <c r="G21" s="1217"/>
      <c r="H21" s="1217"/>
      <c r="I21" s="1217"/>
      <c r="J21" s="1217"/>
      <c r="K21" s="1217"/>
    </row>
    <row r="22" spans="1:11" ht="10.5" customHeight="1" x14ac:dyDescent="0.2">
      <c r="A22" s="1211"/>
      <c r="B22" s="1220"/>
      <c r="D22" s="1219" t="s">
        <v>1282</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1829</v>
      </c>
      <c r="E24" s="1217"/>
      <c r="F24" s="1217"/>
      <c r="G24" s="1217"/>
      <c r="H24" s="1217"/>
      <c r="I24" s="1217"/>
      <c r="J24" s="1217"/>
      <c r="K24" s="1217"/>
    </row>
    <row r="25" spans="1:11" x14ac:dyDescent="0.2">
      <c r="A25" s="1211"/>
      <c r="B25" s="1220"/>
      <c r="D25" s="1219" t="s">
        <v>1809</v>
      </c>
      <c r="E25" s="1217"/>
      <c r="F25" s="1217"/>
      <c r="G25" s="1217"/>
      <c r="H25" s="1217"/>
      <c r="I25" s="1217"/>
      <c r="J25" s="1217"/>
      <c r="K25" s="1217"/>
    </row>
    <row r="26" spans="1:11" x14ac:dyDescent="0.2">
      <c r="A26" s="1211"/>
      <c r="B26" s="1220"/>
      <c r="D26" s="1224" t="s">
        <v>1810</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1651</v>
      </c>
      <c r="E28" s="1217"/>
      <c r="F28" s="1217"/>
      <c r="G28" s="1217"/>
      <c r="H28" s="1217"/>
      <c r="I28" s="1217"/>
      <c r="J28" s="1217"/>
      <c r="K28" s="1217"/>
    </row>
    <row r="29" spans="1:11" ht="10.5" customHeight="1" x14ac:dyDescent="0.2">
      <c r="A29" s="1211"/>
      <c r="D29" s="1225" t="s">
        <v>1652</v>
      </c>
    </row>
    <row r="30" spans="1:11" ht="6" customHeight="1" x14ac:dyDescent="0.2">
      <c r="A30" s="1211"/>
      <c r="D30" s="1210"/>
    </row>
    <row r="31" spans="1:11" x14ac:dyDescent="0.2">
      <c r="A31" s="1211"/>
      <c r="B31" s="1212" t="s">
        <v>1281</v>
      </c>
      <c r="C31" s="1213"/>
      <c r="D31" s="1210"/>
    </row>
    <row r="32" spans="1:11" ht="4.5" customHeight="1" x14ac:dyDescent="0.2">
      <c r="A32" s="1211"/>
      <c r="B32" s="1212"/>
      <c r="C32" s="1213"/>
      <c r="D32" s="1210"/>
    </row>
    <row r="33" spans="1:5" x14ac:dyDescent="0.2">
      <c r="A33" s="1211"/>
      <c r="B33" s="1214"/>
      <c r="C33" s="1215">
        <v>8</v>
      </c>
      <c r="D33" s="1226" t="s">
        <v>1280</v>
      </c>
    </row>
    <row r="34" spans="1:5" ht="10.5" customHeight="1" x14ac:dyDescent="0.2">
      <c r="A34" s="1211"/>
      <c r="B34" s="1227"/>
      <c r="C34" s="1215"/>
      <c r="D34" s="1226" t="s">
        <v>1653</v>
      </c>
    </row>
    <row r="35" spans="1:5" ht="3" customHeight="1" x14ac:dyDescent="0.2">
      <c r="A35" s="1211"/>
      <c r="B35" s="1220"/>
      <c r="D35" s="1210"/>
    </row>
    <row r="36" spans="1:5" x14ac:dyDescent="0.2">
      <c r="A36" s="1211"/>
      <c r="B36" s="1214"/>
      <c r="C36" s="1215">
        <f>C33+1</f>
        <v>9</v>
      </c>
      <c r="D36" s="1226" t="s">
        <v>1279</v>
      </c>
    </row>
    <row r="37" spans="1:5" ht="10.5" customHeight="1" x14ac:dyDescent="0.2">
      <c r="A37" s="1211"/>
      <c r="B37" s="1220"/>
      <c r="D37" s="1226" t="s">
        <v>1653</v>
      </c>
    </row>
    <row r="38" spans="1:5" ht="3" customHeight="1" x14ac:dyDescent="0.2">
      <c r="A38" s="1211"/>
      <c r="B38" s="1228"/>
      <c r="C38" s="1229"/>
      <c r="D38" s="1210"/>
    </row>
    <row r="39" spans="1:5" x14ac:dyDescent="0.2">
      <c r="A39" s="1211"/>
      <c r="B39" s="1230"/>
      <c r="C39" s="1221">
        <f>C36+1</f>
        <v>10</v>
      </c>
      <c r="D39" s="1210" t="s">
        <v>1278</v>
      </c>
    </row>
    <row r="40" spans="1:5" ht="10.5" customHeight="1" x14ac:dyDescent="0.2">
      <c r="A40" s="1211"/>
      <c r="B40" s="1231"/>
      <c r="C40" s="1229"/>
      <c r="D40" s="1210" t="s">
        <v>1654</v>
      </c>
    </row>
    <row r="41" spans="1:5" ht="3" customHeight="1" x14ac:dyDescent="0.2">
      <c r="A41" s="1211"/>
      <c r="B41" s="1228"/>
      <c r="C41" s="1229"/>
      <c r="D41" s="1210"/>
    </row>
    <row r="42" spans="1:5" ht="10.5" customHeight="1" x14ac:dyDescent="0.2">
      <c r="A42" s="1211"/>
      <c r="B42" s="1230"/>
      <c r="C42" s="1221">
        <v>11</v>
      </c>
      <c r="D42" s="1232" t="s">
        <v>1655</v>
      </c>
      <c r="E42" s="312"/>
    </row>
    <row r="43" spans="1:5" ht="3" customHeight="1" x14ac:dyDescent="0.2">
      <c r="A43" s="1211"/>
      <c r="B43" s="1228"/>
      <c r="C43" s="1229"/>
      <c r="D43" s="1210"/>
    </row>
    <row r="44" spans="1:5" x14ac:dyDescent="0.2">
      <c r="A44" s="1211"/>
      <c r="B44" s="1214"/>
      <c r="C44" s="1215">
        <f>C42+1</f>
        <v>12</v>
      </c>
      <c r="D44" s="1226" t="s">
        <v>1277</v>
      </c>
    </row>
    <row r="45" spans="1:5" ht="10.5" customHeight="1" x14ac:dyDescent="0.2">
      <c r="A45" s="1211"/>
      <c r="B45" s="1227"/>
      <c r="C45" s="1215"/>
      <c r="D45" s="1226" t="s">
        <v>1276</v>
      </c>
    </row>
    <row r="46" spans="1:5" ht="10.5" customHeight="1" x14ac:dyDescent="0.2">
      <c r="A46" s="1211"/>
      <c r="B46" s="1228"/>
      <c r="C46" s="1229"/>
      <c r="D46" s="1226" t="s">
        <v>1275</v>
      </c>
    </row>
    <row r="47" spans="1:5" ht="3" customHeight="1" x14ac:dyDescent="0.2">
      <c r="A47" s="1211"/>
      <c r="B47" s="1228"/>
      <c r="C47" s="1229"/>
      <c r="D47" s="1226"/>
    </row>
    <row r="48" spans="1:5" x14ac:dyDescent="0.2">
      <c r="A48" s="1211"/>
      <c r="B48" s="1214"/>
      <c r="C48" s="1215">
        <f>C44+1</f>
        <v>13</v>
      </c>
      <c r="D48" s="1226" t="s">
        <v>1656</v>
      </c>
    </row>
    <row r="49" spans="1:4" ht="3" customHeight="1" x14ac:dyDescent="0.2">
      <c r="A49" s="1211"/>
      <c r="B49" s="1218"/>
      <c r="C49" s="1215"/>
      <c r="D49" s="1226"/>
    </row>
    <row r="50" spans="1:4" x14ac:dyDescent="0.2">
      <c r="A50" s="1211"/>
      <c r="B50" s="1214"/>
      <c r="C50" s="1215">
        <f>C48+1</f>
        <v>14</v>
      </c>
      <c r="D50" s="1226" t="s">
        <v>1274</v>
      </c>
    </row>
    <row r="51" spans="1:4" ht="3" customHeight="1" x14ac:dyDescent="0.2">
      <c r="A51" s="1211"/>
      <c r="B51" s="1218"/>
      <c r="C51" s="1215"/>
      <c r="D51" s="1226"/>
    </row>
    <row r="52" spans="1:4" x14ac:dyDescent="0.2">
      <c r="A52" s="1211"/>
      <c r="B52" s="1214"/>
      <c r="C52" s="1215">
        <f>C50+1</f>
        <v>15</v>
      </c>
      <c r="D52" s="1226" t="s">
        <v>1273</v>
      </c>
    </row>
    <row r="53" spans="1:4" ht="3" customHeight="1" x14ac:dyDescent="0.2">
      <c r="A53" s="1211"/>
      <c r="B53" s="1218"/>
      <c r="C53" s="1215"/>
      <c r="D53" s="1226"/>
    </row>
    <row r="54" spans="1:4" x14ac:dyDescent="0.2">
      <c r="A54" s="1211"/>
      <c r="B54" s="1214"/>
      <c r="C54" s="1215">
        <f>C52+1</f>
        <v>16</v>
      </c>
      <c r="D54" s="1226" t="s">
        <v>1272</v>
      </c>
    </row>
    <row r="55" spans="1:4" ht="3" customHeight="1" x14ac:dyDescent="0.2">
      <c r="A55" s="1211"/>
      <c r="B55" s="1218"/>
      <c r="C55" s="1215"/>
      <c r="D55" s="1226"/>
    </row>
    <row r="56" spans="1:4" x14ac:dyDescent="0.2">
      <c r="A56" s="1211"/>
      <c r="B56" s="1214"/>
      <c r="C56" s="1215">
        <f>C54+1</f>
        <v>17</v>
      </c>
      <c r="D56" s="1210" t="s">
        <v>1811</v>
      </c>
    </row>
    <row r="57" spans="1:4" ht="10.5" customHeight="1" x14ac:dyDescent="0.2">
      <c r="A57" s="1211"/>
      <c r="D57" s="1226" t="s">
        <v>1812</v>
      </c>
    </row>
    <row r="58" spans="1:4" x14ac:dyDescent="0.2">
      <c r="A58" s="1211"/>
      <c r="C58" s="1233"/>
      <c r="D58" s="1226" t="s">
        <v>1813</v>
      </c>
    </row>
    <row r="59" spans="1:4" ht="10.5" customHeight="1" x14ac:dyDescent="0.2">
      <c r="A59" s="1211"/>
      <c r="D59" s="1210" t="s">
        <v>1271</v>
      </c>
    </row>
    <row r="60" spans="1:4" ht="10.5" customHeight="1" x14ac:dyDescent="0.2">
      <c r="A60" s="1211"/>
      <c r="D60" s="1234" t="s">
        <v>1681</v>
      </c>
    </row>
    <row r="61" spans="1:4" ht="10.5" customHeight="1" x14ac:dyDescent="0.2">
      <c r="A61" s="1211"/>
      <c r="C61" s="1233"/>
      <c r="D61" s="1226" t="s">
        <v>1814</v>
      </c>
    </row>
    <row r="62" spans="1:4" ht="10.5" customHeight="1" x14ac:dyDescent="0.2">
      <c r="A62" s="1211"/>
      <c r="D62" s="1235" t="s">
        <v>1270</v>
      </c>
    </row>
    <row r="63" spans="1:4" ht="10.5" customHeight="1" x14ac:dyDescent="0.2">
      <c r="A63" s="1211"/>
      <c r="D63" s="1210" t="s">
        <v>1657</v>
      </c>
    </row>
    <row r="64" spans="1:4" ht="10.5" customHeight="1" x14ac:dyDescent="0.2">
      <c r="A64" s="1211"/>
      <c r="D64" s="1234" t="s">
        <v>1680</v>
      </c>
    </row>
    <row r="65" spans="1:4" x14ac:dyDescent="0.2">
      <c r="A65" s="1211"/>
      <c r="C65" s="1233"/>
      <c r="D65" s="1226" t="s">
        <v>1815</v>
      </c>
    </row>
    <row r="66" spans="1:4" ht="10.5" customHeight="1" x14ac:dyDescent="0.2">
      <c r="A66" s="1211"/>
      <c r="D66" s="1236" t="s">
        <v>1269</v>
      </c>
    </row>
    <row r="67" spans="1:4" ht="10.5" customHeight="1" x14ac:dyDescent="0.2">
      <c r="A67" s="1211"/>
      <c r="D67" s="1210" t="s">
        <v>1658</v>
      </c>
    </row>
    <row r="68" spans="1:4" ht="10.5" customHeight="1" x14ac:dyDescent="0.2">
      <c r="A68" s="1211"/>
      <c r="D68" s="1234" t="s">
        <v>1680</v>
      </c>
    </row>
    <row r="69" spans="1:4" ht="10.5" customHeight="1" x14ac:dyDescent="0.2">
      <c r="A69" s="1211"/>
      <c r="C69" s="1233"/>
      <c r="D69" s="1226" t="s">
        <v>1816</v>
      </c>
    </row>
    <row r="70" spans="1:4" x14ac:dyDescent="0.2">
      <c r="A70" s="1211"/>
      <c r="D70" s="1235" t="s">
        <v>1268</v>
      </c>
    </row>
    <row r="71" spans="1:4" ht="3" customHeight="1" x14ac:dyDescent="0.2">
      <c r="A71" s="1211"/>
      <c r="D71" s="1210"/>
    </row>
    <row r="72" spans="1:4" x14ac:dyDescent="0.2">
      <c r="A72" s="1211"/>
      <c r="B72" s="1214"/>
      <c r="C72" s="1215">
        <f>C56+1</f>
        <v>18</v>
      </c>
      <c r="D72" s="1236" t="s">
        <v>1817</v>
      </c>
    </row>
    <row r="73" spans="1:4" ht="3" customHeight="1" x14ac:dyDescent="0.2">
      <c r="A73" s="1211"/>
      <c r="B73" s="1218"/>
      <c r="C73" s="1215"/>
      <c r="D73" s="1236"/>
    </row>
    <row r="74" spans="1:4" x14ac:dyDescent="0.2">
      <c r="A74" s="1211"/>
      <c r="B74" s="1214"/>
      <c r="C74" s="1215">
        <f>C72+1</f>
        <v>19</v>
      </c>
      <c r="D74" s="1226" t="s">
        <v>1267</v>
      </c>
    </row>
    <row r="75" spans="1:4" ht="3" customHeight="1" x14ac:dyDescent="0.2">
      <c r="A75" s="1211"/>
      <c r="B75" s="1218"/>
      <c r="C75" s="1215"/>
      <c r="D75" s="1226"/>
    </row>
    <row r="76" spans="1:4" x14ac:dyDescent="0.2">
      <c r="A76" s="1211"/>
      <c r="B76" s="1214"/>
      <c r="C76" s="1215">
        <f>C74+1</f>
        <v>20</v>
      </c>
      <c r="D76" s="1237" t="s">
        <v>1818</v>
      </c>
    </row>
    <row r="77" spans="1:4" ht="3" customHeight="1" x14ac:dyDescent="0.2">
      <c r="A77" s="1211"/>
      <c r="B77" s="1218"/>
      <c r="C77" s="1215"/>
      <c r="D77" s="1237"/>
    </row>
    <row r="78" spans="1:4" x14ac:dyDescent="0.2">
      <c r="A78" s="1211"/>
      <c r="B78" s="1214"/>
      <c r="C78" s="1215">
        <f>C76+1</f>
        <v>21</v>
      </c>
      <c r="D78" s="1210" t="s">
        <v>1819</v>
      </c>
    </row>
    <row r="79" spans="1:4" ht="3" customHeight="1" x14ac:dyDescent="0.2">
      <c r="A79" s="1211"/>
      <c r="B79" s="1218"/>
      <c r="C79" s="1215"/>
      <c r="D79" s="1210"/>
    </row>
    <row r="80" spans="1:4" x14ac:dyDescent="0.2">
      <c r="A80" s="1211"/>
      <c r="B80" s="1214"/>
      <c r="C80" s="1215">
        <f>C78+1</f>
        <v>22</v>
      </c>
      <c r="D80" s="1238" t="s">
        <v>1820</v>
      </c>
    </row>
    <row r="81" spans="1:4" ht="3" customHeight="1" x14ac:dyDescent="0.2">
      <c r="A81" s="1211"/>
      <c r="B81" s="1218"/>
      <c r="C81" s="1215"/>
      <c r="D81" s="1238"/>
    </row>
    <row r="82" spans="1:4" x14ac:dyDescent="0.2">
      <c r="A82" s="1211"/>
      <c r="B82" s="1214"/>
      <c r="C82" s="1215">
        <f>C80+1</f>
        <v>23</v>
      </c>
      <c r="D82" s="1237" t="s">
        <v>1821</v>
      </c>
    </row>
    <row r="83" spans="1:4" ht="10.5" customHeight="1" x14ac:dyDescent="0.2">
      <c r="A83" s="1211"/>
      <c r="B83" s="1220"/>
      <c r="D83" s="1226" t="s">
        <v>1266</v>
      </c>
    </row>
    <row r="84" spans="1:4" ht="3" customHeight="1" x14ac:dyDescent="0.2">
      <c r="A84" s="1211"/>
      <c r="B84" s="1220"/>
      <c r="D84" s="1226"/>
    </row>
    <row r="85" spans="1:4" x14ac:dyDescent="0.2">
      <c r="A85" s="1211"/>
      <c r="B85" s="1214"/>
      <c r="C85" s="1215">
        <f>C82+1</f>
        <v>24</v>
      </c>
      <c r="D85" s="1226" t="s">
        <v>1265</v>
      </c>
    </row>
    <row r="86" spans="1:4" ht="3" customHeight="1" x14ac:dyDescent="0.2">
      <c r="A86" s="1211"/>
      <c r="B86" s="1218"/>
      <c r="C86" s="1215"/>
      <c r="D86" s="1226"/>
    </row>
    <row r="87" spans="1:4" x14ac:dyDescent="0.2">
      <c r="A87" s="1211"/>
      <c r="B87" s="1214"/>
      <c r="C87" s="1215">
        <f>C85+1</f>
        <v>25</v>
      </c>
      <c r="D87" s="1226" t="s">
        <v>1264</v>
      </c>
    </row>
    <row r="88" spans="1:4" ht="3" customHeight="1" x14ac:dyDescent="0.2">
      <c r="A88" s="1211"/>
      <c r="B88" s="1218"/>
      <c r="C88" s="1215"/>
      <c r="D88" s="1226"/>
    </row>
    <row r="89" spans="1:4" x14ac:dyDescent="0.2">
      <c r="A89" s="1211"/>
      <c r="B89" s="1214"/>
      <c r="C89" s="1215">
        <f>C87+1</f>
        <v>26</v>
      </c>
      <c r="D89" s="1226" t="s">
        <v>1263</v>
      </c>
    </row>
    <row r="90" spans="1:4" ht="3" customHeight="1" x14ac:dyDescent="0.2">
      <c r="A90" s="1211"/>
      <c r="B90" s="1218"/>
      <c r="C90" s="1215"/>
      <c r="D90" s="1226"/>
    </row>
    <row r="91" spans="1:4" x14ac:dyDescent="0.2">
      <c r="A91" s="1211"/>
      <c r="B91" s="1214"/>
      <c r="C91" s="1215">
        <f>C89+1</f>
        <v>27</v>
      </c>
      <c r="D91" s="1226" t="s">
        <v>1822</v>
      </c>
    </row>
    <row r="92" spans="1:4" x14ac:dyDescent="0.2">
      <c r="A92" s="1211"/>
      <c r="B92" s="1239"/>
      <c r="C92" s="1233"/>
      <c r="D92" s="1226" t="s">
        <v>1262</v>
      </c>
    </row>
    <row r="93" spans="1:4" ht="4.5" customHeight="1" x14ac:dyDescent="0.2">
      <c r="A93" s="1211"/>
      <c r="D93" s="1210"/>
    </row>
    <row r="94" spans="1:4" x14ac:dyDescent="0.2">
      <c r="A94" s="1211"/>
      <c r="B94" s="1212" t="s">
        <v>1659</v>
      </c>
      <c r="C94" s="1213"/>
      <c r="D94" s="1210"/>
    </row>
    <row r="95" spans="1:4" ht="4.5" customHeight="1" x14ac:dyDescent="0.2">
      <c r="A95" s="1211"/>
      <c r="B95" s="1212"/>
      <c r="C95" s="1213"/>
      <c r="D95" s="1210"/>
    </row>
    <row r="96" spans="1:4" x14ac:dyDescent="0.2">
      <c r="A96" s="1211"/>
      <c r="B96" s="1214"/>
      <c r="C96" s="1215">
        <f>C91+1</f>
        <v>28</v>
      </c>
      <c r="D96" s="1226" t="s">
        <v>1823</v>
      </c>
    </row>
    <row r="97" spans="1:4" ht="3" customHeight="1" x14ac:dyDescent="0.2">
      <c r="A97" s="1211"/>
      <c r="B97" s="1218"/>
      <c r="C97" s="1215"/>
      <c r="D97" s="1226"/>
    </row>
    <row r="98" spans="1:4" x14ac:dyDescent="0.2">
      <c r="A98" s="1211"/>
      <c r="B98" s="1214"/>
      <c r="C98" s="1215">
        <f>C96+1</f>
        <v>29</v>
      </c>
      <c r="D98" s="1240" t="s">
        <v>1824</v>
      </c>
    </row>
    <row r="99" spans="1:4" ht="3" customHeight="1" x14ac:dyDescent="0.2">
      <c r="A99" s="1211"/>
      <c r="B99" s="1218"/>
      <c r="C99" s="1215"/>
      <c r="D99" s="1240"/>
    </row>
    <row r="100" spans="1:4" x14ac:dyDescent="0.2">
      <c r="A100" s="1211"/>
      <c r="B100" s="1214"/>
      <c r="C100" s="1215">
        <f>C98+1</f>
        <v>30</v>
      </c>
      <c r="D100" s="1226" t="s">
        <v>1825</v>
      </c>
    </row>
    <row r="101" spans="1:4" ht="3" customHeight="1" x14ac:dyDescent="0.2">
      <c r="A101" s="1211"/>
      <c r="B101" s="1218"/>
      <c r="C101" s="1215"/>
      <c r="D101" s="1241"/>
    </row>
    <row r="102" spans="1:4" x14ac:dyDescent="0.2">
      <c r="A102" s="1211"/>
      <c r="B102" s="1214"/>
      <c r="C102" s="1215">
        <f>C100+1</f>
        <v>31</v>
      </c>
      <c r="D102" s="1226" t="s">
        <v>1660</v>
      </c>
    </row>
    <row r="103" spans="1:4" ht="4.5" customHeight="1" x14ac:dyDescent="0.2">
      <c r="A103" s="1211"/>
      <c r="B103" s="312"/>
      <c r="C103" s="1215"/>
      <c r="D103" s="1226"/>
    </row>
    <row r="104" spans="1:4" ht="14.1" customHeight="1" x14ac:dyDescent="0.2">
      <c r="A104" s="1211"/>
      <c r="B104" s="1242" t="s">
        <v>1261</v>
      </c>
    </row>
    <row r="105" spans="1:4" ht="4.5" customHeight="1" x14ac:dyDescent="0.2">
      <c r="A105" s="1211"/>
      <c r="B105" s="1242"/>
    </row>
    <row r="106" spans="1:4" x14ac:dyDescent="0.2">
      <c r="A106" s="1211"/>
      <c r="B106" s="1214"/>
      <c r="C106" s="1215">
        <f>C102+1</f>
        <v>32</v>
      </c>
      <c r="D106" s="1210" t="s">
        <v>1661</v>
      </c>
    </row>
    <row r="107" spans="1:4" ht="3" customHeight="1" x14ac:dyDescent="0.2">
      <c r="A107" s="1211"/>
      <c r="B107" s="1218"/>
      <c r="C107" s="1215"/>
      <c r="D107" s="1210"/>
    </row>
    <row r="108" spans="1:4" x14ac:dyDescent="0.2">
      <c r="A108" s="1211"/>
      <c r="B108" s="1214"/>
      <c r="C108" s="1215">
        <v>33</v>
      </c>
      <c r="D108" s="1210" t="s">
        <v>1826</v>
      </c>
    </row>
    <row r="109" spans="1:4" ht="3" customHeight="1" x14ac:dyDescent="0.2">
      <c r="A109" s="1211"/>
      <c r="B109" s="1218"/>
      <c r="C109" s="1215"/>
      <c r="D109" s="1210"/>
    </row>
    <row r="110" spans="1:4" x14ac:dyDescent="0.2">
      <c r="A110" s="1211"/>
      <c r="B110" s="1214"/>
      <c r="C110" s="1215">
        <f>C108+1</f>
        <v>34</v>
      </c>
      <c r="D110" s="1210" t="s">
        <v>1260</v>
      </c>
    </row>
    <row r="111" spans="1:4" ht="3" customHeight="1" x14ac:dyDescent="0.2">
      <c r="A111" s="1211"/>
      <c r="B111" s="1218"/>
      <c r="C111" s="1215"/>
      <c r="D111" s="1210"/>
    </row>
    <row r="112" spans="1:4" x14ac:dyDescent="0.2">
      <c r="A112" s="1211"/>
      <c r="B112" s="1214"/>
      <c r="C112" s="1215">
        <f>C110+1</f>
        <v>35</v>
      </c>
      <c r="D112" s="1210" t="s">
        <v>1259</v>
      </c>
    </row>
    <row r="113" spans="1:4" ht="11.25" customHeight="1" x14ac:dyDescent="0.2">
      <c r="A113" s="1211"/>
      <c r="B113" s="1243"/>
      <c r="C113" s="1215"/>
      <c r="D113" s="1244" t="s">
        <v>1258</v>
      </c>
    </row>
    <row r="114" spans="1:4" ht="3" customHeight="1" x14ac:dyDescent="0.2">
      <c r="A114" s="1211"/>
      <c r="B114" s="1245"/>
      <c r="C114" s="1215"/>
      <c r="D114" s="1244"/>
    </row>
    <row r="115" spans="1:4" x14ac:dyDescent="0.2">
      <c r="A115" s="1211"/>
      <c r="B115" s="1214"/>
      <c r="C115" s="1215">
        <f>C112+1</f>
        <v>36</v>
      </c>
      <c r="D115" s="1226" t="s">
        <v>1257</v>
      </c>
    </row>
    <row r="116" spans="1:4" ht="3" customHeight="1" x14ac:dyDescent="0.2">
      <c r="A116" s="1211"/>
      <c r="B116" s="1218"/>
      <c r="C116" s="1215"/>
      <c r="D116" s="1226"/>
    </row>
    <row r="117" spans="1:4" x14ac:dyDescent="0.2">
      <c r="A117" s="1211"/>
      <c r="B117" s="1214"/>
      <c r="C117" s="1215">
        <f>C115+1</f>
        <v>37</v>
      </c>
      <c r="D117" s="1226" t="s">
        <v>1827</v>
      </c>
    </row>
    <row r="118" spans="1:4" ht="3" customHeight="1" x14ac:dyDescent="0.2">
      <c r="A118" s="1211"/>
      <c r="B118" s="1218"/>
      <c r="C118" s="1215"/>
      <c r="D118" s="1226"/>
    </row>
    <row r="119" spans="1:4" x14ac:dyDescent="0.2">
      <c r="A119" s="1211"/>
      <c r="B119" s="1214"/>
      <c r="C119" s="1215">
        <f>C117+1</f>
        <v>38</v>
      </c>
      <c r="D119" s="1226" t="s">
        <v>1828</v>
      </c>
    </row>
    <row r="120" spans="1:4" ht="10.5" customHeight="1" x14ac:dyDescent="0.2">
      <c r="A120" s="1211"/>
      <c r="B120" s="1239"/>
      <c r="C120" s="1215"/>
      <c r="D120" s="1226" t="s">
        <v>1256</v>
      </c>
    </row>
    <row r="121" spans="1:4" ht="10.5" customHeight="1" x14ac:dyDescent="0.2">
      <c r="A121" s="1211"/>
      <c r="B121" s="1239"/>
      <c r="C121" s="1215"/>
      <c r="D121" s="1226" t="s">
        <v>1255</v>
      </c>
    </row>
    <row r="122" spans="1:4" ht="3" customHeight="1" x14ac:dyDescent="0.2">
      <c r="A122" s="1211"/>
      <c r="B122" s="1239"/>
      <c r="C122" s="1215"/>
      <c r="D122" s="1226"/>
    </row>
    <row r="123" spans="1:4" x14ac:dyDescent="0.2">
      <c r="A123" s="1211"/>
      <c r="B123" s="1214"/>
      <c r="C123" s="1215">
        <f>C119+1</f>
        <v>39</v>
      </c>
      <c r="D123" s="1236" t="s">
        <v>1948</v>
      </c>
    </row>
    <row r="124" spans="1:4" x14ac:dyDescent="0.2">
      <c r="A124" s="1211"/>
      <c r="B124" s="312"/>
      <c r="C124" s="1215"/>
      <c r="D124" s="1226" t="s">
        <v>1254</v>
      </c>
    </row>
    <row r="125" spans="1:4" ht="4.5" customHeight="1" x14ac:dyDescent="0.2">
      <c r="A125" s="1211"/>
      <c r="D125" s="1210"/>
    </row>
    <row r="126" spans="1:4" x14ac:dyDescent="0.2">
      <c r="A126" s="1211"/>
      <c r="B126" s="1246"/>
      <c r="C126" s="1215"/>
      <c r="D126" s="1226"/>
    </row>
    <row r="127" spans="1:4" x14ac:dyDescent="0.2">
      <c r="A127" s="1211"/>
      <c r="D127" s="122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7" customWidth="1"/>
    <col min="3" max="3" width="1.28515625" style="1247" customWidth="1"/>
    <col min="4" max="4" width="24.42578125" style="1248" customWidth="1"/>
    <col min="5" max="5" width="5" style="317" customWidth="1"/>
    <col min="6" max="16384" width="15.7109375" style="317"/>
  </cols>
  <sheetData>
    <row r="1" spans="1:5" x14ac:dyDescent="0.2">
      <c r="A1" s="2436" t="str">
        <f>'Single Audit Cover'!A7</f>
        <v>Benjamin SD 25</v>
      </c>
      <c r="B1" s="2436"/>
      <c r="C1" s="2436"/>
      <c r="D1" s="2436"/>
      <c r="E1" s="2436"/>
    </row>
    <row r="2" spans="1:5" x14ac:dyDescent="0.2">
      <c r="A2" s="2437">
        <f>'Single Audit Cover'!E7</f>
        <v>19022025002</v>
      </c>
      <c r="B2" s="2437"/>
      <c r="C2" s="2437"/>
      <c r="D2" s="2437"/>
      <c r="E2" s="2437"/>
    </row>
    <row r="3" spans="1:5" ht="4.5" customHeight="1" x14ac:dyDescent="0.2"/>
    <row r="4" spans="1:5" x14ac:dyDescent="0.2">
      <c r="A4" s="2436" t="s">
        <v>1307</v>
      </c>
      <c r="B4" s="2436"/>
      <c r="C4" s="2436"/>
      <c r="D4" s="2436"/>
      <c r="E4" s="2436"/>
    </row>
    <row r="5" spans="1:5" x14ac:dyDescent="0.2">
      <c r="A5" s="2439" t="str">
        <f>'Single Audit Cover'!A4</f>
        <v>Year Ending June 30, 2018</v>
      </c>
      <c r="B5" s="2439"/>
      <c r="C5" s="2439"/>
      <c r="D5" s="2439"/>
      <c r="E5" s="2439"/>
    </row>
    <row r="6" spans="1:5" x14ac:dyDescent="0.2">
      <c r="A6" s="2436" t="s">
        <v>1306</v>
      </c>
      <c r="B6" s="2436"/>
      <c r="C6" s="2436"/>
      <c r="D6" s="2436"/>
      <c r="E6" s="2436"/>
    </row>
    <row r="8" spans="1:5" x14ac:dyDescent="0.2">
      <c r="A8" s="1249" t="s">
        <v>1305</v>
      </c>
    </row>
    <row r="10" spans="1:5" x14ac:dyDescent="0.2">
      <c r="A10" s="1250" t="s">
        <v>1304</v>
      </c>
      <c r="B10" s="1251" t="s">
        <v>1303</v>
      </c>
      <c r="C10" s="1251"/>
      <c r="D10" s="1252">
        <f>SUM('Acct Summary 7-8'!C7:K7)</f>
        <v>391598</v>
      </c>
    </row>
    <row r="11" spans="1:5" ht="18" customHeight="1" x14ac:dyDescent="0.2">
      <c r="A11" s="1250" t="s">
        <v>1302</v>
      </c>
      <c r="B11" s="1251"/>
      <c r="C11" s="1251"/>
    </row>
    <row r="12" spans="1:5" x14ac:dyDescent="0.2">
      <c r="A12" s="1250" t="s">
        <v>1301</v>
      </c>
      <c r="B12" s="1251" t="s">
        <v>1300</v>
      </c>
      <c r="C12" s="1251"/>
      <c r="D12" s="1253">
        <f>SUM('Revenues 9-14'!C112:D112,'Revenues 9-14'!F112:G112)</f>
        <v>0</v>
      </c>
    </row>
    <row r="13" spans="1:5" x14ac:dyDescent="0.2">
      <c r="A13" s="1250" t="s">
        <v>1299</v>
      </c>
      <c r="B13" s="1251"/>
      <c r="C13" s="1251"/>
    </row>
    <row r="14" spans="1:5" x14ac:dyDescent="0.2">
      <c r="A14" s="1250" t="s">
        <v>1830</v>
      </c>
      <c r="B14" s="1251"/>
      <c r="C14" s="1251"/>
      <c r="D14" s="1253">
        <f>'ICR Computation 30'!E11</f>
        <v>0</v>
      </c>
    </row>
    <row r="15" spans="1:5" x14ac:dyDescent="0.2">
      <c r="A15" s="1250"/>
      <c r="B15" s="1251"/>
      <c r="C15" s="1251"/>
    </row>
    <row r="16" spans="1:5" x14ac:dyDescent="0.2">
      <c r="A16" s="1250" t="s">
        <v>1956</v>
      </c>
      <c r="B16" s="1251"/>
      <c r="C16" s="1251"/>
    </row>
    <row r="17" spans="1:4" x14ac:dyDescent="0.2">
      <c r="A17" s="1250" t="s">
        <v>1601</v>
      </c>
      <c r="B17" s="1251" t="s">
        <v>1298</v>
      </c>
      <c r="C17" s="1251"/>
      <c r="D17" s="1253">
        <f>-SUM('Revenues 9-14'!C271:D271,'Revenues 9-14'!F271:G271)</f>
        <v>-22943</v>
      </c>
    </row>
    <row r="19" spans="1:4" ht="13.5" thickBot="1" x14ac:dyDescent="0.25">
      <c r="A19" s="1254" t="s">
        <v>1297</v>
      </c>
      <c r="D19" s="1255">
        <f>SUM(D10:D17)</f>
        <v>368655</v>
      </c>
    </row>
    <row r="20" spans="1:4" ht="21.75" customHeight="1" thickTop="1" x14ac:dyDescent="0.2"/>
    <row r="21" spans="1:4" x14ac:dyDescent="0.2">
      <c r="A21" s="1249" t="s">
        <v>1296</v>
      </c>
    </row>
    <row r="22" spans="1:4" ht="8.25" customHeight="1" x14ac:dyDescent="0.2"/>
    <row r="23" spans="1:4" x14ac:dyDescent="0.2">
      <c r="A23" s="1256" t="s">
        <v>1290</v>
      </c>
    </row>
    <row r="24" spans="1:4" x14ac:dyDescent="0.2">
      <c r="A24" s="2438"/>
      <c r="B24" s="2438"/>
      <c r="D24" s="1257"/>
    </row>
    <row r="25" spans="1:4" x14ac:dyDescent="0.2">
      <c r="A25" s="2435"/>
      <c r="B25" s="2435"/>
      <c r="D25" s="1257"/>
    </row>
    <row r="26" spans="1:4" x14ac:dyDescent="0.2">
      <c r="A26" s="2435"/>
      <c r="B26" s="2435"/>
      <c r="D26" s="1257"/>
    </row>
    <row r="27" spans="1:4" x14ac:dyDescent="0.2">
      <c r="A27" s="2435"/>
      <c r="B27" s="2435"/>
      <c r="D27" s="1257"/>
    </row>
    <row r="28" spans="1:4" x14ac:dyDescent="0.2">
      <c r="A28" s="2435"/>
      <c r="B28" s="2435"/>
      <c r="D28" s="1257"/>
    </row>
    <row r="29" spans="1:4" x14ac:dyDescent="0.2">
      <c r="A29" s="2435"/>
      <c r="B29" s="2435"/>
      <c r="D29" s="1257"/>
    </row>
    <row r="30" spans="1:4" x14ac:dyDescent="0.2">
      <c r="A30" s="2435"/>
      <c r="B30" s="2435"/>
      <c r="D30" s="1257"/>
    </row>
    <row r="32" spans="1:4" x14ac:dyDescent="0.2">
      <c r="A32" s="1249" t="s">
        <v>1295</v>
      </c>
      <c r="D32" s="1252">
        <f>SUM(D19:D30)</f>
        <v>368655</v>
      </c>
    </row>
    <row r="33" spans="1:4" x14ac:dyDescent="0.2">
      <c r="D33" s="1258"/>
    </row>
    <row r="34" spans="1:4" x14ac:dyDescent="0.2">
      <c r="A34" s="317" t="s">
        <v>1294</v>
      </c>
    </row>
    <row r="35" spans="1:4" x14ac:dyDescent="0.2">
      <c r="A35" s="317" t="s">
        <v>1293</v>
      </c>
      <c r="B35" s="1247" t="s">
        <v>1292</v>
      </c>
      <c r="D35" s="1259"/>
    </row>
    <row r="37" spans="1:4" x14ac:dyDescent="0.2">
      <c r="A37" s="1249" t="s">
        <v>1291</v>
      </c>
    </row>
    <row r="39" spans="1:4" ht="13.35" customHeight="1" x14ac:dyDescent="0.2">
      <c r="A39" s="1256" t="s">
        <v>1290</v>
      </c>
    </row>
    <row r="40" spans="1:4" x14ac:dyDescent="0.2">
      <c r="A40" s="2435"/>
      <c r="B40" s="2435"/>
      <c r="D40" s="1257"/>
    </row>
    <row r="41" spans="1:4" x14ac:dyDescent="0.2">
      <c r="A41" s="2435"/>
      <c r="B41" s="2435"/>
      <c r="D41" s="1260"/>
    </row>
    <row r="42" spans="1:4" x14ac:dyDescent="0.2">
      <c r="A42" s="2435"/>
      <c r="B42" s="2435"/>
      <c r="D42" s="1260"/>
    </row>
    <row r="43" spans="1:4" x14ac:dyDescent="0.2">
      <c r="A43" s="2435"/>
      <c r="B43" s="2435"/>
      <c r="D43" s="1260"/>
    </row>
    <row r="44" spans="1:4" x14ac:dyDescent="0.2">
      <c r="A44" s="2435"/>
      <c r="B44" s="2435"/>
      <c r="D44" s="1260"/>
    </row>
    <row r="45" spans="1:4" x14ac:dyDescent="0.2">
      <c r="A45" s="2435"/>
      <c r="B45" s="2435"/>
      <c r="D45" s="1260"/>
    </row>
    <row r="47" spans="1:4" x14ac:dyDescent="0.2">
      <c r="B47" s="1261" t="s">
        <v>1289</v>
      </c>
      <c r="C47" s="1261"/>
      <c r="D47" s="1262">
        <f>SUM(D35:D45)</f>
        <v>0</v>
      </c>
    </row>
    <row r="49" spans="2:4" x14ac:dyDescent="0.2">
      <c r="B49" s="1261" t="s">
        <v>1288</v>
      </c>
      <c r="C49" s="1261"/>
      <c r="D49" s="1262">
        <f>D32-D47</f>
        <v>368655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D1"/>
    </sheetView>
  </sheetViews>
  <sheetFormatPr defaultColWidth="8" defaultRowHeight="12.75" x14ac:dyDescent="0.2"/>
  <cols>
    <col min="1" max="1" width="1.42578125" style="317" customWidth="1"/>
    <col min="2" max="2" width="53.28515625" style="317" customWidth="1"/>
    <col min="3" max="3" width="14" style="1247" customWidth="1"/>
    <col min="4" max="4" width="16.7109375" style="1247"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Benjamin SD 25</v>
      </c>
      <c r="B1" s="2441"/>
      <c r="C1" s="2441"/>
      <c r="D1" s="2441"/>
      <c r="E1" s="2441"/>
      <c r="F1" s="2441"/>
    </row>
    <row r="2" spans="1:7" ht="13.5" customHeight="1" x14ac:dyDescent="0.2">
      <c r="A2" s="2442">
        <f>'Single Audit Cover'!E7</f>
        <v>19022025002</v>
      </c>
      <c r="B2" s="2442"/>
      <c r="C2" s="2442"/>
      <c r="D2" s="2442"/>
      <c r="E2" s="2442"/>
      <c r="F2" s="2442"/>
      <c r="G2" s="1264"/>
    </row>
    <row r="3" spans="1:7" ht="15.75" customHeight="1" x14ac:dyDescent="0.2">
      <c r="A3" s="2443" t="s">
        <v>1333</v>
      </c>
      <c r="B3" s="2443"/>
      <c r="C3" s="2443"/>
      <c r="D3" s="2443"/>
      <c r="E3" s="2443"/>
      <c r="F3" s="2443"/>
    </row>
    <row r="4" spans="1:7" ht="13.5" customHeight="1" x14ac:dyDescent="0.2">
      <c r="A4" s="2444" t="str">
        <f>'Single Audit Cover'!A4</f>
        <v>Year Ending June 30, 2018</v>
      </c>
      <c r="B4" s="2444"/>
      <c r="C4" s="2444"/>
      <c r="D4" s="2444"/>
      <c r="E4" s="2444"/>
      <c r="F4" s="2444"/>
    </row>
    <row r="5" spans="1:7" ht="8.25" customHeight="1" x14ac:dyDescent="0.2">
      <c r="C5" s="317"/>
      <c r="D5" s="317"/>
    </row>
    <row r="6" spans="1:7" ht="13.5" customHeight="1" x14ac:dyDescent="0.2">
      <c r="A6" s="1265" t="s">
        <v>1831</v>
      </c>
      <c r="C6" s="317"/>
      <c r="D6" s="317"/>
    </row>
    <row r="7" spans="1:7" ht="60.95" customHeight="1" x14ac:dyDescent="0.2">
      <c r="A7" s="2440" t="s">
        <v>1832</v>
      </c>
      <c r="B7" s="2440"/>
      <c r="C7" s="2440"/>
      <c r="D7" s="2440"/>
      <c r="E7" s="2440"/>
      <c r="F7" s="2440"/>
    </row>
    <row r="8" spans="1:7" ht="12" customHeight="1" x14ac:dyDescent="0.2">
      <c r="A8" s="1265"/>
      <c r="B8" s="1271"/>
      <c r="C8" s="1271"/>
      <c r="D8" s="1271"/>
    </row>
    <row r="9" spans="1:7" ht="15" customHeight="1" x14ac:dyDescent="0.2">
      <c r="A9" s="1266" t="s">
        <v>1833</v>
      </c>
      <c r="B9" s="1269"/>
      <c r="C9" s="1269"/>
      <c r="D9" s="1269"/>
      <c r="E9" s="1267"/>
      <c r="F9" s="1267"/>
      <c r="G9" s="1267"/>
    </row>
    <row r="10" spans="1:7" ht="15" customHeight="1" x14ac:dyDescent="0.2">
      <c r="A10" s="1268" t="s">
        <v>1628</v>
      </c>
      <c r="B10" s="1269"/>
      <c r="C10" s="1270"/>
      <c r="D10" s="1269" t="s">
        <v>1629</v>
      </c>
      <c r="E10" s="1270"/>
      <c r="F10" s="1269" t="s">
        <v>101</v>
      </c>
      <c r="G10" s="1267"/>
    </row>
    <row r="11" spans="1:7" ht="12" customHeight="1" x14ac:dyDescent="0.2">
      <c r="A11" s="1268"/>
      <c r="B11" s="1269"/>
      <c r="C11" s="1915"/>
      <c r="D11" s="1269"/>
      <c r="E11" s="1915"/>
      <c r="F11" s="1269"/>
      <c r="G11" s="1267"/>
    </row>
    <row r="12" spans="1:7" x14ac:dyDescent="0.2">
      <c r="A12" s="1265" t="s">
        <v>1669</v>
      </c>
      <c r="C12" s="1249"/>
      <c r="D12" s="1249"/>
    </row>
    <row r="13" spans="1:7" ht="15" customHeight="1" x14ac:dyDescent="0.2">
      <c r="A13" s="2440" t="s">
        <v>1834</v>
      </c>
      <c r="B13" s="2440"/>
      <c r="C13" s="2440"/>
      <c r="D13" s="2440"/>
      <c r="E13" s="2440"/>
      <c r="F13" s="2440"/>
    </row>
    <row r="14" spans="1:7" ht="9.75" customHeight="1" x14ac:dyDescent="0.2">
      <c r="C14" s="1249"/>
      <c r="D14" s="1249"/>
    </row>
    <row r="15" spans="1:7" ht="13.5" customHeight="1" x14ac:dyDescent="0.2">
      <c r="C15" s="1859" t="s">
        <v>1332</v>
      </c>
      <c r="D15" s="2446" t="s">
        <v>1331</v>
      </c>
      <c r="E15" s="2446"/>
      <c r="F15" s="2446"/>
    </row>
    <row r="16" spans="1:7" ht="13.5" customHeight="1" x14ac:dyDescent="0.2">
      <c r="A16" s="1271"/>
      <c r="B16" s="1265" t="s">
        <v>1330</v>
      </c>
      <c r="C16" s="1859" t="s">
        <v>1329</v>
      </c>
      <c r="D16" s="2447" t="s">
        <v>1670</v>
      </c>
      <c r="E16" s="2447"/>
      <c r="F16" s="2447"/>
    </row>
    <row r="17" spans="1:6" ht="20.45" customHeight="1" x14ac:dyDescent="0.2">
      <c r="A17" s="1272"/>
      <c r="B17" s="1273"/>
      <c r="C17" s="1274"/>
      <c r="D17" s="2445"/>
      <c r="E17" s="2445"/>
      <c r="F17" s="2445"/>
    </row>
    <row r="18" spans="1:6" ht="20.65" customHeight="1" x14ac:dyDescent="0.2">
      <c r="A18" s="1272"/>
      <c r="B18" s="1273"/>
      <c r="C18" s="1274"/>
      <c r="D18" s="2445"/>
      <c r="E18" s="2445"/>
      <c r="F18" s="2445"/>
    </row>
    <row r="19" spans="1:6" ht="20.65" customHeight="1" x14ac:dyDescent="0.2">
      <c r="A19" s="1272"/>
      <c r="B19" s="1273"/>
      <c r="C19" s="1274"/>
      <c r="D19" s="2445"/>
      <c r="E19" s="2445"/>
      <c r="F19" s="2445"/>
    </row>
    <row r="20" spans="1:6" ht="20.65" customHeight="1" x14ac:dyDescent="0.2">
      <c r="A20" s="1272"/>
      <c r="B20" s="1273"/>
      <c r="C20" s="1274"/>
      <c r="D20" s="2445"/>
      <c r="E20" s="2445"/>
      <c r="F20" s="2445"/>
    </row>
    <row r="21" spans="1:6" ht="20.65" customHeight="1" x14ac:dyDescent="0.2">
      <c r="A21" s="1272"/>
      <c r="B21" s="1273"/>
      <c r="C21" s="1274"/>
      <c r="D21" s="2445"/>
      <c r="E21" s="2445"/>
      <c r="F21" s="2445"/>
    </row>
    <row r="22" spans="1:6" ht="20.65" customHeight="1" x14ac:dyDescent="0.2">
      <c r="A22" s="1272"/>
      <c r="B22" s="1273"/>
      <c r="C22" s="1274"/>
      <c r="D22" s="2445"/>
      <c r="E22" s="2445"/>
      <c r="F22" s="2445"/>
    </row>
    <row r="23" spans="1:6" ht="20.65" customHeight="1" x14ac:dyDescent="0.2">
      <c r="A23" s="1272"/>
      <c r="B23" s="1273"/>
      <c r="C23" s="1274"/>
      <c r="D23" s="2445"/>
      <c r="E23" s="2445"/>
      <c r="F23" s="2445"/>
    </row>
    <row r="24" spans="1:6" ht="20.65" customHeight="1" x14ac:dyDescent="0.2">
      <c r="A24" s="1272"/>
      <c r="B24" s="1273"/>
      <c r="C24" s="1274"/>
      <c r="D24" s="2445"/>
      <c r="E24" s="2445"/>
      <c r="F24" s="2445"/>
    </row>
    <row r="25" spans="1:6" ht="20.65" customHeight="1" x14ac:dyDescent="0.2">
      <c r="A25" s="1272"/>
      <c r="B25" s="1273"/>
      <c r="C25" s="1274"/>
      <c r="D25" s="2445"/>
      <c r="E25" s="2445"/>
      <c r="F25" s="2445"/>
    </row>
    <row r="26" spans="1:6" ht="20.65" customHeight="1" x14ac:dyDescent="0.2">
      <c r="A26" s="1272"/>
      <c r="B26" s="1273"/>
      <c r="C26" s="1274"/>
      <c r="D26" s="2445"/>
      <c r="E26" s="2445"/>
      <c r="F26" s="2445"/>
    </row>
    <row r="27" spans="1:6" ht="20.65" customHeight="1" x14ac:dyDescent="0.2">
      <c r="A27" s="1272"/>
      <c r="B27" s="1273"/>
      <c r="C27" s="1274"/>
      <c r="D27" s="2445"/>
      <c r="E27" s="2445"/>
      <c r="F27" s="2445"/>
    </row>
    <row r="28" spans="1:6" ht="20.65" customHeight="1" x14ac:dyDescent="0.2">
      <c r="A28" s="1272"/>
      <c r="B28" s="1273"/>
      <c r="C28" s="1274"/>
      <c r="D28" s="2445"/>
      <c r="E28" s="2445"/>
      <c r="F28" s="2445"/>
    </row>
    <row r="29" spans="1:6" ht="20.65" customHeight="1" x14ac:dyDescent="0.2">
      <c r="A29" s="1272"/>
      <c r="B29" s="1273"/>
      <c r="C29" s="1274"/>
      <c r="D29" s="2445"/>
      <c r="E29" s="2445"/>
      <c r="F29" s="2445"/>
    </row>
    <row r="30" spans="1:6" ht="12" customHeight="1" x14ac:dyDescent="0.2">
      <c r="A30" s="328"/>
      <c r="B30" s="328"/>
      <c r="C30" s="1467"/>
      <c r="D30" s="1916"/>
      <c r="E30" s="1275"/>
    </row>
    <row r="31" spans="1:6" ht="12" customHeight="1" x14ac:dyDescent="0.2">
      <c r="A31" s="1276" t="s">
        <v>1630</v>
      </c>
      <c r="B31" s="328"/>
      <c r="C31" s="1467"/>
      <c r="D31" s="1916"/>
      <c r="E31" s="1275"/>
    </row>
    <row r="32" spans="1:6" ht="30" customHeight="1" x14ac:dyDescent="0.2">
      <c r="A32" s="2449" t="s">
        <v>1835</v>
      </c>
      <c r="B32" s="2449"/>
      <c r="C32" s="2449"/>
      <c r="D32" s="2449"/>
      <c r="E32" s="2449"/>
      <c r="F32" s="2449"/>
    </row>
    <row r="33" spans="1:6" ht="13.5" customHeight="1" x14ac:dyDescent="0.2">
      <c r="A33" s="328" t="s">
        <v>1509</v>
      </c>
      <c r="B33" s="328"/>
      <c r="C33" s="1277">
        <v>0</v>
      </c>
      <c r="D33" s="1916"/>
      <c r="E33" s="1275"/>
    </row>
    <row r="34" spans="1:6" ht="13.5" customHeight="1" x14ac:dyDescent="0.2">
      <c r="A34" s="328" t="s">
        <v>1949</v>
      </c>
      <c r="B34" s="328"/>
      <c r="C34" s="1278">
        <v>0</v>
      </c>
      <c r="D34" s="1916" t="s">
        <v>1671</v>
      </c>
      <c r="E34" s="2450">
        <f>+C33+C34</f>
        <v>0</v>
      </c>
      <c r="F34" s="2451"/>
    </row>
    <row r="35" spans="1:6" ht="12" customHeight="1" x14ac:dyDescent="0.2">
      <c r="A35" s="328"/>
      <c r="B35" s="328"/>
      <c r="C35" s="1917"/>
      <c r="D35" s="1916"/>
      <c r="E35" s="1279"/>
      <c r="F35" s="1280"/>
    </row>
    <row r="36" spans="1:6" ht="13.5" customHeight="1" x14ac:dyDescent="0.2">
      <c r="A36" s="1276" t="s">
        <v>1631</v>
      </c>
      <c r="B36" s="328"/>
      <c r="C36" s="1467"/>
      <c r="D36" s="1916"/>
      <c r="E36" s="1275"/>
    </row>
    <row r="37" spans="1:6" ht="14.25" customHeight="1" x14ac:dyDescent="0.2">
      <c r="A37" s="328" t="s">
        <v>1563</v>
      </c>
      <c r="B37" s="328"/>
      <c r="C37" s="1918"/>
      <c r="D37" s="1916"/>
      <c r="E37" s="1275"/>
    </row>
    <row r="38" spans="1:6" ht="14.25" customHeight="1" x14ac:dyDescent="0.2">
      <c r="A38" s="328"/>
      <c r="B38" s="328" t="s">
        <v>1510</v>
      </c>
      <c r="C38" s="1281"/>
      <c r="D38" s="1916"/>
      <c r="E38" s="1275"/>
    </row>
    <row r="39" spans="1:6" ht="14.25" customHeight="1" x14ac:dyDescent="0.2">
      <c r="A39" s="328"/>
      <c r="B39" s="328" t="s">
        <v>1511</v>
      </c>
      <c r="C39" s="1281"/>
      <c r="D39" s="1916"/>
      <c r="E39" s="1275"/>
    </row>
    <row r="40" spans="1:6" ht="14.25" customHeight="1" x14ac:dyDescent="0.2">
      <c r="A40" s="328"/>
      <c r="B40" s="328" t="s">
        <v>1512</v>
      </c>
      <c r="C40" s="1281"/>
      <c r="D40" s="1916"/>
      <c r="E40" s="1275"/>
    </row>
    <row r="41" spans="1:6" ht="14.25" customHeight="1" x14ac:dyDescent="0.2">
      <c r="A41" s="328"/>
      <c r="B41" s="328" t="s">
        <v>1513</v>
      </c>
      <c r="C41" s="1281"/>
      <c r="D41" s="1916"/>
      <c r="E41" s="1275"/>
    </row>
    <row r="42" spans="1:6" ht="14.25" customHeight="1" x14ac:dyDescent="0.2">
      <c r="A42" s="328" t="s">
        <v>1514</v>
      </c>
      <c r="B42" s="328"/>
      <c r="C42" s="1914"/>
      <c r="D42" s="1916"/>
      <c r="E42" s="1275"/>
    </row>
    <row r="43" spans="1:6" ht="14.25" customHeight="1" x14ac:dyDescent="0.2">
      <c r="A43" s="328" t="s">
        <v>1515</v>
      </c>
      <c r="B43" s="328"/>
      <c r="C43" s="1282"/>
      <c r="D43" s="1916"/>
      <c r="E43" s="1275"/>
    </row>
    <row r="44" spans="1:6" ht="14.25" customHeight="1" x14ac:dyDescent="0.2">
      <c r="A44" s="328"/>
      <c r="B44" s="328"/>
      <c r="C44" s="1918" t="s">
        <v>1516</v>
      </c>
      <c r="D44" s="1916"/>
      <c r="E44" s="1275"/>
    </row>
    <row r="45" spans="1:6" ht="13.5" customHeight="1" x14ac:dyDescent="0.2">
      <c r="B45" s="322"/>
      <c r="C45" s="1283"/>
      <c r="D45" s="1283"/>
    </row>
    <row r="46" spans="1:6" x14ac:dyDescent="0.2">
      <c r="A46" s="1284" t="s">
        <v>1836</v>
      </c>
      <c r="C46" s="317"/>
      <c r="D46" s="317"/>
    </row>
    <row r="47" spans="1:6" s="322" customFormat="1" ht="11.25" customHeight="1" x14ac:dyDescent="0.2">
      <c r="A47" s="1285"/>
      <c r="B47" s="1286"/>
      <c r="C47" s="1286"/>
      <c r="D47" s="1286"/>
      <c r="E47" s="1286"/>
      <c r="F47" s="1286"/>
    </row>
    <row r="48" spans="1:6" s="322" customFormat="1" ht="6" customHeight="1" x14ac:dyDescent="0.2">
      <c r="A48" s="1287"/>
    </row>
    <row r="49" spans="1:5" s="1289" customFormat="1" ht="23.25" customHeight="1" x14ac:dyDescent="0.2">
      <c r="A49" s="1288">
        <v>5</v>
      </c>
      <c r="B49" s="2452" t="s">
        <v>1672</v>
      </c>
      <c r="C49" s="2452"/>
      <c r="D49" s="2452"/>
      <c r="E49" s="1388"/>
    </row>
    <row r="50" spans="1:5" s="1289" customFormat="1" ht="3.75" customHeight="1" x14ac:dyDescent="0.2">
      <c r="A50" s="1288"/>
      <c r="B50" s="1858"/>
      <c r="C50" s="1858"/>
      <c r="D50" s="1858"/>
      <c r="E50" s="1388"/>
    </row>
    <row r="51" spans="1:5" s="1289" customFormat="1" ht="20.25" customHeight="1" x14ac:dyDescent="0.2">
      <c r="A51" s="1290">
        <v>6</v>
      </c>
      <c r="B51" s="2448" t="s">
        <v>1632</v>
      </c>
      <c r="C51" s="2448"/>
      <c r="D51" s="2448"/>
    </row>
    <row r="52" spans="1:5" ht="14.25" customHeight="1" x14ac:dyDescent="0.2">
      <c r="A52" s="1290"/>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D1"/>
    </sheetView>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7" customWidth="1"/>
    <col min="14" max="14" width="2.7109375" style="317" customWidth="1"/>
    <col min="15" max="16384" width="33.5703125" style="317"/>
  </cols>
  <sheetData>
    <row r="1" spans="2:14" ht="11.85" customHeight="1" x14ac:dyDescent="0.2">
      <c r="B1" s="2397" t="str">
        <f>'Single Audit Cover'!A7</f>
        <v>Benjamin SD 25</v>
      </c>
      <c r="C1" s="2453"/>
      <c r="D1" s="2453"/>
      <c r="E1" s="2453"/>
      <c r="F1" s="2453"/>
      <c r="G1" s="2453"/>
      <c r="H1" s="2453"/>
      <c r="I1" s="2453"/>
      <c r="J1" s="2453"/>
      <c r="K1" s="2453"/>
      <c r="L1" s="2453"/>
      <c r="M1" s="2453"/>
    </row>
    <row r="2" spans="2:14" ht="15" x14ac:dyDescent="0.2">
      <c r="B2" s="2442">
        <f>'Single Audit Cover'!E7</f>
        <v>19022025002</v>
      </c>
      <c r="C2" s="2442"/>
      <c r="D2" s="2442"/>
      <c r="E2" s="2442"/>
      <c r="F2" s="2442"/>
      <c r="G2" s="2442"/>
      <c r="H2" s="2442"/>
      <c r="I2" s="2442"/>
      <c r="J2" s="2442"/>
      <c r="K2" s="2442"/>
      <c r="L2" s="2442"/>
      <c r="M2" s="2442"/>
      <c r="N2" s="1291"/>
    </row>
    <row r="3" spans="2:14" ht="15" x14ac:dyDescent="0.2">
      <c r="B3" s="2454" t="s">
        <v>1281</v>
      </c>
      <c r="C3" s="2454"/>
      <c r="D3" s="2454"/>
      <c r="E3" s="2454"/>
      <c r="F3" s="2454"/>
      <c r="G3" s="2454"/>
      <c r="H3" s="2454"/>
      <c r="I3" s="2454"/>
      <c r="J3" s="2454"/>
      <c r="K3" s="2454"/>
      <c r="L3" s="2454"/>
      <c r="M3" s="2454"/>
      <c r="N3" s="1291"/>
    </row>
    <row r="4" spans="2:14" ht="15" x14ac:dyDescent="0.2">
      <c r="B4" s="2455" t="str">
        <f>'Single Audit Cover'!A4</f>
        <v>Year Ending June 30, 2018</v>
      </c>
      <c r="C4" s="2455"/>
      <c r="D4" s="2455"/>
      <c r="E4" s="2455"/>
      <c r="F4" s="2455"/>
      <c r="G4" s="2455"/>
      <c r="H4" s="2455"/>
      <c r="I4" s="2455"/>
      <c r="J4" s="2455"/>
      <c r="K4" s="2455"/>
      <c r="L4" s="2455"/>
      <c r="M4" s="2455"/>
      <c r="N4" s="1291"/>
    </row>
    <row r="6" spans="2:14" x14ac:dyDescent="0.2">
      <c r="B6" s="1292"/>
      <c r="C6" s="1293"/>
      <c r="D6" s="1294" t="s">
        <v>1327</v>
      </c>
      <c r="E6" s="1295" t="s">
        <v>548</v>
      </c>
      <c r="F6" s="1296"/>
      <c r="G6" s="1297" t="s">
        <v>1837</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6"/>
      <c r="C8" s="1302" t="s">
        <v>1326</v>
      </c>
      <c r="D8" s="1303" t="s">
        <v>1325</v>
      </c>
      <c r="E8" s="1311" t="s">
        <v>1324</v>
      </c>
      <c r="F8" s="1312" t="s">
        <v>1324</v>
      </c>
      <c r="G8" s="1313" t="s">
        <v>1324</v>
      </c>
      <c r="H8" s="1306" t="s">
        <v>1663</v>
      </c>
      <c r="I8" s="1308" t="s">
        <v>1324</v>
      </c>
      <c r="J8" s="1307" t="s">
        <v>1950</v>
      </c>
      <c r="K8" s="1308" t="s">
        <v>1323</v>
      </c>
      <c r="L8" s="1309" t="s">
        <v>1319</v>
      </c>
      <c r="M8" s="1310" t="s">
        <v>30</v>
      </c>
    </row>
    <row r="9" spans="2:14" ht="14.25" x14ac:dyDescent="0.2">
      <c r="B9" s="1314" t="s">
        <v>1321</v>
      </c>
      <c r="C9" s="1302" t="s">
        <v>1838</v>
      </c>
      <c r="D9" s="1303" t="s">
        <v>1839</v>
      </c>
      <c r="E9" s="1311" t="s">
        <v>1663</v>
      </c>
      <c r="F9" s="1312" t="s">
        <v>1950</v>
      </c>
      <c r="G9" s="1313" t="s">
        <v>1663</v>
      </c>
      <c r="H9" s="1306" t="s">
        <v>1664</v>
      </c>
      <c r="I9" s="1308" t="s">
        <v>1950</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1231</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1840</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1951</v>
      </c>
      <c r="C32" s="1341"/>
      <c r="D32" s="1342"/>
      <c r="E32" s="1343"/>
      <c r="F32" s="1343"/>
      <c r="G32" s="1343"/>
      <c r="H32" s="1343"/>
      <c r="I32" s="317"/>
      <c r="J32" s="317"/>
    </row>
    <row r="33" spans="2:13" x14ac:dyDescent="0.2">
      <c r="B33" s="1266"/>
      <c r="C33" s="1344"/>
      <c r="D33" s="1345"/>
      <c r="E33" s="1267"/>
      <c r="F33" s="1267"/>
      <c r="G33" s="317"/>
      <c r="H33" s="317"/>
      <c r="I33" s="317"/>
      <c r="J33" s="317"/>
    </row>
    <row r="34" spans="2:13" ht="13.5" customHeight="1" x14ac:dyDescent="0.2">
      <c r="B34" s="1265" t="s">
        <v>1308</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1841</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1842</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1843</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1844</v>
      </c>
      <c r="C45" s="1357"/>
      <c r="D45" s="1358"/>
      <c r="E45" s="1289"/>
      <c r="F45" s="1289"/>
      <c r="G45" s="1289"/>
      <c r="H45" s="1289"/>
      <c r="I45" s="1289"/>
      <c r="J45" s="1289"/>
      <c r="K45" s="1359"/>
      <c r="L45" s="1359"/>
      <c r="M45" s="1289"/>
    </row>
    <row r="46" spans="2:13" ht="11.25" customHeight="1" x14ac:dyDescent="0.2">
      <c r="B46" s="1289" t="s">
        <v>1668</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sqref="A1:D1"/>
    </sheetView>
  </sheetViews>
  <sheetFormatPr defaultColWidth="9.140625" defaultRowHeight="12.75" x14ac:dyDescent="0.2"/>
  <cols>
    <col min="1" max="1" width="1.42578125" style="1289" customWidth="1"/>
    <col min="2" max="2" width="24.42578125" style="1346" customWidth="1"/>
    <col min="3" max="3" width="29.5703125" style="317" customWidth="1"/>
    <col min="4" max="4" width="9.28515625" style="317" customWidth="1"/>
    <col min="5" max="5" width="5.28515625" style="124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Benjamin SD 25</v>
      </c>
      <c r="C1" s="2461"/>
      <c r="D1" s="2461"/>
      <c r="E1" s="2461"/>
      <c r="F1" s="2461"/>
      <c r="G1" s="2461"/>
      <c r="H1" s="2461"/>
      <c r="I1" s="2461"/>
      <c r="J1" s="1411"/>
    </row>
    <row r="2" spans="2:10" s="317" customFormat="1" ht="12.75" customHeight="1" x14ac:dyDescent="0.2">
      <c r="B2" s="2462">
        <f>'Single Audit Cover'!E7</f>
        <v>19022025002</v>
      </c>
      <c r="C2" s="2463"/>
      <c r="D2" s="2463"/>
      <c r="E2" s="2463"/>
      <c r="F2" s="2463"/>
      <c r="G2" s="2463"/>
      <c r="H2" s="2463"/>
      <c r="I2" s="2463"/>
      <c r="J2" s="1411"/>
    </row>
    <row r="3" spans="2:10" s="317" customFormat="1" ht="12.75" customHeight="1" x14ac:dyDescent="0.2">
      <c r="B3" s="2464" t="s">
        <v>1347</v>
      </c>
      <c r="C3" s="2465"/>
      <c r="D3" s="2465"/>
      <c r="E3" s="2465"/>
      <c r="F3" s="2465"/>
      <c r="G3" s="2465"/>
      <c r="H3" s="2465"/>
      <c r="I3" s="2465"/>
      <c r="J3" s="1412"/>
    </row>
    <row r="4" spans="2:10" s="317" customFormat="1" ht="12.75" customHeight="1" x14ac:dyDescent="0.2">
      <c r="B4" s="2464" t="str">
        <f>'Single Audit Cover'!A4</f>
        <v>Year Ending June 30, 2018</v>
      </c>
      <c r="C4" s="2465"/>
      <c r="D4" s="2465"/>
      <c r="E4" s="2465"/>
      <c r="F4" s="2465"/>
      <c r="G4" s="2465"/>
      <c r="H4" s="2465"/>
      <c r="I4" s="2465"/>
    </row>
    <row r="5" spans="2:10" s="317" customFormat="1" ht="6.2" customHeight="1" x14ac:dyDescent="0.2">
      <c r="B5" s="1413" t="s">
        <v>1231</v>
      </c>
      <c r="C5" s="1283"/>
      <c r="D5" s="1283"/>
      <c r="E5" s="1372"/>
      <c r="F5" s="322"/>
      <c r="G5" s="322"/>
      <c r="H5" s="322"/>
      <c r="I5" s="322"/>
    </row>
    <row r="6" spans="2:10" s="317" customFormat="1" ht="6.2" customHeight="1" x14ac:dyDescent="0.2">
      <c r="B6" s="1414"/>
      <c r="C6" s="1368"/>
      <c r="D6" s="1368"/>
      <c r="E6" s="1369"/>
      <c r="F6" s="1368"/>
      <c r="G6" s="1368"/>
      <c r="H6" s="1368"/>
      <c r="I6" s="1368"/>
    </row>
    <row r="7" spans="2:10" s="317" customFormat="1" ht="13.5" customHeight="1" x14ac:dyDescent="0.2">
      <c r="B7" s="2464" t="s">
        <v>1346</v>
      </c>
      <c r="C7" s="2465"/>
      <c r="D7" s="2465"/>
      <c r="E7" s="2465"/>
      <c r="F7" s="2465"/>
      <c r="G7" s="2465"/>
      <c r="H7" s="2465"/>
      <c r="I7" s="2465"/>
    </row>
    <row r="8" spans="2:10" s="317" customFormat="1" ht="6.2" customHeight="1" x14ac:dyDescent="0.2">
      <c r="B8" s="1415" t="s">
        <v>1231</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1345</v>
      </c>
      <c r="C10" s="1420"/>
      <c r="D10" s="1420"/>
      <c r="E10" s="1247"/>
    </row>
    <row r="11" spans="2:10" s="317" customFormat="1" ht="13.5" customHeight="1" x14ac:dyDescent="0.2">
      <c r="B11" s="1338" t="s">
        <v>1344</v>
      </c>
      <c r="C11" s="2466"/>
      <c r="D11" s="2466"/>
      <c r="E11" s="1421"/>
      <c r="F11" s="1421"/>
      <c r="G11" s="1421"/>
    </row>
    <row r="12" spans="2:10" s="317" customFormat="1" ht="11.45" customHeight="1" x14ac:dyDescent="0.2">
      <c r="B12" s="1346"/>
      <c r="C12" s="1422" t="s">
        <v>1517</v>
      </c>
      <c r="D12" s="1423"/>
      <c r="E12" s="1247"/>
    </row>
    <row r="13" spans="2:10" s="317" customFormat="1" ht="12.75" customHeight="1" x14ac:dyDescent="0.2">
      <c r="B13" s="1424"/>
      <c r="C13" s="1376"/>
      <c r="D13" s="1376"/>
      <c r="E13" s="1247"/>
    </row>
    <row r="14" spans="2:10" s="317" customFormat="1" ht="12.75" customHeight="1" x14ac:dyDescent="0.2">
      <c r="B14" s="1357" t="s">
        <v>1343</v>
      </c>
      <c r="C14" s="1271"/>
      <c r="E14" s="1247"/>
    </row>
    <row r="15" spans="2:10" s="317" customFormat="1" ht="13.5" customHeight="1" x14ac:dyDescent="0.2">
      <c r="B15" s="1425" t="s">
        <v>1340</v>
      </c>
      <c r="C15" s="1426"/>
      <c r="D15" s="1387"/>
      <c r="E15" s="1427"/>
      <c r="F15" s="1289" t="s">
        <v>940</v>
      </c>
      <c r="G15" s="1427"/>
      <c r="H15" s="1289" t="s">
        <v>1338</v>
      </c>
      <c r="I15" s="1289"/>
    </row>
    <row r="16" spans="2:10" s="317" customFormat="1" ht="8.4499999999999993" customHeight="1" x14ac:dyDescent="0.2">
      <c r="B16" s="1357"/>
      <c r="C16" s="1271"/>
      <c r="E16" s="1372"/>
      <c r="F16" s="1289"/>
      <c r="G16" s="322"/>
      <c r="H16" s="1289"/>
      <c r="I16" s="1289"/>
    </row>
    <row r="17" spans="2:9" s="317" customFormat="1" ht="13.5" customHeight="1" x14ac:dyDescent="0.2">
      <c r="B17" s="1425" t="s">
        <v>1339</v>
      </c>
      <c r="C17" s="1426"/>
      <c r="D17" s="1387"/>
      <c r="E17" s="1428"/>
      <c r="F17" s="1246"/>
      <c r="G17" s="1428"/>
      <c r="H17" s="1289"/>
      <c r="I17" s="1289"/>
    </row>
    <row r="18" spans="2:9" s="317" customFormat="1" ht="12.75" customHeight="1" x14ac:dyDescent="0.2">
      <c r="B18" s="1425" t="s">
        <v>1518</v>
      </c>
      <c r="C18" s="1426"/>
      <c r="D18" s="1387"/>
      <c r="E18" s="1427"/>
      <c r="F18" s="1289" t="s">
        <v>940</v>
      </c>
      <c r="G18" s="1427"/>
      <c r="H18" s="1289" t="s">
        <v>1338</v>
      </c>
      <c r="I18" s="1289"/>
    </row>
    <row r="19" spans="2:9" s="317" customFormat="1" ht="8.4499999999999993" customHeight="1" x14ac:dyDescent="0.2">
      <c r="B19" s="1357"/>
      <c r="C19" s="1271"/>
      <c r="E19" s="1372"/>
      <c r="F19" s="1289"/>
      <c r="G19" s="322"/>
      <c r="H19" s="1289"/>
      <c r="I19" s="1289"/>
    </row>
    <row r="20" spans="2:9" s="317" customFormat="1" ht="13.5" customHeight="1" x14ac:dyDescent="0.2">
      <c r="B20" s="1425" t="s">
        <v>1673</v>
      </c>
      <c r="C20" s="1426"/>
      <c r="D20" s="1387"/>
      <c r="E20" s="1427"/>
      <c r="F20" s="1289" t="s">
        <v>940</v>
      </c>
      <c r="G20" s="1427"/>
      <c r="H20" s="1289" t="s">
        <v>101</v>
      </c>
      <c r="I20" s="1289"/>
    </row>
    <row r="21" spans="2:9" s="317" customFormat="1" ht="12.75" customHeight="1" x14ac:dyDescent="0.2">
      <c r="B21" s="1357"/>
      <c r="C21" s="1271"/>
      <c r="E21" s="1372"/>
      <c r="F21" s="1289"/>
      <c r="G21" s="322"/>
      <c r="H21" s="1289"/>
      <c r="I21" s="1289"/>
    </row>
    <row r="22" spans="2:9" s="317" customFormat="1" ht="12.75" customHeight="1" x14ac:dyDescent="0.2">
      <c r="B22" s="1419" t="s">
        <v>1342</v>
      </c>
      <c r="C22" s="1429"/>
      <c r="D22" s="1420"/>
      <c r="E22" s="1372"/>
      <c r="F22" s="1289"/>
      <c r="G22" s="322"/>
      <c r="H22" s="1289"/>
      <c r="I22" s="1289"/>
    </row>
    <row r="23" spans="2:9" s="317" customFormat="1" ht="12.75" customHeight="1" x14ac:dyDescent="0.2">
      <c r="B23" s="1357" t="s">
        <v>1341</v>
      </c>
      <c r="C23" s="1271"/>
      <c r="E23" s="1372"/>
      <c r="F23" s="1289"/>
      <c r="G23" s="322"/>
      <c r="H23" s="1289"/>
      <c r="I23" s="1289"/>
    </row>
    <row r="24" spans="2:9" s="317" customFormat="1" ht="13.5" customHeight="1" x14ac:dyDescent="0.2">
      <c r="B24" s="1425" t="s">
        <v>1340</v>
      </c>
      <c r="C24" s="1426"/>
      <c r="D24" s="1387"/>
      <c r="E24" s="1427"/>
      <c r="F24" s="1289" t="s">
        <v>940</v>
      </c>
      <c r="G24" s="1427"/>
      <c r="H24" s="1289" t="s">
        <v>1338</v>
      </c>
      <c r="I24" s="1289"/>
    </row>
    <row r="25" spans="2:9" s="317" customFormat="1" ht="8.4499999999999993" customHeight="1" x14ac:dyDescent="0.2">
      <c r="B25" s="1357"/>
      <c r="C25" s="1271"/>
      <c r="E25" s="1372"/>
      <c r="F25" s="1289"/>
      <c r="G25" s="322"/>
      <c r="H25" s="1289"/>
      <c r="I25" s="1289"/>
    </row>
    <row r="26" spans="2:9" s="317" customFormat="1" ht="13.5" customHeight="1" x14ac:dyDescent="0.2">
      <c r="B26" s="1425" t="s">
        <v>1339</v>
      </c>
      <c r="C26" s="1426"/>
      <c r="D26" s="1387"/>
      <c r="E26" s="1428"/>
      <c r="F26" s="1246"/>
      <c r="G26" s="1428"/>
      <c r="H26" s="1289"/>
      <c r="I26" s="1289"/>
    </row>
    <row r="27" spans="2:9" s="317" customFormat="1" ht="12.75" customHeight="1" x14ac:dyDescent="0.2">
      <c r="B27" s="1425" t="s">
        <v>1518</v>
      </c>
      <c r="C27" s="1426"/>
      <c r="D27" s="1387"/>
      <c r="E27" s="1427"/>
      <c r="F27" s="1289" t="s">
        <v>940</v>
      </c>
      <c r="G27" s="1427"/>
      <c r="H27" s="1289" t="s">
        <v>1338</v>
      </c>
      <c r="I27" s="1289"/>
    </row>
    <row r="28" spans="2:9" s="317" customFormat="1" ht="12.75" customHeight="1" x14ac:dyDescent="0.2">
      <c r="B28" s="1357"/>
      <c r="C28" s="1271"/>
      <c r="E28" s="1247"/>
    </row>
    <row r="29" spans="2:9" s="317" customFormat="1" ht="12.75" customHeight="1" x14ac:dyDescent="0.2">
      <c r="B29" s="1357" t="s">
        <v>1337</v>
      </c>
      <c r="C29" s="1271"/>
      <c r="D29" s="2467"/>
      <c r="E29" s="2467"/>
      <c r="F29" s="2467"/>
      <c r="G29" s="2467"/>
      <c r="H29" s="2467"/>
      <c r="I29" s="2467"/>
    </row>
    <row r="30" spans="2:9" s="317" customFormat="1" x14ac:dyDescent="0.2">
      <c r="B30" s="1357"/>
      <c r="C30" s="322"/>
      <c r="D30" s="1422" t="s">
        <v>1851</v>
      </c>
      <c r="E30" s="1423"/>
      <c r="F30" s="1423"/>
      <c r="G30" s="1423"/>
      <c r="H30" s="1423"/>
      <c r="I30" s="1423"/>
    </row>
    <row r="31" spans="2:9" s="317" customFormat="1" ht="9.9499999999999993" customHeight="1" x14ac:dyDescent="0.2">
      <c r="B31" s="1357"/>
      <c r="E31" s="1247"/>
    </row>
    <row r="32" spans="2:9" s="317" customFormat="1" x14ac:dyDescent="0.2">
      <c r="B32" s="1357" t="s">
        <v>1336</v>
      </c>
      <c r="C32" s="1271"/>
      <c r="E32" s="1247"/>
    </row>
    <row r="33" spans="2:9" ht="13.5" customHeight="1" x14ac:dyDescent="0.2">
      <c r="B33" s="1357" t="s">
        <v>1633</v>
      </c>
      <c r="C33" s="1271"/>
      <c r="E33" s="1427"/>
      <c r="F33" s="1289" t="s">
        <v>940</v>
      </c>
      <c r="G33" s="1427"/>
      <c r="H33" s="1289" t="s">
        <v>101</v>
      </c>
    </row>
    <row r="35" spans="2:9" x14ac:dyDescent="0.2">
      <c r="B35" s="1430" t="s">
        <v>1852</v>
      </c>
      <c r="C35" s="1431"/>
      <c r="D35" s="1256"/>
    </row>
    <row r="36" spans="2:9" ht="6" customHeight="1" x14ac:dyDescent="0.2">
      <c r="B36" s="1430"/>
      <c r="C36" s="1431"/>
      <c r="D36" s="1256"/>
    </row>
    <row r="37" spans="2:9" ht="17.25" customHeight="1" x14ac:dyDescent="0.2">
      <c r="B37" s="1432" t="s">
        <v>1853</v>
      </c>
      <c r="C37" s="2468" t="s">
        <v>1854</v>
      </c>
      <c r="D37" s="2469"/>
      <c r="E37" s="2469"/>
      <c r="F37" s="2470"/>
      <c r="G37" s="2468" t="s">
        <v>1674</v>
      </c>
      <c r="H37" s="2469"/>
      <c r="I37" s="2470"/>
    </row>
    <row r="38" spans="2:9" ht="16.5" customHeight="1" x14ac:dyDescent="0.2">
      <c r="B38" s="1433"/>
      <c r="C38" s="2456"/>
      <c r="D38" s="2457"/>
      <c r="E38" s="2457"/>
      <c r="F38" s="2458"/>
      <c r="G38" s="2471"/>
      <c r="H38" s="2472"/>
      <c r="I38" s="2473"/>
    </row>
    <row r="39" spans="2:9" ht="16.5" customHeight="1" x14ac:dyDescent="0.2">
      <c r="B39" s="1433"/>
      <c r="C39" s="2456"/>
      <c r="D39" s="2457"/>
      <c r="E39" s="2457"/>
      <c r="F39" s="2458"/>
      <c r="G39" s="2459"/>
      <c r="H39" s="2459"/>
      <c r="I39" s="2459"/>
    </row>
    <row r="40" spans="2:9" ht="16.5" customHeight="1" x14ac:dyDescent="0.2">
      <c r="B40" s="1433"/>
      <c r="C40" s="2456"/>
      <c r="D40" s="2457"/>
      <c r="E40" s="2457"/>
      <c r="F40" s="2458"/>
      <c r="G40" s="2459"/>
      <c r="H40" s="2459"/>
      <c r="I40" s="2459"/>
    </row>
    <row r="41" spans="2:9" ht="16.5" customHeight="1" x14ac:dyDescent="0.2">
      <c r="B41" s="1433"/>
      <c r="C41" s="2456"/>
      <c r="D41" s="2457"/>
      <c r="E41" s="2457"/>
      <c r="F41" s="2458"/>
      <c r="G41" s="2459"/>
      <c r="H41" s="2459"/>
      <c r="I41" s="2459"/>
    </row>
    <row r="42" spans="2:9" ht="16.5" customHeight="1" x14ac:dyDescent="0.2">
      <c r="B42" s="1433"/>
      <c r="C42" s="2456"/>
      <c r="D42" s="2457"/>
      <c r="E42" s="2457"/>
      <c r="F42" s="2458"/>
      <c r="G42" s="2459"/>
      <c r="H42" s="2459"/>
      <c r="I42" s="2459"/>
    </row>
    <row r="43" spans="2:9" ht="16.5" customHeight="1" x14ac:dyDescent="0.2">
      <c r="B43" s="1433"/>
      <c r="C43" s="2474" t="s">
        <v>1675</v>
      </c>
      <c r="D43" s="2475"/>
      <c r="E43" s="2475"/>
      <c r="F43" s="2476"/>
      <c r="G43" s="2477">
        <f>SUM(G38:I42)</f>
        <v>0</v>
      </c>
      <c r="H43" s="2477"/>
      <c r="I43" s="2477"/>
    </row>
    <row r="44" spans="2:9" ht="12.75" customHeight="1" x14ac:dyDescent="0.2"/>
    <row r="45" spans="2:9" ht="12.75" customHeight="1" x14ac:dyDescent="0.2">
      <c r="B45" s="1424" t="s">
        <v>1952</v>
      </c>
      <c r="D45" s="2478">
        <v>0</v>
      </c>
      <c r="E45" s="2479"/>
    </row>
    <row r="46" spans="2:9" ht="5.25" customHeight="1" x14ac:dyDescent="0.2">
      <c r="B46" s="1434"/>
      <c r="D46" s="1435"/>
      <c r="E46" s="1436"/>
    </row>
    <row r="47" spans="2:9" ht="12.75" customHeight="1" x14ac:dyDescent="0.2">
      <c r="B47" s="1289" t="s">
        <v>1676</v>
      </c>
      <c r="C47" s="1289"/>
      <c r="D47" s="1437" t="e">
        <f>+G43/D45</f>
        <v>#DIV/0!</v>
      </c>
      <c r="E47" s="1438"/>
      <c r="F47" s="1439"/>
      <c r="I47" s="1440"/>
    </row>
    <row r="48" spans="2:9" ht="9.9499999999999993" customHeight="1" x14ac:dyDescent="0.2"/>
    <row r="49" spans="1:9" x14ac:dyDescent="0.2">
      <c r="B49" s="1357" t="s">
        <v>1335</v>
      </c>
      <c r="C49" s="1271"/>
      <c r="D49" s="1271"/>
      <c r="E49" s="2480"/>
      <c r="F49" s="2480"/>
      <c r="G49" s="2480"/>
      <c r="H49" s="322"/>
    </row>
    <row r="51" spans="1:9" ht="13.5" customHeight="1" x14ac:dyDescent="0.2">
      <c r="B51" s="1357" t="s">
        <v>1334</v>
      </c>
      <c r="C51" s="1271"/>
      <c r="E51" s="1427"/>
      <c r="F51" s="1289" t="s">
        <v>940</v>
      </c>
      <c r="G51" s="1427"/>
      <c r="H51" s="1289" t="s">
        <v>101</v>
      </c>
    </row>
    <row r="52" spans="1:9" x14ac:dyDescent="0.2">
      <c r="B52" s="1349"/>
      <c r="C52" s="1286"/>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1855</v>
      </c>
      <c r="C54" s="1449"/>
      <c r="D54" s="1449"/>
    </row>
    <row r="55" spans="1:9" s="1450" customFormat="1" ht="12.75" customHeight="1" x14ac:dyDescent="0.2">
      <c r="A55" s="1447"/>
      <c r="B55" s="1451" t="s">
        <v>1677</v>
      </c>
      <c r="C55" s="1447"/>
      <c r="D55" s="1447"/>
    </row>
    <row r="56" spans="1:9" s="1450" customFormat="1" ht="12.75" customHeight="1" x14ac:dyDescent="0.2">
      <c r="A56" s="1447"/>
      <c r="B56" s="1451" t="s">
        <v>1678</v>
      </c>
      <c r="C56" s="1447"/>
      <c r="D56" s="1447"/>
    </row>
    <row r="57" spans="1:9" s="1450" customFormat="1" ht="3.95" customHeight="1" x14ac:dyDescent="0.2">
      <c r="A57" s="1447"/>
      <c r="B57" s="1451"/>
      <c r="C57" s="1447"/>
      <c r="D57" s="1447"/>
    </row>
    <row r="58" spans="1:9" s="1450" customFormat="1" ht="13.5" customHeight="1" x14ac:dyDescent="0.2">
      <c r="A58" s="1447"/>
      <c r="B58" s="1452" t="s">
        <v>1856</v>
      </c>
      <c r="C58" s="1453"/>
      <c r="D58" s="1453"/>
    </row>
    <row r="59" spans="1:9" s="1450" customFormat="1" ht="3.95" customHeight="1" x14ac:dyDescent="0.2">
      <c r="A59" s="1447"/>
      <c r="B59" s="1452"/>
      <c r="C59" s="1453"/>
      <c r="D59" s="1453"/>
    </row>
    <row r="60" spans="1:9" s="1450" customFormat="1" ht="13.5" customHeight="1" x14ac:dyDescent="0.2">
      <c r="A60" s="1447"/>
      <c r="B60" s="1452" t="s">
        <v>1857</v>
      </c>
      <c r="C60" s="1453"/>
      <c r="D60" s="1453"/>
    </row>
    <row r="61" spans="1:9" s="1450" customFormat="1" ht="3.95" customHeight="1" x14ac:dyDescent="0.2">
      <c r="A61" s="1447"/>
      <c r="B61" s="1452"/>
      <c r="C61" s="1453"/>
      <c r="D61" s="1453"/>
    </row>
    <row r="62" spans="1:9" s="1450" customFormat="1" ht="12.75" customHeight="1" x14ac:dyDescent="0.2">
      <c r="A62" s="1447"/>
      <c r="B62" s="1452" t="s">
        <v>1858</v>
      </c>
      <c r="C62" s="1453"/>
      <c r="D62" s="1453"/>
    </row>
    <row r="63" spans="1:9" s="1450" customFormat="1" ht="13.5" customHeight="1" x14ac:dyDescent="0.2">
      <c r="A63" s="1447"/>
      <c r="B63" s="1451" t="s">
        <v>1679</v>
      </c>
      <c r="C63" s="1447"/>
      <c r="D63" s="144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sqref="A1:D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Benjamin SD 25</v>
      </c>
      <c r="C1" s="2460"/>
      <c r="D1" s="2460"/>
      <c r="E1" s="2460"/>
      <c r="F1" s="2460"/>
      <c r="G1" s="2460"/>
      <c r="H1" s="2460"/>
      <c r="I1" s="2460"/>
      <c r="J1" s="2460"/>
      <c r="K1" s="2460"/>
      <c r="L1" s="1363"/>
      <c r="M1" s="1363"/>
    </row>
    <row r="2" spans="1:13" ht="12" customHeight="1" x14ac:dyDescent="0.2">
      <c r="B2" s="2462">
        <f>'Single Audit Cover'!E7</f>
        <v>19022025002</v>
      </c>
      <c r="C2" s="2462"/>
      <c r="D2" s="2462"/>
      <c r="E2" s="2462"/>
      <c r="F2" s="2462"/>
      <c r="G2" s="2462"/>
      <c r="H2" s="2462"/>
      <c r="I2" s="2462"/>
      <c r="J2" s="2462"/>
      <c r="K2" s="2462"/>
      <c r="L2" s="1364"/>
      <c r="M2" s="1365"/>
    </row>
    <row r="3" spans="1:13" ht="10.35" customHeight="1" x14ac:dyDescent="0.2">
      <c r="B3" s="2483" t="s">
        <v>1347</v>
      </c>
      <c r="C3" s="2483"/>
      <c r="D3" s="2483"/>
      <c r="E3" s="2483"/>
      <c r="F3" s="2483"/>
      <c r="G3" s="2483"/>
      <c r="H3" s="2483"/>
      <c r="I3" s="2483"/>
      <c r="J3" s="2483"/>
      <c r="K3" s="2483"/>
      <c r="L3" s="1366"/>
      <c r="M3" s="1366"/>
    </row>
    <row r="4" spans="1:13" ht="14.25" customHeight="1" x14ac:dyDescent="0.2">
      <c r="B4" s="2484" t="str">
        <f>'Single Audit Cover'!A4</f>
        <v>Year Ending June 30, 2018</v>
      </c>
      <c r="C4" s="2484"/>
      <c r="D4" s="2484"/>
      <c r="E4" s="2484"/>
      <c r="F4" s="2484"/>
      <c r="G4" s="2484"/>
      <c r="H4" s="2484"/>
      <c r="I4" s="2484"/>
      <c r="J4" s="2484"/>
      <c r="K4" s="2484"/>
      <c r="L4" s="313"/>
      <c r="M4" s="313"/>
    </row>
    <row r="5" spans="1:13" ht="7.5" customHeight="1" x14ac:dyDescent="0.2">
      <c r="B5" s="1249" t="s">
        <v>1231</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484" t="s">
        <v>1363</v>
      </c>
      <c r="C7" s="2484"/>
      <c r="D7" s="2485"/>
      <c r="E7" s="2485"/>
      <c r="F7" s="2485"/>
      <c r="G7" s="2485"/>
      <c r="H7" s="2485"/>
      <c r="I7" s="2485"/>
      <c r="J7" s="2485"/>
      <c r="K7" s="2485"/>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1845</v>
      </c>
      <c r="C10" s="1374" t="s">
        <v>1953</v>
      </c>
      <c r="D10" s="1375"/>
      <c r="E10" s="322"/>
      <c r="F10" s="1376" t="s">
        <v>1362</v>
      </c>
      <c r="G10" s="1377"/>
      <c r="H10" s="1378" t="s">
        <v>1361</v>
      </c>
      <c r="I10" s="1377"/>
      <c r="J10" s="1379" t="s">
        <v>1360</v>
      </c>
      <c r="K10" s="322"/>
      <c r="L10" s="1370"/>
    </row>
    <row r="11" spans="1:13" ht="13.5" customHeight="1" x14ac:dyDescent="0.2">
      <c r="B11" s="322"/>
      <c r="C11" s="322"/>
      <c r="D11" s="322"/>
      <c r="E11" s="322"/>
      <c r="F11" s="322"/>
      <c r="G11" s="1372"/>
      <c r="H11" s="322"/>
      <c r="I11" s="1380" t="s">
        <v>1359</v>
      </c>
      <c r="J11" s="322"/>
      <c r="K11" s="1381"/>
      <c r="L11" s="1370"/>
    </row>
    <row r="12" spans="1:13" ht="13.5" customHeight="1" x14ac:dyDescent="0.2">
      <c r="B12" s="1283"/>
      <c r="C12" s="1283"/>
      <c r="D12" s="322"/>
      <c r="E12" s="322"/>
      <c r="F12" s="322"/>
      <c r="G12" s="1372"/>
      <c r="H12" s="322"/>
      <c r="I12" s="1372"/>
      <c r="J12" s="322"/>
      <c r="L12" s="1370"/>
    </row>
    <row r="13" spans="1:13" s="1271" customFormat="1" ht="13.5" customHeight="1" x14ac:dyDescent="0.2">
      <c r="B13" s="1382" t="s">
        <v>1358</v>
      </c>
      <c r="C13" s="1382"/>
      <c r="D13" s="1383"/>
      <c r="E13" s="1383"/>
      <c r="F13" s="1383"/>
      <c r="G13" s="1384"/>
      <c r="H13" s="1383"/>
      <c r="I13" s="1384"/>
      <c r="J13" s="1383"/>
      <c r="K13" s="1383"/>
      <c r="L13" s="1385"/>
    </row>
    <row r="14" spans="1:13" ht="45.75" customHeight="1" x14ac:dyDescent="0.2">
      <c r="B14" s="2482"/>
      <c r="C14" s="2482"/>
      <c r="D14" s="2482"/>
      <c r="E14" s="2482"/>
      <c r="F14" s="2482"/>
      <c r="G14" s="2482"/>
      <c r="H14" s="2482"/>
      <c r="I14" s="2482"/>
      <c r="J14" s="2482"/>
      <c r="K14" s="2482"/>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1357</v>
      </c>
      <c r="C16" s="1382"/>
      <c r="D16" s="1383"/>
      <c r="E16" s="1383"/>
      <c r="F16" s="1383"/>
      <c r="G16" s="1384"/>
      <c r="H16" s="1383"/>
      <c r="I16" s="1384"/>
      <c r="J16" s="1383"/>
      <c r="K16" s="1383"/>
      <c r="L16" s="1385"/>
    </row>
    <row r="17" spans="2:12" ht="45.75" customHeight="1" x14ac:dyDescent="0.2">
      <c r="B17" s="2482"/>
      <c r="C17" s="2482"/>
      <c r="D17" s="2482"/>
      <c r="E17" s="2482"/>
      <c r="F17" s="2482"/>
      <c r="G17" s="2482"/>
      <c r="H17" s="2482"/>
      <c r="I17" s="2482"/>
      <c r="J17" s="2482"/>
      <c r="K17" s="2482"/>
      <c r="L17" s="1370"/>
    </row>
    <row r="18" spans="2:12" ht="4.5" customHeight="1" x14ac:dyDescent="0.2">
      <c r="B18" s="1387"/>
      <c r="C18" s="1387"/>
      <c r="L18" s="1370"/>
    </row>
    <row r="19" spans="2:12" s="1271" customFormat="1" ht="13.5" customHeight="1" x14ac:dyDescent="0.2">
      <c r="B19" s="1382" t="s">
        <v>1846</v>
      </c>
      <c r="C19" s="1382"/>
      <c r="D19" s="1383"/>
      <c r="E19" s="1383"/>
      <c r="F19" s="1383"/>
      <c r="G19" s="1384"/>
      <c r="H19" s="1383"/>
      <c r="I19" s="1384"/>
      <c r="J19" s="1383"/>
      <c r="K19" s="1383"/>
      <c r="L19" s="1385"/>
    </row>
    <row r="20" spans="2:12" ht="45.75" customHeight="1" x14ac:dyDescent="0.2">
      <c r="B20" s="2486"/>
      <c r="C20" s="2486"/>
      <c r="D20" s="2482"/>
      <c r="E20" s="2482"/>
      <c r="F20" s="2482"/>
      <c r="G20" s="2482"/>
      <c r="H20" s="2482"/>
      <c r="I20" s="2482"/>
      <c r="J20" s="2482"/>
      <c r="K20" s="2482"/>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45" customHeight="1" x14ac:dyDescent="0.2">
      <c r="B23" s="2482"/>
      <c r="C23" s="2482"/>
      <c r="D23" s="2482"/>
      <c r="E23" s="2482"/>
      <c r="F23" s="2482"/>
      <c r="G23" s="2482"/>
      <c r="H23" s="2482"/>
      <c r="I23" s="2482"/>
      <c r="J23" s="2482"/>
      <c r="K23" s="2482"/>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45.75" customHeight="1" x14ac:dyDescent="0.2">
      <c r="B26" s="2482"/>
      <c r="C26" s="2482"/>
      <c r="D26" s="2482"/>
      <c r="E26" s="2482"/>
      <c r="F26" s="2482"/>
      <c r="G26" s="2482"/>
      <c r="H26" s="2482"/>
      <c r="I26" s="2482"/>
      <c r="J26" s="2482"/>
      <c r="K26" s="2482"/>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45.75" customHeight="1" x14ac:dyDescent="0.2">
      <c r="B29" s="2481"/>
      <c r="C29" s="2481"/>
      <c r="D29" s="2482"/>
      <c r="E29" s="2482"/>
      <c r="F29" s="2482"/>
      <c r="G29" s="2482"/>
      <c r="H29" s="2482"/>
      <c r="I29" s="2482"/>
      <c r="J29" s="2482"/>
      <c r="K29" s="2482"/>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1847</v>
      </c>
      <c r="C31" s="1392"/>
      <c r="D31" s="1367"/>
      <c r="E31" s="1368"/>
      <c r="F31" s="1368"/>
      <c r="G31" s="1369"/>
      <c r="H31" s="1368"/>
      <c r="I31" s="1369"/>
      <c r="J31" s="1368"/>
      <c r="K31" s="1368"/>
      <c r="L31" s="1370"/>
    </row>
    <row r="32" spans="2:12" s="322" customFormat="1" ht="44.25" customHeight="1" x14ac:dyDescent="0.2">
      <c r="B32" s="2481"/>
      <c r="C32" s="2481"/>
      <c r="D32" s="2482"/>
      <c r="E32" s="2482"/>
      <c r="F32" s="2482"/>
      <c r="G32" s="2482"/>
      <c r="H32" s="2482"/>
      <c r="I32" s="2482"/>
      <c r="J32" s="2482"/>
      <c r="K32" s="2482"/>
      <c r="L32" s="1370"/>
    </row>
    <row r="33" spans="1:13" s="322" customFormat="1" ht="4.5" customHeight="1" x14ac:dyDescent="0.2">
      <c r="B33" s="1391"/>
      <c r="C33" s="1391"/>
      <c r="G33" s="1372"/>
      <c r="I33" s="1372"/>
      <c r="L33" s="1370"/>
    </row>
    <row r="34" spans="1:13" s="322" customFormat="1" x14ac:dyDescent="0.2">
      <c r="A34" s="1286"/>
      <c r="B34" s="1406"/>
      <c r="C34" s="1406"/>
      <c r="D34" s="1406"/>
      <c r="E34" s="1406"/>
      <c r="F34" s="1406"/>
      <c r="G34" s="1407"/>
      <c r="H34" s="1406"/>
      <c r="I34" s="1407"/>
      <c r="J34" s="1406"/>
      <c r="K34" s="1406"/>
      <c r="L34" s="1370"/>
    </row>
    <row r="35" spans="1:13" ht="11.85" customHeight="1" x14ac:dyDescent="0.2">
      <c r="B35" s="1408" t="s">
        <v>1848</v>
      </c>
      <c r="C35" s="1408"/>
      <c r="D35" s="322"/>
      <c r="E35" s="322"/>
      <c r="F35" s="322"/>
      <c r="L35" s="1370"/>
    </row>
    <row r="36" spans="1:13" ht="9.6" customHeight="1" x14ac:dyDescent="0.2">
      <c r="B36" s="1289" t="s">
        <v>1954</v>
      </c>
      <c r="C36" s="1289"/>
      <c r="L36" s="1370"/>
    </row>
    <row r="37" spans="1:13" ht="9.6" customHeight="1" x14ac:dyDescent="0.2">
      <c r="B37" s="1289" t="s">
        <v>1955</v>
      </c>
      <c r="C37" s="1289"/>
    </row>
    <row r="38" spans="1:13" ht="11.85" customHeight="1" x14ac:dyDescent="0.2">
      <c r="B38" s="1409" t="s">
        <v>1849</v>
      </c>
      <c r="C38" s="1409"/>
    </row>
    <row r="39" spans="1:13" ht="9.6" customHeight="1" x14ac:dyDescent="0.2">
      <c r="B39" s="1289" t="s">
        <v>1348</v>
      </c>
      <c r="C39" s="1289"/>
      <c r="M39" s="1410"/>
    </row>
    <row r="40" spans="1:13" ht="12.6" customHeight="1" x14ac:dyDescent="0.2">
      <c r="B40" s="1409" t="s">
        <v>1850</v>
      </c>
      <c r="C40" s="1409"/>
      <c r="M40" s="1410"/>
    </row>
    <row r="41" spans="1:13" ht="9.6" customHeight="1" x14ac:dyDescent="0.2">
      <c r="B41" s="1289"/>
      <c r="C41" s="1289"/>
      <c r="M41" s="141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C1" zoomScale="110" zoomScaleNormal="110" workbookViewId="0">
      <selection sqref="A1:D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Benjamin SD 25</v>
      </c>
      <c r="C1" s="2487"/>
      <c r="D1" s="2487"/>
      <c r="E1" s="2487"/>
      <c r="F1" s="2487"/>
      <c r="G1" s="2487"/>
      <c r="H1" s="2487"/>
      <c r="I1" s="2487"/>
      <c r="J1" s="2487"/>
      <c r="K1" s="2487"/>
      <c r="L1" s="1454"/>
    </row>
    <row r="2" spans="1:12" ht="12.75" customHeight="1" x14ac:dyDescent="0.2">
      <c r="B2" s="2488">
        <f>'Single Audit Cover'!E7</f>
        <v>19022025002</v>
      </c>
      <c r="C2" s="2488"/>
      <c r="D2" s="2488"/>
      <c r="E2" s="2488"/>
      <c r="F2" s="2488"/>
      <c r="G2" s="2488"/>
      <c r="H2" s="2488"/>
      <c r="I2" s="2488"/>
      <c r="J2" s="2488"/>
      <c r="K2" s="2488"/>
      <c r="L2" s="1455"/>
    </row>
    <row r="3" spans="1:12" ht="12.75" customHeight="1" x14ac:dyDescent="0.2">
      <c r="B3" s="2483" t="s">
        <v>1347</v>
      </c>
      <c r="C3" s="2483"/>
      <c r="D3" s="2483"/>
      <c r="E3" s="2483"/>
      <c r="F3" s="2483"/>
      <c r="G3" s="2483"/>
      <c r="H3" s="2483"/>
      <c r="I3" s="2483"/>
      <c r="J3" s="2483"/>
      <c r="K3" s="2483"/>
      <c r="L3" s="1366"/>
    </row>
    <row r="4" spans="1:12" ht="12.75" customHeight="1" x14ac:dyDescent="0.2">
      <c r="B4" s="2483" t="str">
        <f>'Single Audit Cover'!A4</f>
        <v>Year Ending June 30, 2018</v>
      </c>
      <c r="C4" s="2483"/>
      <c r="D4" s="2483"/>
      <c r="E4" s="2483"/>
      <c r="F4" s="2483"/>
      <c r="G4" s="2483"/>
      <c r="H4" s="2483"/>
      <c r="I4" s="2483"/>
      <c r="J4" s="2483"/>
      <c r="K4" s="2483"/>
      <c r="L4" s="1366"/>
    </row>
    <row r="5" spans="1:12" ht="5.25" customHeight="1" x14ac:dyDescent="0.2">
      <c r="B5" s="1249" t="s">
        <v>1231</v>
      </c>
      <c r="C5" s="1249"/>
      <c r="L5" s="322"/>
    </row>
    <row r="6" spans="1:12" ht="30.75" customHeight="1" x14ac:dyDescent="0.2">
      <c r="A6" s="322"/>
      <c r="B6" s="2489" t="s">
        <v>1375</v>
      </c>
      <c r="C6" s="2489"/>
      <c r="D6" s="2489"/>
      <c r="E6" s="2489"/>
      <c r="F6" s="2489"/>
      <c r="G6" s="2489"/>
      <c r="H6" s="2489"/>
      <c r="I6" s="2489"/>
      <c r="J6" s="2489"/>
      <c r="K6" s="2489"/>
      <c r="L6" s="322"/>
    </row>
    <row r="7" spans="1:12" ht="4.5" customHeight="1" x14ac:dyDescent="0.2">
      <c r="B7" s="1368"/>
      <c r="C7" s="1368"/>
      <c r="D7" s="1368"/>
      <c r="E7" s="1368"/>
      <c r="F7" s="1368"/>
      <c r="G7" s="1369"/>
      <c r="H7" s="1368"/>
      <c r="I7" s="1369"/>
      <c r="J7" s="1368"/>
      <c r="K7" s="1368"/>
      <c r="L7" s="322"/>
    </row>
    <row r="8" spans="1:12" ht="13.5" customHeight="1" x14ac:dyDescent="0.2">
      <c r="B8" s="1376" t="s">
        <v>1859</v>
      </c>
      <c r="C8" s="1456" t="s">
        <v>1953</v>
      </c>
      <c r="D8" s="1457"/>
      <c r="E8" s="322"/>
      <c r="F8" s="1373" t="s">
        <v>1362</v>
      </c>
      <c r="G8" s="1458"/>
      <c r="H8" s="1459" t="s">
        <v>1374</v>
      </c>
      <c r="I8" s="1458"/>
      <c r="J8" s="1460" t="s">
        <v>1373</v>
      </c>
      <c r="L8" s="322"/>
    </row>
    <row r="9" spans="1:12" ht="13.5" customHeight="1" x14ac:dyDescent="0.2">
      <c r="D9" s="322"/>
      <c r="E9" s="322"/>
      <c r="F9" s="322"/>
      <c r="G9" s="1372"/>
      <c r="H9" s="322"/>
      <c r="I9" s="1461" t="s">
        <v>1359</v>
      </c>
      <c r="J9" s="322"/>
      <c r="K9" s="1462"/>
      <c r="L9" s="322"/>
    </row>
    <row r="10" spans="1:12" ht="4.5"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5" customHeight="1" x14ac:dyDescent="0.2">
      <c r="B12" s="1373" t="s">
        <v>1372</v>
      </c>
      <c r="C12" s="1373"/>
      <c r="D12" s="304"/>
      <c r="E12" s="322"/>
      <c r="F12" s="2467"/>
      <c r="G12" s="2467"/>
      <c r="H12" s="2467"/>
      <c r="I12" s="2467"/>
      <c r="J12" s="2467"/>
      <c r="K12" s="2467"/>
      <c r="L12" s="322"/>
    </row>
    <row r="13" spans="1:12" ht="9.6" customHeight="1" x14ac:dyDescent="0.2">
      <c r="B13" s="1246"/>
      <c r="C13" s="1246"/>
      <c r="D13" s="304"/>
      <c r="E13" s="322"/>
      <c r="F13" s="322"/>
      <c r="G13" s="1372"/>
      <c r="H13" s="322"/>
      <c r="I13" s="1372"/>
      <c r="J13" s="322"/>
      <c r="K13" s="1421"/>
      <c r="L13" s="322"/>
    </row>
    <row r="14" spans="1:12" ht="13.5" customHeight="1" x14ac:dyDescent="0.2">
      <c r="B14" s="1376" t="s">
        <v>1371</v>
      </c>
      <c r="C14" s="1376"/>
      <c r="D14" s="2490"/>
      <c r="E14" s="2490"/>
      <c r="F14" s="2490"/>
      <c r="H14" s="1464" t="s">
        <v>1370</v>
      </c>
      <c r="I14" s="2491"/>
      <c r="J14" s="2491"/>
      <c r="K14" s="2491"/>
      <c r="L14" s="322"/>
    </row>
    <row r="15" spans="1:12" ht="9.4" customHeight="1" x14ac:dyDescent="0.2">
      <c r="B15" s="1376"/>
      <c r="C15" s="1376"/>
      <c r="D15" s="1362"/>
      <c r="E15" s="1249"/>
      <c r="F15" s="1249"/>
      <c r="G15" s="1275"/>
      <c r="H15" s="1249"/>
      <c r="I15" s="1465"/>
      <c r="J15" s="1283"/>
      <c r="K15" s="1280"/>
      <c r="L15" s="322"/>
    </row>
    <row r="16" spans="1:12" ht="13.5" customHeight="1" x14ac:dyDescent="0.2">
      <c r="B16" s="1376" t="s">
        <v>1369</v>
      </c>
      <c r="C16" s="1376"/>
      <c r="D16" s="2491"/>
      <c r="E16" s="2491"/>
      <c r="F16" s="2491"/>
      <c r="G16" s="2491"/>
      <c r="H16" s="2491"/>
      <c r="I16" s="2491"/>
      <c r="J16" s="2491"/>
      <c r="K16" s="2491"/>
      <c r="L16" s="322"/>
    </row>
    <row r="17" spans="2:12" ht="13.5" customHeight="1" x14ac:dyDescent="0.2">
      <c r="B17" s="1376" t="s">
        <v>1368</v>
      </c>
      <c r="C17" s="1376"/>
      <c r="D17" s="2492"/>
      <c r="E17" s="2492"/>
      <c r="F17" s="2492"/>
      <c r="G17" s="2492"/>
      <c r="H17" s="2492"/>
      <c r="I17" s="2492"/>
      <c r="J17" s="2492"/>
      <c r="K17" s="2492"/>
      <c r="L17" s="322"/>
    </row>
    <row r="18" spans="2:12" ht="9.4" customHeight="1" x14ac:dyDescent="0.2">
      <c r="B18" s="1416"/>
      <c r="C18" s="1416"/>
      <c r="D18" s="1416"/>
      <c r="E18" s="1416"/>
      <c r="F18" s="1416"/>
      <c r="G18" s="1417"/>
      <c r="H18" s="1416"/>
      <c r="I18" s="1417"/>
      <c r="J18" s="1416"/>
      <c r="K18" s="1416"/>
      <c r="L18" s="322"/>
    </row>
    <row r="19" spans="2:12" ht="13.5" customHeight="1" x14ac:dyDescent="0.2">
      <c r="B19" s="1466" t="s">
        <v>1367</v>
      </c>
      <c r="C19" s="1466"/>
      <c r="D19" s="328"/>
      <c r="E19" s="328"/>
      <c r="F19" s="328"/>
      <c r="G19" s="1467"/>
      <c r="H19" s="328"/>
      <c r="I19" s="1467"/>
      <c r="J19" s="322"/>
      <c r="K19" s="322"/>
      <c r="L19" s="322"/>
    </row>
    <row r="20" spans="2:12" ht="35.25" customHeight="1" x14ac:dyDescent="0.2">
      <c r="B20" s="2482"/>
      <c r="C20" s="2482"/>
      <c r="D20" s="2482"/>
      <c r="E20" s="2482"/>
      <c r="F20" s="2482"/>
      <c r="G20" s="2482"/>
      <c r="H20" s="2482"/>
      <c r="I20" s="2482"/>
      <c r="J20" s="2482"/>
      <c r="K20" s="2482"/>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1860</v>
      </c>
      <c r="C22" s="1466"/>
      <c r="D22" s="322"/>
      <c r="E22" s="322"/>
      <c r="F22" s="322"/>
      <c r="G22" s="1372"/>
      <c r="H22" s="322"/>
      <c r="I22" s="1372"/>
      <c r="J22" s="322"/>
      <c r="K22" s="322"/>
      <c r="L22" s="322"/>
    </row>
    <row r="23" spans="2:12" ht="37.5" customHeight="1" x14ac:dyDescent="0.2">
      <c r="B23" s="2482"/>
      <c r="C23" s="2482"/>
      <c r="D23" s="2482"/>
      <c r="E23" s="2482"/>
      <c r="F23" s="2482"/>
      <c r="G23" s="2482"/>
      <c r="H23" s="2482"/>
      <c r="I23" s="2482"/>
      <c r="J23" s="2482"/>
      <c r="K23" s="2482"/>
      <c r="L23" s="322"/>
    </row>
    <row r="24" spans="2:12" ht="4.5" customHeight="1" x14ac:dyDescent="0.2">
      <c r="B24" s="1468"/>
      <c r="C24" s="1468"/>
      <c r="D24" s="1416"/>
      <c r="E24" s="1416"/>
      <c r="F24" s="1416"/>
      <c r="G24" s="1417"/>
      <c r="H24" s="1416"/>
      <c r="I24" s="1417"/>
      <c r="J24" s="1416"/>
      <c r="K24" s="1416"/>
      <c r="L24" s="322"/>
    </row>
    <row r="25" spans="2:12" ht="13.5" customHeight="1" x14ac:dyDescent="0.2">
      <c r="B25" s="1466" t="s">
        <v>1861</v>
      </c>
      <c r="C25" s="1466"/>
      <c r="D25" s="322"/>
      <c r="E25" s="322"/>
      <c r="F25" s="322"/>
      <c r="G25" s="1372"/>
      <c r="H25" s="322"/>
      <c r="I25" s="1372"/>
      <c r="J25" s="322"/>
      <c r="K25" s="322"/>
      <c r="L25" s="322"/>
    </row>
    <row r="26" spans="2:12" ht="37.5" customHeight="1" x14ac:dyDescent="0.2">
      <c r="B26" s="2482"/>
      <c r="C26" s="2482"/>
      <c r="D26" s="2482"/>
      <c r="E26" s="2482"/>
      <c r="F26" s="2482"/>
      <c r="G26" s="2482"/>
      <c r="H26" s="2482"/>
      <c r="I26" s="2482"/>
      <c r="J26" s="2482"/>
      <c r="K26" s="2482"/>
      <c r="L26" s="322"/>
    </row>
    <row r="27" spans="2:12" ht="4.5" customHeight="1" x14ac:dyDescent="0.2">
      <c r="B27" s="1470"/>
      <c r="C27" s="1470"/>
      <c r="D27" s="1470"/>
      <c r="E27" s="1416"/>
      <c r="F27" s="1416"/>
      <c r="G27" s="1417"/>
      <c r="H27" s="1416"/>
      <c r="I27" s="1417"/>
      <c r="J27" s="1416"/>
      <c r="K27" s="1416"/>
      <c r="L27" s="322"/>
    </row>
    <row r="28" spans="2:12" ht="13.5" customHeight="1" x14ac:dyDescent="0.2">
      <c r="B28" s="1466" t="s">
        <v>1862</v>
      </c>
      <c r="C28" s="1466"/>
      <c r="D28" s="322"/>
      <c r="E28" s="322"/>
      <c r="F28" s="322"/>
      <c r="G28" s="1372"/>
      <c r="H28" s="322"/>
      <c r="I28" s="1372"/>
      <c r="J28" s="322"/>
      <c r="K28" s="322"/>
      <c r="L28" s="322"/>
    </row>
    <row r="29" spans="2:12" ht="37.5" customHeight="1" x14ac:dyDescent="0.2">
      <c r="B29" s="2482"/>
      <c r="C29" s="2482"/>
      <c r="D29" s="2482"/>
      <c r="E29" s="2482"/>
      <c r="F29" s="2482"/>
      <c r="G29" s="2482"/>
      <c r="H29" s="2482"/>
      <c r="I29" s="2482"/>
      <c r="J29" s="2482"/>
      <c r="K29" s="2482"/>
      <c r="L29" s="322"/>
    </row>
    <row r="30" spans="2:12" ht="4.5" customHeight="1" x14ac:dyDescent="0.2">
      <c r="B30" s="1468"/>
      <c r="C30" s="1468"/>
      <c r="D30" s="1416"/>
      <c r="E30" s="1416"/>
      <c r="F30" s="1416"/>
      <c r="G30" s="1417"/>
      <c r="H30" s="1416"/>
      <c r="I30" s="1417"/>
      <c r="J30" s="1416"/>
      <c r="K30" s="1416"/>
      <c r="L30" s="322"/>
    </row>
    <row r="31" spans="2:12" ht="13.5" customHeight="1" x14ac:dyDescent="0.2">
      <c r="B31" s="1466" t="s">
        <v>1366</v>
      </c>
      <c r="C31" s="1466"/>
      <c r="D31" s="322"/>
      <c r="E31" s="322"/>
      <c r="F31" s="322"/>
      <c r="G31" s="1372"/>
      <c r="H31" s="322"/>
      <c r="I31" s="1372"/>
      <c r="J31" s="322"/>
      <c r="K31" s="322"/>
      <c r="L31" s="322"/>
    </row>
    <row r="32" spans="2:12" ht="37.5" customHeight="1" x14ac:dyDescent="0.2">
      <c r="B32" s="2482"/>
      <c r="C32" s="2482"/>
      <c r="D32" s="2482"/>
      <c r="E32" s="2482"/>
      <c r="F32" s="2482"/>
      <c r="G32" s="2482"/>
      <c r="H32" s="2482"/>
      <c r="I32" s="2482"/>
      <c r="J32" s="2482"/>
      <c r="K32" s="2482"/>
      <c r="L32" s="322"/>
    </row>
    <row r="33" spans="2:12" ht="4.5" customHeight="1" x14ac:dyDescent="0.2">
      <c r="B33" s="1468"/>
      <c r="C33" s="1468"/>
      <c r="D33" s="1416"/>
      <c r="E33" s="1416"/>
      <c r="F33" s="1416"/>
      <c r="G33" s="1417"/>
      <c r="H33" s="1416"/>
      <c r="I33" s="1417"/>
      <c r="J33" s="1416"/>
      <c r="K33" s="1416"/>
      <c r="L33" s="322"/>
    </row>
    <row r="34" spans="2:12" ht="13.5" customHeight="1" x14ac:dyDescent="0.2">
      <c r="B34" s="1373" t="s">
        <v>1365</v>
      </c>
      <c r="C34" s="1373"/>
      <c r="D34" s="322"/>
      <c r="E34" s="322"/>
      <c r="F34" s="322"/>
      <c r="G34" s="1372"/>
      <c r="H34" s="322"/>
      <c r="I34" s="1372"/>
      <c r="J34" s="322"/>
      <c r="K34" s="322"/>
      <c r="L34" s="322"/>
    </row>
    <row r="35" spans="2:12" ht="37.5" customHeight="1" x14ac:dyDescent="0.2">
      <c r="B35" s="2482"/>
      <c r="C35" s="2482"/>
      <c r="D35" s="2482"/>
      <c r="E35" s="2482"/>
      <c r="F35" s="2482"/>
      <c r="G35" s="2482"/>
      <c r="H35" s="2482"/>
      <c r="I35" s="2482"/>
      <c r="J35" s="2482"/>
      <c r="K35" s="2482"/>
      <c r="L35" s="322"/>
    </row>
    <row r="36" spans="2:12" ht="4.5" customHeight="1" x14ac:dyDescent="0.2">
      <c r="B36" s="1468"/>
      <c r="C36" s="1468"/>
      <c r="D36" s="1416"/>
      <c r="E36" s="1416"/>
      <c r="F36" s="1416"/>
      <c r="G36" s="1417"/>
      <c r="H36" s="1416"/>
      <c r="I36" s="1417"/>
      <c r="J36" s="1416"/>
      <c r="K36" s="1416"/>
      <c r="L36" s="322"/>
    </row>
    <row r="37" spans="2:12" ht="13.5" customHeight="1" x14ac:dyDescent="0.2">
      <c r="B37" s="1373" t="s">
        <v>1364</v>
      </c>
      <c r="C37" s="1373"/>
      <c r="D37" s="322"/>
      <c r="E37" s="322"/>
      <c r="F37" s="322"/>
      <c r="G37" s="1372"/>
      <c r="H37" s="322"/>
      <c r="I37" s="1372"/>
      <c r="J37" s="322"/>
      <c r="K37" s="322"/>
      <c r="L37" s="322"/>
    </row>
    <row r="38" spans="2:12" ht="35.25" customHeight="1" x14ac:dyDescent="0.2">
      <c r="B38" s="2482"/>
      <c r="C38" s="2482"/>
      <c r="D38" s="2482"/>
      <c r="E38" s="2482"/>
      <c r="F38" s="2482"/>
      <c r="G38" s="2482"/>
      <c r="H38" s="2482"/>
      <c r="I38" s="2482"/>
      <c r="J38" s="2482"/>
      <c r="K38" s="2482"/>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1863</v>
      </c>
      <c r="C40" s="1392"/>
      <c r="D40" s="1367"/>
      <c r="E40" s="1368"/>
      <c r="F40" s="1368"/>
      <c r="G40" s="1369"/>
      <c r="H40" s="1368"/>
      <c r="I40" s="1369"/>
      <c r="J40" s="1368"/>
      <c r="K40" s="1368"/>
    </row>
    <row r="41" spans="2:12" s="322" customFormat="1" ht="33.75" customHeight="1" x14ac:dyDescent="0.2">
      <c r="B41" s="2482"/>
      <c r="C41" s="2482"/>
      <c r="D41" s="2482"/>
      <c r="E41" s="2482"/>
      <c r="F41" s="2482"/>
      <c r="G41" s="2482"/>
      <c r="H41" s="2482"/>
      <c r="I41" s="2482"/>
      <c r="J41" s="2482"/>
      <c r="K41" s="2482"/>
    </row>
    <row r="42" spans="2:12" s="322" customFormat="1" ht="4.5" customHeight="1" x14ac:dyDescent="0.2">
      <c r="B42" s="1391"/>
      <c r="C42" s="1391"/>
      <c r="G42" s="1372"/>
      <c r="I42" s="1372"/>
    </row>
    <row r="43" spans="2:12" s="322" customFormat="1" ht="13.5" customHeight="1" x14ac:dyDescent="0.2">
      <c r="B43" s="1471" t="s">
        <v>1353</v>
      </c>
      <c r="C43" s="1472"/>
      <c r="D43" s="1393"/>
      <c r="E43" s="1393"/>
      <c r="F43" s="1393"/>
      <c r="G43" s="1394"/>
      <c r="H43" s="1393"/>
      <c r="I43" s="1394"/>
      <c r="J43" s="1393"/>
      <c r="K43" s="1395"/>
      <c r="L43" s="1473"/>
    </row>
    <row r="44" spans="2:12" s="322" customFormat="1" ht="13.5" customHeight="1" x14ac:dyDescent="0.2">
      <c r="B44" s="1396" t="s">
        <v>1352</v>
      </c>
      <c r="C44" s="1397"/>
      <c r="D44" s="1474"/>
      <c r="E44" s="1398"/>
      <c r="F44" s="1402" t="s">
        <v>1351</v>
      </c>
      <c r="G44" s="1400"/>
      <c r="H44" s="1399"/>
      <c r="I44" s="1400"/>
      <c r="J44" s="1475"/>
      <c r="K44" s="1476"/>
      <c r="L44" s="1473"/>
    </row>
    <row r="45" spans="2:12" s="322" customFormat="1" ht="13.5" customHeight="1" x14ac:dyDescent="0.2">
      <c r="B45" s="1396" t="s">
        <v>1350</v>
      </c>
      <c r="C45" s="1397"/>
      <c r="D45" s="1475"/>
      <c r="E45" s="1399"/>
      <c r="F45" s="1402" t="s">
        <v>1349</v>
      </c>
      <c r="G45" s="1400"/>
      <c r="H45" s="1399"/>
      <c r="I45" s="1400"/>
      <c r="J45" s="1475"/>
      <c r="K45" s="1476"/>
      <c r="L45" s="1473"/>
    </row>
    <row r="46" spans="2:12" s="322"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1864</v>
      </c>
      <c r="C48" s="1408"/>
      <c r="D48" s="322"/>
      <c r="E48" s="322"/>
      <c r="F48" s="322"/>
    </row>
    <row r="49" spans="2:3" s="317" customFormat="1" ht="10.5" customHeight="1" x14ac:dyDescent="0.2">
      <c r="B49" s="1409" t="s">
        <v>1865</v>
      </c>
      <c r="C49" s="1409"/>
    </row>
    <row r="50" spans="2:3" s="317" customFormat="1" ht="11.1" customHeight="1" x14ac:dyDescent="0.2">
      <c r="B50" s="1409" t="s">
        <v>1866</v>
      </c>
      <c r="C50" s="1409"/>
    </row>
    <row r="51" spans="2:3" s="317" customFormat="1" ht="11.1" customHeight="1" x14ac:dyDescent="0.2">
      <c r="B51" s="1409" t="s">
        <v>1867</v>
      </c>
      <c r="C51" s="1409"/>
    </row>
    <row r="52" spans="2:3" s="317" customFormat="1" ht="11.1" customHeight="1" x14ac:dyDescent="0.2">
      <c r="B52" s="1409" t="s">
        <v>1868</v>
      </c>
      <c r="C52" s="140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sqref="A1:D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460" t="str">
        <f>'Single Audit Cover'!A7</f>
        <v>Benjamin SD 25</v>
      </c>
      <c r="C1" s="2460"/>
      <c r="D1" s="2460"/>
      <c r="E1" s="1480"/>
    </row>
    <row r="2" spans="2:5" s="1271" customFormat="1" ht="12.75" customHeight="1" x14ac:dyDescent="0.2">
      <c r="B2" s="2462">
        <f>'Single Audit Cover'!E7</f>
        <v>19022025002</v>
      </c>
      <c r="C2" s="2462"/>
      <c r="D2" s="2462"/>
      <c r="E2" s="1481"/>
    </row>
    <row r="3" spans="2:5" ht="12.75" customHeight="1" x14ac:dyDescent="0.2">
      <c r="B3" s="2483" t="s">
        <v>1869</v>
      </c>
      <c r="C3" s="2483"/>
      <c r="D3" s="2483"/>
      <c r="E3" s="1263"/>
    </row>
    <row r="4" spans="2:5" s="1271" customFormat="1" ht="12.75" customHeight="1" x14ac:dyDescent="0.2">
      <c r="B4" s="2493" t="str">
        <f>'Single Audit Cover'!A4</f>
        <v>Year Ending June 30, 2018</v>
      </c>
      <c r="C4" s="2493"/>
      <c r="D4" s="2493"/>
      <c r="E4" s="1482"/>
    </row>
    <row r="5" spans="2:5" s="1271" customFormat="1" ht="40.15" customHeight="1" x14ac:dyDescent="0.2">
      <c r="B5" s="1483" t="s">
        <v>1870</v>
      </c>
      <c r="C5" s="328"/>
      <c r="D5" s="328"/>
      <c r="E5" s="328"/>
    </row>
    <row r="6" spans="2:5" s="1271" customFormat="1" ht="13.5" customHeight="1" x14ac:dyDescent="0.2">
      <c r="B6" s="1484" t="s">
        <v>1382</v>
      </c>
      <c r="C6" s="1484" t="s">
        <v>1381</v>
      </c>
      <c r="D6" s="1484" t="s">
        <v>1871</v>
      </c>
    </row>
    <row r="7" spans="2:5" ht="13.5" customHeight="1" x14ac:dyDescent="0.2">
      <c r="B7" s="1485"/>
      <c r="C7" s="324"/>
      <c r="D7" s="324"/>
      <c r="E7" s="324"/>
    </row>
    <row r="8" spans="2:5" ht="13.5" customHeight="1" x14ac:dyDescent="0.2">
      <c r="B8" s="1485"/>
      <c r="C8" s="324"/>
      <c r="D8" s="324"/>
      <c r="E8" s="324"/>
    </row>
    <row r="9" spans="2:5" ht="13.5" customHeight="1" x14ac:dyDescent="0.2">
      <c r="B9" s="1486"/>
      <c r="C9" s="323"/>
      <c r="D9" s="323"/>
      <c r="E9" s="323"/>
    </row>
    <row r="10" spans="2:5" ht="13.5" customHeight="1" x14ac:dyDescent="0.2">
      <c r="B10" s="1485"/>
      <c r="C10" s="323"/>
      <c r="D10" s="323"/>
      <c r="E10" s="323"/>
    </row>
    <row r="11" spans="2:5" ht="13.5" customHeight="1" x14ac:dyDescent="0.2">
      <c r="B11" s="1485"/>
      <c r="C11" s="323"/>
      <c r="D11" s="323"/>
      <c r="E11" s="323"/>
    </row>
    <row r="12" spans="2:5" ht="13.5" customHeight="1" x14ac:dyDescent="0.2">
      <c r="B12" s="1485"/>
      <c r="C12" s="323"/>
      <c r="D12" s="323"/>
      <c r="E12" s="323"/>
    </row>
    <row r="13" spans="2:5" ht="13.5" customHeight="1" x14ac:dyDescent="0.2">
      <c r="B13" s="1485"/>
      <c r="C13" s="323"/>
      <c r="D13" s="323"/>
      <c r="E13" s="323"/>
    </row>
    <row r="14" spans="2:5" ht="13.5" customHeight="1" x14ac:dyDescent="0.2">
      <c r="B14" s="1485"/>
      <c r="C14" s="323"/>
      <c r="D14" s="323"/>
      <c r="E14" s="323"/>
    </row>
    <row r="15" spans="2:5" ht="13.5" customHeight="1" x14ac:dyDescent="0.2">
      <c r="B15" s="1485"/>
      <c r="C15" s="323"/>
      <c r="D15" s="323"/>
      <c r="E15" s="323"/>
    </row>
    <row r="16" spans="2:5" ht="13.5" customHeight="1" x14ac:dyDescent="0.2">
      <c r="B16" s="1485"/>
      <c r="C16" s="323"/>
      <c r="D16" s="323"/>
      <c r="E16" s="323"/>
    </row>
    <row r="17" spans="2:5" ht="13.5" customHeight="1" x14ac:dyDescent="0.2">
      <c r="B17" s="1485"/>
      <c r="C17" s="323"/>
      <c r="D17" s="323"/>
      <c r="E17" s="323"/>
    </row>
    <row r="18" spans="2:5" ht="13.5" customHeight="1" x14ac:dyDescent="0.2">
      <c r="B18" s="1485"/>
      <c r="C18" s="323"/>
      <c r="D18" s="323"/>
      <c r="E18" s="323"/>
    </row>
    <row r="19" spans="2:5" ht="13.5" customHeight="1" x14ac:dyDescent="0.2">
      <c r="B19" s="1485"/>
      <c r="C19" s="323"/>
      <c r="D19" s="323"/>
      <c r="E19" s="323"/>
    </row>
    <row r="20" spans="2:5" ht="13.5" customHeight="1" x14ac:dyDescent="0.2">
      <c r="B20" s="1485"/>
      <c r="C20" s="323"/>
      <c r="D20" s="323"/>
      <c r="E20" s="323"/>
    </row>
    <row r="21" spans="2:5" ht="13.5" customHeight="1" x14ac:dyDescent="0.2">
      <c r="B21" s="1485"/>
      <c r="C21" s="323"/>
      <c r="D21" s="323"/>
      <c r="E21" s="323"/>
    </row>
    <row r="22" spans="2:5" ht="13.5" customHeight="1" x14ac:dyDescent="0.2">
      <c r="B22" s="1485"/>
      <c r="C22" s="323"/>
      <c r="D22" s="323"/>
      <c r="E22" s="323"/>
    </row>
    <row r="23" spans="2:5" ht="13.5" customHeight="1" x14ac:dyDescent="0.2">
      <c r="B23" s="1485"/>
      <c r="C23" s="323"/>
      <c r="D23" s="323"/>
      <c r="E23" s="323"/>
    </row>
    <row r="24" spans="2:5" ht="13.5" customHeight="1" x14ac:dyDescent="0.2">
      <c r="B24" s="1485"/>
      <c r="C24" s="323"/>
      <c r="D24" s="323"/>
      <c r="E24" s="323"/>
    </row>
    <row r="25" spans="2:5" ht="13.5" customHeight="1" x14ac:dyDescent="0.2">
      <c r="B25" s="1485"/>
      <c r="C25" s="323"/>
      <c r="D25" s="323"/>
      <c r="E25" s="323"/>
    </row>
    <row r="26" spans="2:5" ht="13.5" customHeight="1" x14ac:dyDescent="0.2">
      <c r="B26" s="1485"/>
      <c r="C26" s="323"/>
      <c r="D26" s="323"/>
      <c r="E26" s="323"/>
    </row>
    <row r="27" spans="2:5" ht="13.5" customHeight="1" x14ac:dyDescent="0.2">
      <c r="B27" s="1485"/>
      <c r="C27" s="323"/>
      <c r="D27" s="323"/>
      <c r="E27" s="323"/>
    </row>
    <row r="28" spans="2:5" ht="13.5" customHeight="1" x14ac:dyDescent="0.2">
      <c r="B28" s="1485"/>
      <c r="C28" s="323"/>
      <c r="D28" s="323"/>
      <c r="E28" s="323"/>
    </row>
    <row r="29" spans="2:5" ht="13.5" customHeight="1" x14ac:dyDescent="0.2">
      <c r="B29" s="1485"/>
      <c r="C29" s="323"/>
      <c r="D29" s="323"/>
      <c r="E29" s="323"/>
    </row>
    <row r="30" spans="2:5" ht="13.5" customHeight="1" x14ac:dyDescent="0.2">
      <c r="B30" s="1485"/>
      <c r="C30" s="323"/>
      <c r="D30" s="323"/>
      <c r="E30" s="323"/>
    </row>
    <row r="31" spans="2:5" ht="13.5" customHeight="1" x14ac:dyDescent="0.2">
      <c r="B31" s="1485"/>
      <c r="C31" s="323"/>
      <c r="D31" s="323"/>
      <c r="E31" s="323"/>
    </row>
    <row r="32" spans="2:5" ht="13.5" customHeight="1" x14ac:dyDescent="0.2">
      <c r="B32" s="1487"/>
      <c r="C32" s="323"/>
      <c r="D32" s="323"/>
      <c r="E32" s="323"/>
    </row>
    <row r="33" spans="2:5" ht="13.5" customHeight="1" x14ac:dyDescent="0.2">
      <c r="B33" s="1488"/>
      <c r="C33" s="323"/>
      <c r="D33" s="323"/>
      <c r="E33" s="323"/>
    </row>
    <row r="34" spans="2:5" ht="13.5" customHeight="1" x14ac:dyDescent="0.2">
      <c r="B34" s="1489"/>
      <c r="C34" s="323"/>
      <c r="D34" s="323"/>
      <c r="E34" s="323"/>
    </row>
    <row r="35" spans="2:5" ht="13.5" customHeight="1" x14ac:dyDescent="0.2">
      <c r="B35" s="1488"/>
      <c r="C35" s="323"/>
      <c r="D35" s="323"/>
      <c r="E35" s="323"/>
    </row>
    <row r="36" spans="2:5" ht="13.5" customHeight="1" x14ac:dyDescent="0.2">
      <c r="B36" s="1489"/>
      <c r="C36" s="323"/>
      <c r="D36" s="323"/>
      <c r="E36" s="323"/>
    </row>
    <row r="37" spans="2:5" ht="13.5" customHeight="1" x14ac:dyDescent="0.2">
      <c r="B37" s="1489"/>
      <c r="C37" s="323"/>
      <c r="D37" s="323"/>
      <c r="E37" s="323"/>
    </row>
    <row r="38" spans="2:5" ht="13.5" customHeight="1" x14ac:dyDescent="0.2">
      <c r="B38" s="1488"/>
      <c r="C38" s="323"/>
      <c r="D38" s="323"/>
      <c r="E38" s="323"/>
    </row>
    <row r="39" spans="2:5" ht="13.5" customHeight="1" x14ac:dyDescent="0.2">
      <c r="B39" s="1489"/>
      <c r="C39" s="323"/>
      <c r="D39" s="323"/>
      <c r="E39" s="323"/>
    </row>
    <row r="40" spans="2:5" ht="13.5" customHeight="1" x14ac:dyDescent="0.2">
      <c r="B40" s="1488"/>
      <c r="C40" s="323"/>
      <c r="D40" s="323"/>
      <c r="E40" s="323"/>
    </row>
    <row r="41" spans="2:5" ht="13.5" customHeight="1" x14ac:dyDescent="0.2">
      <c r="B41" s="1490"/>
      <c r="C41" s="323"/>
      <c r="D41" s="323"/>
      <c r="E41" s="323"/>
    </row>
    <row r="42" spans="2:5" ht="13.5" customHeight="1" x14ac:dyDescent="0.2">
      <c r="B42" s="1491"/>
      <c r="C42" s="323"/>
      <c r="D42" s="323"/>
      <c r="E42" s="323"/>
    </row>
    <row r="43" spans="2:5" ht="12.75" customHeight="1" x14ac:dyDescent="0.2">
      <c r="B43" s="1492"/>
      <c r="C43" s="1493"/>
      <c r="D43" s="1493"/>
      <c r="E43" s="323"/>
    </row>
    <row r="44" spans="2:5" ht="12.2" customHeight="1" x14ac:dyDescent="0.2">
      <c r="B44" s="1246" t="s">
        <v>1380</v>
      </c>
      <c r="C44" s="322"/>
    </row>
    <row r="45" spans="2:5" ht="12.2" customHeight="1" x14ac:dyDescent="0.2">
      <c r="B45" s="1494" t="s">
        <v>1872</v>
      </c>
    </row>
    <row r="46" spans="2:5" ht="12.2" customHeight="1" x14ac:dyDescent="0.2">
      <c r="B46" s="1494" t="s">
        <v>1873</v>
      </c>
    </row>
    <row r="47" spans="2:5" ht="12.2" customHeight="1" x14ac:dyDescent="0.2">
      <c r="B47" s="1495" t="s">
        <v>1379</v>
      </c>
    </row>
    <row r="48" spans="2:5" ht="12.2" customHeight="1" x14ac:dyDescent="0.2">
      <c r="B48" s="1495" t="s">
        <v>1378</v>
      </c>
    </row>
    <row r="49" spans="2:5" ht="12.2" customHeight="1" x14ac:dyDescent="0.2">
      <c r="B49" s="1495" t="s">
        <v>1377</v>
      </c>
    </row>
    <row r="50" spans="2:5" ht="12.2" customHeight="1" x14ac:dyDescent="0.2">
      <c r="B50" s="1495" t="s">
        <v>1376</v>
      </c>
    </row>
    <row r="53" spans="2:5" ht="12.75" customHeight="1" x14ac:dyDescent="0.2"/>
    <row r="54" spans="2:5" ht="12.75" customHeight="1" x14ac:dyDescent="0.2">
      <c r="B54" s="125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sharepoint/v3"/>
    <ds:schemaRef ds:uri="http://www.w3.org/XML/1998/namespace"/>
    <ds:schemaRef ds:uri="d21dc803-237d-4c68-8692-8d731fd29118"/>
    <ds:schemaRef ds:uri="http://schemas.microsoft.com/office/2006/documentManagement/types"/>
    <ds:schemaRef ds:uri="http://purl.org/dc/terms/"/>
    <ds:schemaRef ds:uri="http://purl.org/dc/elements/1.1/"/>
    <ds:schemaRef ds:uri="http://purl.org/dc/dcmitype/"/>
    <ds:schemaRef ds:uri="4d435f69-8686-490b-bd6d-b153bf22ab50"/>
    <ds:schemaRef ds:uri="6ce3111e-7420-4802-b50a-75d4e9a0b980"/>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TOC!Print_Area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2018-11-07T19:10:42Z</cp:lastPrinted>
  <dcterms:created xsi:type="dcterms:W3CDTF">2003-10-29T19:06:34Z</dcterms:created>
  <dcterms:modified xsi:type="dcterms:W3CDTF">2018-12-11T21:47:17Z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Benjamin SD 25</vt:lpwstr>
  </property>
  <property fmtid="{D5CDD505-2E9C-101B-9397-08002B2CF9AE}" pid="6" name="PPC_Template_Engagement_Date">
    <vt:lpwstr>6/30/2018</vt:lpwstr>
  </property>
</Properties>
</file>