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32"/>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F63" i="29" l="1"/>
  <c r="J31" i="8"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A2" i="173"/>
  <c r="B2" i="177"/>
  <c r="A2" i="170"/>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B5286" i="106" s="1"/>
  <c r="D5286" i="106" s="1"/>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s="1"/>
  <c r="B5115" i="106"/>
  <c r="D5115" i="106" s="1"/>
  <c r="B5116" i="106"/>
  <c r="D5116" i="106" s="1"/>
  <c r="B5117" i="106"/>
  <c r="D5117" i="106"/>
  <c r="B5118" i="106"/>
  <c r="D5118" i="106"/>
  <c r="B5119" i="106"/>
  <c r="D5119" i="106"/>
  <c r="B5122" i="106"/>
  <c r="D5122" i="106"/>
  <c r="B5123" i="106"/>
  <c r="D5123" i="106"/>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E26" i="108"/>
  <c r="F26" i="108"/>
  <c r="G26" i="108"/>
  <c r="D27" i="108"/>
  <c r="E27" i="108"/>
  <c r="F27" i="108"/>
  <c r="G27" i="108"/>
  <c r="E28" i="108"/>
  <c r="F28" i="108"/>
  <c r="F31" i="108"/>
  <c r="F36" i="108"/>
  <c r="F37" i="108"/>
  <c r="G28"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s="1"/>
  <c r="D5112" i="106" s="1"/>
  <c r="C108" i="5"/>
  <c r="B5120" i="106" s="1"/>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C172" i="5" s="1"/>
  <c r="B5214" i="106" s="1"/>
  <c r="D5214"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22" i="37"/>
  <c r="H22" i="37"/>
  <c r="J22" i="37"/>
  <c r="L22" i="37"/>
  <c r="D24" i="37"/>
  <c r="B4270" i="106" s="1"/>
  <c r="D4270" i="106" s="1"/>
  <c r="D4" i="7"/>
  <c r="B1760" i="106" s="1"/>
  <c r="D1760" i="106" s="1"/>
  <c r="D13" i="7"/>
  <c r="B3726" i="106" s="1"/>
  <c r="D3726" i="106" s="1"/>
  <c r="D9" i="7"/>
  <c r="B1767" i="106" s="1"/>
  <c r="D1767" i="106" s="1"/>
  <c r="F136" i="34"/>
  <c r="F131" i="34"/>
  <c r="F130" i="34"/>
  <c r="F128" i="34"/>
  <c r="F127" i="34"/>
  <c r="F111" i="34"/>
  <c r="B5847" i="106"/>
  <c r="D5847" i="106" s="1"/>
  <c r="B5752" i="106"/>
  <c r="D5752" i="106" s="1"/>
  <c r="B5599" i="106"/>
  <c r="D5599" i="106" s="1"/>
  <c r="K274" i="5"/>
  <c r="H173" i="5"/>
  <c r="B5906" i="106" s="1"/>
  <c r="D5906" i="106" s="1"/>
  <c r="H109" i="5"/>
  <c r="B6025" i="106" s="1"/>
  <c r="D6025" i="106" s="1"/>
  <c r="D109" i="5"/>
  <c r="B5356" i="106" s="1"/>
  <c r="D5356" i="106" s="1"/>
  <c r="F106" i="34"/>
  <c r="D7" i="7"/>
  <c r="B1763" i="106" s="1"/>
  <c r="D1763" i="106" s="1"/>
  <c r="H4" i="4"/>
  <c r="H6" i="4"/>
  <c r="B2656" i="106" s="1"/>
  <c r="D2656" i="106" s="1"/>
  <c r="B2655" i="106"/>
  <c r="D2655" i="106" s="1"/>
  <c r="B1746" i="106"/>
  <c r="D1746" i="106" s="1"/>
  <c r="D17" i="7"/>
  <c r="B4104" i="106" s="1"/>
  <c r="D4104" i="106" s="1"/>
  <c r="D12" i="7"/>
  <c r="B1769" i="106" s="1"/>
  <c r="D1769" i="106" s="1"/>
  <c r="D11" i="7"/>
  <c r="B1768" i="106" s="1"/>
  <c r="D1768" i="106" s="1"/>
  <c r="D15" i="7"/>
  <c r="B1772" i="106" s="1"/>
  <c r="D1772" i="106" s="1"/>
  <c r="G172" i="5" l="1"/>
  <c r="F172" i="5"/>
  <c r="B5644" i="106" s="1"/>
  <c r="D5644" i="106" s="1"/>
  <c r="L367" i="29"/>
  <c r="D7245" i="106"/>
  <c r="I342" i="29"/>
  <c r="B7222" i="106" s="1"/>
  <c r="D7222" i="106" s="1"/>
  <c r="K28" i="118"/>
  <c r="O27" i="118" s="1"/>
  <c r="O29" i="118" s="1"/>
  <c r="G352" i="29"/>
  <c r="C352" i="29"/>
  <c r="K41" i="3"/>
  <c r="B3568" i="106" s="1"/>
  <c r="D3568" i="106" s="1"/>
  <c r="K285" i="29"/>
  <c r="E174" i="29"/>
  <c r="B1309" i="106" s="1"/>
  <c r="D1309" i="106" s="1"/>
  <c r="K24" i="12"/>
  <c r="G109" i="5"/>
  <c r="B6024" i="106" s="1"/>
  <c r="D6024" i="106" s="1"/>
  <c r="D52" i="36"/>
  <c r="L15" i="11"/>
  <c r="B3459" i="106" s="1"/>
  <c r="D3459" i="106" s="1"/>
  <c r="L13" i="11"/>
  <c r="B2060" i="106" s="1"/>
  <c r="D2060" i="106" s="1"/>
  <c r="L5" i="11"/>
  <c r="B2056" i="106" s="1"/>
  <c r="D2056" i="106" s="1"/>
  <c r="F19" i="7"/>
  <c r="B1807" i="106" s="1"/>
  <c r="D1807" i="106" s="1"/>
  <c r="G30" i="108"/>
  <c r="E30" i="108"/>
  <c r="B1329" i="106"/>
  <c r="D1329" i="106" s="1"/>
  <c r="F61" i="34"/>
  <c r="G29" i="108"/>
  <c r="E29" i="108"/>
  <c r="K184" i="29"/>
  <c r="F13" i="4" s="1"/>
  <c r="B2596" i="106" s="1"/>
  <c r="D2596" i="106" s="1"/>
  <c r="B1410" i="106"/>
  <c r="D1410" i="106" s="1"/>
  <c r="B5165" i="106"/>
  <c r="D5165" i="106" s="1"/>
  <c r="C173" i="5"/>
  <c r="B5223" i="106" s="1"/>
  <c r="D5223" i="106" s="1"/>
  <c r="C109" i="5"/>
  <c r="B5121" i="106" s="1"/>
  <c r="D5121" i="106" s="1"/>
  <c r="D4" i="4"/>
  <c r="B2564" i="106" s="1"/>
  <c r="D2564" i="106" s="1"/>
  <c r="D5" i="7"/>
  <c r="B1761" i="106" s="1"/>
  <c r="D1761" i="106" s="1"/>
  <c r="E109" i="5"/>
  <c r="E4" i="4" s="1"/>
  <c r="B2630" i="106" s="1"/>
  <c r="D2630" i="106" s="1"/>
  <c r="D54" i="36"/>
  <c r="D31" i="36"/>
  <c r="D11" i="37"/>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F274" i="5"/>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7270" i="106"/>
  <c r="B7733" i="106" l="1"/>
  <c r="D7733" i="106" s="1"/>
  <c r="K26" i="12"/>
  <c r="B7743" i="106" s="1"/>
  <c r="D7743" i="106" s="1"/>
  <c r="F73" i="34"/>
  <c r="G15" i="4"/>
  <c r="B6032" i="106" s="1"/>
  <c r="D6032" i="106" s="1"/>
  <c r="B3621" i="106"/>
  <c r="D3621" i="106" s="1"/>
  <c r="C367" i="29"/>
  <c r="B3622" i="106" s="1"/>
  <c r="D3622" i="106" s="1"/>
  <c r="H367" i="29"/>
  <c r="B3660" i="106" s="1"/>
  <c r="D3660" i="106" s="1"/>
  <c r="B3649" i="106"/>
  <c r="D3649" i="106" s="1"/>
  <c r="G367" i="29"/>
  <c r="B3650" i="106" s="1"/>
  <c r="D3650" i="106" s="1"/>
  <c r="G173" i="5"/>
  <c r="B5770" i="106"/>
  <c r="D5770" i="106" s="1"/>
  <c r="G4" i="4"/>
  <c r="B2603" i="106" s="1"/>
  <c r="D2603" i="106" s="1"/>
  <c r="D44" i="36"/>
  <c r="L16" i="11"/>
  <c r="B2061" i="106" s="1"/>
  <c r="D2061" i="106" s="1"/>
  <c r="D19" i="7"/>
  <c r="B1775" i="106" s="1"/>
  <c r="D1775" i="106" s="1"/>
  <c r="L114" i="29"/>
  <c r="C114" i="29"/>
  <c r="B757" i="106" s="1"/>
  <c r="D757" i="106" s="1"/>
  <c r="B1317" i="106"/>
  <c r="D1317" i="106" s="1"/>
  <c r="F275" i="5"/>
  <c r="F6" i="4"/>
  <c r="B2593" i="106" s="1"/>
  <c r="D2593" i="106" s="1"/>
  <c r="C6" i="4"/>
  <c r="B2553" i="106" s="1"/>
  <c r="D2553" i="106" s="1"/>
  <c r="C4" i="4"/>
  <c r="B2551" i="106" s="1"/>
  <c r="D2551" i="106" s="1"/>
  <c r="B5527" i="106"/>
  <c r="D552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D275" i="5"/>
  <c r="B5507" i="106"/>
  <c r="D5507" i="106" s="1"/>
  <c r="B7298" i="106"/>
  <c r="B7299" i="106"/>
  <c r="B5778" i="106" l="1"/>
  <c r="D5778" i="106" s="1"/>
  <c r="G6" i="4"/>
  <c r="B2604" i="106" s="1"/>
  <c r="D2604" i="106" s="1"/>
  <c r="B1145" i="106"/>
  <c r="D1145" i="106" s="1"/>
  <c r="E41" i="108"/>
  <c r="E44" i="108" s="1"/>
  <c r="E45" i="108" s="1"/>
  <c r="G41" i="108"/>
  <c r="G44" i="108" s="1"/>
  <c r="G45" i="108" s="1"/>
  <c r="F8" i="4"/>
  <c r="D8" i="14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<sst xmlns="http://schemas.openxmlformats.org/spreadsheetml/2006/main" count="5065" uniqueCount="2108">
  <si>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</si>
  <si>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</si>
  <si>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</si>
  <si>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</si>
  <si>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</si>
  <si>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</si>
  <si>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</si>
  <si>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</si>
  <si>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</si>
  <si>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</si>
  <si>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</si>
  <si>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</si>
  <si>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</si>
  <si>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</si>
  <si>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</si>
  <si>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</si>
  <si>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</si>
  <si>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</si>
  <si>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</si>
  <si>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</si>
  <si>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</si>
  <si>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</si>
  <si>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</si>
  <si>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</si>
  <si>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</si>
  <si>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</si>
  <si>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</si>
  <si>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</si>
  <si>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</si>
  <si>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</si>
  <si>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</si>
  <si>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</si>
  <si>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</si>
  <si>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</si>
  <si>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</si>
  <si>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</si>
  <si>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</si>
  <si>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</si>
  <si>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</si>
  <si>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</si>
  <si>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</si>
  <si>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</si>
  <si>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</si>
  <si>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</si>
  <si>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</si>
  <si>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</si>
  <si>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</si>
  <si>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</si>
  <si>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</si>
  <si>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</si>
  <si>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</si>
  <si>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</si>
  <si>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</si>
  <si>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</si>
  <si>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</si>
  <si>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</si>
  <si>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</si>
  <si>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</si>
  <si>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</si>
  <si>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</si>
  <si>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</si>
  <si>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</si>
  <si>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</si>
  <si>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</si>
  <si>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</si>
  <si>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</si>
  <si>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</si>
  <si>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</si>
  <si>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</si>
  <si>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</si>
  <si>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</si>
  <si>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</si>
  <si>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</si>
  <si>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</si>
  <si>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</si>
  <si>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</si>
  <si>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</si>
  <si>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</si>
  <si>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</si>
  <si>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</si>
  <si>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</si>
  <si>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</si>
  <si>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</si>
  <si>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</si>
  <si>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</si>
  <si>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</si>
  <si>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</si>
  <si>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</si>
  <si>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</si>
  <si>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</si>
  <si>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</si>
  <si>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</si>
  <si>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</si>
  <si>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</si>
  <si>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</si>
  <si>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</si>
  <si>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</si>
  <si>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</si>
  <si>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</si>
  <si>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</si>
  <si>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</si>
  <si>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</si>
  <si>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</si>
  <si>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</si>
  <si>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</si>
  <si>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</si>
  <si>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</si>
  <si>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</si>
  <si>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</si>
  <si>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</si>
  <si>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</si>
  <si>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</si>
  <si>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</si>
  <si>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</si>
  <si>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</si>
  <si>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</si>
  <si>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</si>
  <si>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</si>
  <si>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</si>
  <si>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</si>
  <si>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</si>
  <si>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</si>
  <si>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</si>
  <si>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</si>
  <si>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</si>
  <si>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</si>
  <si>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</si>
  <si>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</si>
  <si>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</si>
  <si>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</si>
  <si>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</si>
  <si>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</si>
  <si>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</si>
  <si>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</si>
  <si>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</si>
  <si>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</si>
  <si>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</si>
  <si>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</si>
  <si>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</si>
  <si>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</si>
  <si>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</si>
  <si>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</si>
  <si>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</si>
  <si>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</si>
  <si>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</si>
  <si>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</si>
  <si>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</si>
  <si>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</si>
  <si>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</si>
  <si>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</si>
  <si>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</si>
  <si>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</si>
  <si>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</si>
  <si>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</si>
  <si>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</si>
  <si>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</si>
  <si>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</si>
  <si>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</si>
  <si>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</si>
  <si>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</si>
  <si>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</si>
  <si>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</si>
  <si>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</si>
  <si>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</si>
  <si>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</si>
  <si>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</si>
  <si>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</si>
  <si>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</si>
  <si>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</si>
  <si>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</si>
  <si>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</si>
  <si>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</si>
  <si>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</si>
  <si>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</si>
  <si>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</si>
  <si>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</si>
  <si>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</si>
  <si>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</si>
  <si>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</si>
  <si>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</si>
  <si>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</si>
  <si>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</si>
  <si>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</si>
  <si>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</si>
  <si>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</si>
  <si>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</si>
  <si>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</si>
  <si>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</si>
  <si>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</si>
  <si>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</si>
  <si>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</si>
  <si>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</si>
  <si>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</si>
  <si>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</si>
  <si>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</si>
  <si>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</si>
  <si>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</si>
  <si>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</si>
  <si>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</si>
  <si>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</si>
  <si>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</si>
  <si>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</si>
  <si>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</si>
  <si>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</si>
  <si>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</si>
  <si>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</si>
  <si>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</si>
  <si>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</si>
  <si>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</si>
  <si>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</si>
  <si>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</si>
  <si>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</si>
  <si>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</si>
  <si>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</si>
  <si>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</si>
  <si>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</si>
  <si>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</si>
  <si>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</si>
  <si>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</si>
  <si>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</si>
  <si>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</si>
  <si>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</si>
  <si>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</si>
  <si>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</si>
  <si>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</si>
  <si>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</si>
  <si>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</si>
  <si>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</si>
  <si>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</si>
  <si>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</si>
  <si>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</si>
  <si>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</si>
  <si>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</si>
  <si>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</si>
  <si>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</si>
  <si>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</si>
  <si>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</si>
  <si>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</si>
  <si>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</si>
  <si>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</si>
  <si>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</si>
  <si>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</si>
  <si>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</si>
  <si>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</si>
  <si>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</si>
  <si>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</si>
  <si>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</si>
  <si>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</si>
  <si>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</si>
  <si>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</si>
  <si>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</si>
  <si>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</si>
  <si>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</si>
  <si>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</si>
  <si>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</si>
  <si>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</si>
  <si>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</si>
  <si>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</si>
  <si>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</si>
  <si>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</si>
  <si>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</si>
  <si>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</si>
  <si>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</si>
  <si>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</si>
  <si>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</si>
  <si>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</si>
  <si>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</si>
  <si>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</si>
  <si>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</si>
  <si>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</si>
  <si>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</si>
  <si>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</si>
  <si>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</si>
  <si>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</si>
  <si>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</si>
  <si>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</si>
  <si>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</si>
  <si>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</si>
  <si>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</si>
  <si>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</si>
  <si>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</si>
  <si>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</si>
  <si>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</si>
  <si>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</si>
  <si>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</si>
  <si>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</si>
  <si>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</si>
  <si>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</si>
  <si>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</si>
  <si>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</si>
  <si>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</si>
  <si>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</si>
  <si>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</si>
  <si>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</si>
  <si>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</si>
  <si>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</si>
  <si>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</si>
  <si>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</si>
  <si>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</si>
  <si>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</si>
  <si>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</si>
  <si>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</si>
  <si>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</si>
  <si>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</si>
  <si>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</si>
  <si>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</si>
  <si>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</si>
  <si>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</si>
  <si>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</si>
  <si>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</si>
  <si>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</si>
  <si>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</si>
  <si>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</si>
  <si>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</si>
  <si>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</si>
  <si>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</si>
  <si>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</si>
  <si>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</si>
  <si>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</si>
  <si>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</si>
  <si>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</si>
  <si>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</si>
  <si>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</si>
  <si>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</si>
  <si>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</si>
  <si>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</si>
  <si>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</si>
  <si>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</si>
  <si>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</si>
  <si>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</si>
  <si>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</si>
  <si>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</si>
  <si>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</si>
  <si>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</si>
  <si>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</si>
  <si>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</si>
  <si>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</si>
  <si>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</si>
  <si>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</si>
  <si>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</si>
  <si>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</si>
  <si>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</si>
  <si>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</si>
  <si>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</si>
  <si>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</si>
  <si>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</si>
  <si>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</si>
  <si>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</si>
  <si>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</si>
  <si>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</si>
  <si>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</si>
  <si>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</si>
  <si>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</si>
  <si>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</si>
  <si>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</si>
  <si>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</si>
  <si>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</si>
  <si>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</si>
  <si>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</si>
  <si>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</si>
  <si>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</si>
  <si>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</si>
  <si>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</si>
  <si>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</si>
  <si>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</si>
  <si>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</si>
  <si>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</si>
  <si>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</si>
  <si>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</si>
  <si>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</si>
  <si>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</si>
  <si>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</si>
  <si>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</si>
  <si>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</si>
  <si>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</si>
  <si>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</si>
  <si>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</si>
  <si>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</si>
  <si>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</si>
  <si>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</si>
  <si>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</si>
  <si>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</si>
  <si>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</si>
  <si>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</si>
  <si>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</si>
  <si>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</si>
  <si>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</si>
  <si>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</si>
  <si>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</si>
  <si>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</si>
  <si>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</si>
  <si>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</si>
  <si>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</si>
  <si>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</si>
  <si>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</si>
  <si>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</si>
  <si>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</si>
  <si>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</si>
  <si>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</si>
  <si>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</si>
  <si>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</si>
  <si>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</si>
  <si>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</si>
  <si>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</si>
  <si>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</si>
  <si>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</si>
  <si>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</si>
  <si>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</si>
  <si>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</si>
  <si>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</si>
  <si>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</si>
  <si>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</si>
  <si>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</si>
  <si>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</si>
  <si>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</si>
  <si>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</si>
  <si>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</si>
  <si>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</si>
  <si>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</si>
  <si>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</si>
  <si>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</si>
  <si>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</si>
  <si>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</si>
  <si>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</si>
  <si>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</si>
  <si>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</si>
  <si>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</si>
  <si>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</si>
  <si>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</si>
  <si>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</si>
  <si>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</si>
  <si>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</si>
  <si>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</si>
  <si>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</si>
  <si>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</si>
  <si>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</si>
  <si>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</si>
  <si>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</si>
  <si>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</si>
  <si>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</si>
  <si>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</si>
  <si>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</si>
  <si>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</si>
  <si>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</si>
  <si>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</si>
  <si>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</si>
  <si>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</si>
  <si>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</si>
  <si>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</si>
  <si>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</si>
  <si>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</si>
  <si>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</si>
  <si>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</si>
  <si>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</si>
  <si>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</si>
  <si>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</si>
  <si>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</si>
  <si>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</si>
  <si>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</si>
  <si>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</si>
  <si>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</si>
  <si>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</si>
  <si>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</si>
  <si>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</si>
  <si>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</si>
  <si>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</si>
  <si>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</si>
  <si>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</si>
  <si>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</si>
  <si>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</si>
  <si>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</si>
  <si>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</si>
  <si>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</si>
  <si>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</si>
  <si>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</si>
  <si>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</si>
  <si>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</si>
  <si>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</si>
  <si>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</si>
  <si>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</si>
  <si>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</si>
  <si>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</si>
  <si>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</si>
  <si>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</si>
  <si>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</si>
  <si>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</si>
  <si>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</si>
  <si>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</si>
  <si>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</si>
  <si>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</si>
  <si>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</si>
  <si>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</si>
  <si>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</si>
  <si>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</si>
  <si>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</si>
  <si>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</si>
  <si>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</si>
  <si>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</si>
  <si>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</si>
  <si>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</si>
  <si>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</si>
  <si>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</si>
  <si>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</si>
  <si>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</si>
  <si>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</si>
  <si>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</si>
  <si>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</si>
  <si>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</si>
  <si>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</si>
  <si>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</si>
  <si>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</si>
  <si>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</si>
  <si>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</si>
  <si>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</si>
  <si>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</si>
  <si>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</si>
  <si>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</si>
  <si>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</si>
  <si>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</si>
  <si>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</si>
  <si>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</si>
  <si>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</si>
  <si>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</si>
  <si>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</si>
  <si>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</si>
  <si>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</si>
  <si>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</si>
  <si>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</si>
  <si>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</si>
  <si>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</si>
  <si>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</si>
  <si>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</si>
  <si>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</si>
  <si>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</si>
  <si>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</si>
  <si>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</si>
  <si>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</si>
  <si>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</si>
  <si>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</si>
  <si>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</si>
  <si>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</si>
  <si>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</si>
  <si>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</si>
  <si>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</si>
  <si>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</si>
  <si>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</si>
  <si>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</si>
  <si>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</si>
  <si>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</si>
  <si>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</si>
  <si>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</si>
  <si>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</si>
  <si>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</si>
  <si>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</si>
  <si>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</si>
  <si>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</si>
  <si>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</si>
  <si>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</si>
  <si>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</si>
  <si>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</si>
  <si>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</si>
  <si>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</si>
  <si>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</si>
  <si>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</si>
  <si>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</si>
  <si>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</si>
  <si>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</si>
  <si>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</si>
  <si>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</si>
  <si>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</si>
  <si>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</si>
  <si>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</si>
  <si>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</si>
  <si>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</si>
  <si>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</si>
  <si>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</si>
  <si>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</si>
  <si>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</si>
  <si>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</si>
  <si>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</si>
  <si>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</si>
  <si>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</si>
  <si>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</si>
  <si>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</si>
  <si>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</si>
  <si>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</si>
  <si>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</si>
  <si>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</si>
  <si>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</si>
  <si>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</si>
  <si>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</si>
  <si>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</si>
  <si>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</si>
  <si>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</si>
  <si>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</si>
  <si>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</si>
  <si>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</si>
  <si>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</si>
  <si>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</si>
  <si>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</si>
  <si>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</si>
  <si>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</si>
  <si>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</si>
  <si>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</si>
  <si>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</si>
  <si>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</si>
  <si>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</si>
  <si>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</si>
  <si>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</si>
  <si>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</si>
  <si>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</si>
  <si>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</si>
  <si>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</si>
  <si>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</si>
  <si>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</si>
  <si>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</si>
  <si>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</si>
  <si>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</si>
  <si>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</si>
  <si>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</si>
  <si>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</si>
  <si>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</si>
  <si>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</si>
  <si>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</si>
  <si>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</si>
  <si>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</si>
  <si>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</si>
  <si>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</si>
  <si>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</si>
  <si>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</si>
  <si>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</si>
  <si>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</si>
  <si>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</si>
  <si>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</si>
  <si>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</si>
  <si>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</si>
  <si>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</si>
  <si>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</si>
  <si>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</si>
  <si>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</si>
  <si>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</si>
  <si>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</si>
  <si>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</si>
  <si>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</si>
  <si>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</si>
  <si>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</si>
  <si>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</si>
  <si>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</si>
  <si>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</si>
  <si>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</si>
  <si>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</si>
  <si>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</si>
  <si>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</si>
  <si>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</si>
  <si>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</si>
  <si>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</si>
  <si>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</si>
  <si>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</si>
  <si>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</si>
  <si>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</si>
  <si>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</si>
  <si>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</si>
  <si>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</si>
  <si>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</si>
  <si>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</si>
  <si>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</si>
  <si>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</si>
  <si>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</si>
  <si>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</si>
  <si>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</si>
  <si>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</si>
  <si>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</si>
  <si>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</si>
  <si>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</si>
  <si>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</si>
  <si>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</si>
  <si>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</si>
  <si>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</si>
  <si>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</si>
  <si>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</si>
  <si>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</si>
  <si>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</si>
  <si>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</si>
  <si>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</si>
  <si>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</si>
  <si>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</si>
  <si>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</si>
  <si>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</si>
  <si>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</si>
  <si>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</si>
  <si>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</si>
  <si>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</si>
  <si>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</si>
  <si>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</si>
  <si>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</si>
  <si>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</si>
  <si>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</si>
  <si>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</si>
  <si>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</si>
  <si>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</si>
  <si>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</si>
  <si>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</si>
  <si>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</si>
  <si>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</si>
  <si>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</si>
  <si>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</si>
  <si>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</si>
  <si>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</si>
  <si>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</si>
  <si>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</si>
  <si>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</si>
  <si>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</si>
  <si>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</si>
  <si>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</si>
  <si>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</si>
  <si>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</si>
  <si>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</si>
  <si>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</si>
  <si>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</si>
  <si>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</si>
  <si>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</si>
  <si>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</si>
  <si>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</si>
  <si>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</si>
  <si>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</si>
  <si>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</si>
  <si>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</si>
  <si>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</si>
  <si>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</si>
  <si>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</si>
  <si>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</si>
  <si>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</si>
  <si>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</si>
  <si>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</si>
  <si>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</si>
  <si>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</si>
  <si>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</si>
  <si>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</si>
  <si>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</si>
  <si>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</si>
  <si>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</si>
  <si>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</si>
  <si>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</si>
  <si>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</si>
  <si>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</si>
  <si>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</si>
  <si>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</si>
  <si>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</si>
  <si>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</si>
  <si>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</si>
  <si>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</si>
  <si>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</si>
  <si>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</si>
  <si>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</si>
  <si>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</si>
  <si>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</si>
  <si>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</si>
  <si>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</si>
  <si>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</si>
  <si>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</si>
  <si>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</si>
  <si>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</si>
  <si>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</si>
  <si>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</si>
  <si>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</si>
  <si>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</si>
  <si>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</si>
  <si>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</si>
  <si>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</si>
  <si>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</si>
  <si>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</si>
  <si>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</si>
  <si>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</si>
  <si>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</si>
  <si>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</si>
  <si>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</si>
  <si>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</si>
  <si>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</si>
  <si>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</si>
  <si>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</si>
  <si>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</si>
  <si>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</si>
  <si>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</si>
  <si>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</si>
  <si>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</si>
  <si>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</si>
  <si>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</si>
  <si>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</si>
  <si>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</si>
  <si>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</si>
  <si>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</si>
  <si>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</si>
  <si>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</si>
  <si>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</si>
  <si>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</si>
  <si>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</si>
  <si>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</si>
  <si>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</si>
  <si>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</si>
  <si>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</si>
  <si>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</si>
  <si>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</si>
  <si>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</si>
  <si>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</si>
  <si>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</si>
  <si>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</si>
  <si>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</si>
  <si>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</si>
  <si>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</si>
  <si>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</si>
  <si>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</si>
  <si>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</si>
  <si>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</si>
  <si>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</si>
  <si>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</si>
  <si>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</si>
  <si>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</si>
  <si>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</si>
  <si>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</si>
  <si>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</si>
  <si>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</si>
  <si>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</si>
  <si>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</si>
  <si>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</si>
  <si>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</si>
  <si>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</si>
  <si>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</si>
  <si>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</si>
  <si>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</si>
  <si>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</si>
  <si>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</si>
  <si>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</si>
  <si>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</si>
  <si>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</si>
  <si>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</si>
  <si>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</si>
  <si>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</si>
  <si>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</si>
  <si>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</si>
  <si>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</si>
  <si>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</si>
  <si>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</si>
  <si>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</si>
  <si>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</si>
  <si>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</si>
  <si>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</si>
  <si>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</si>
  <si>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</si>
  <si>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</si>
  <si>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</si>
  <si>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</si>
  <si>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</si>
  <si>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</si>
  <si>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</si>
  <si>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</si>
  <si>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</si>
  <si>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</si>
  <si>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</si>
  <si>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</si>
  <si>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</si>
  <si>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</si>
  <si>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</si>
  <si>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</si>
  <si>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</si>
  <si>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</si>
  <si>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</si>
  <si>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</si>
  <si>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</si>
  <si>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</si>
  <si>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</si>
  <si>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</si>
  <si>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</si>
  <si>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</si>
  <si>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</si>
  <si>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</si>
  <si>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</si>
  <si>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</si>
  <si>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</si>
  <si>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</si>
  <si>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</si>
  <si>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</si>
  <si>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</si>
  <si>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</si>
  <si>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</si>
  <si>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</si>
  <si>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</si>
  <si>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</si>
  <si>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</si>
  <si>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</si>
  <si>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</si>
  <si>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</si>
  <si>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</si>
  <si>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</si>
  <si>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</si>
  <si>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</si>
  <si>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</si>
  <si>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</si>
  <si>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</si>
  <si>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</si>
  <si>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</si>
  <si>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</si>
  <si>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</si>
  <si>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</si>
  <si>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</si>
  <si>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</si>
  <si>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</si>
  <si>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</si>
  <si>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</si>
  <si>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</si>
  <si>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</si>
  <si>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</si>
  <si>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</si>
  <si>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</si>
  <si>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</si>
  <si>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</si>
  <si>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</si>
  <si>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</si>
  <si>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</si>
  <si>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</si>
  <si>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</si>
  <si>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</si>
  <si>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</si>
  <si>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</si>
  <si>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</si>
  <si>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</si>
  <si>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</si>
  <si>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</si>
  <si>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</si>
  <si>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</si>
  <si>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</si>
  <si>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</si>
  <si>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</si>
  <si>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</si>
  <si>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</si>
  <si>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</si>
  <si>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</si>
  <si>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</si>
  <si>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</si>
  <si>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</si>
  <si>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</si>
  <si>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</si>
  <si>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</si>
  <si>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</si>
  <si>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</si>
  <si>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</si>
  <si>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</si>
  <si>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</si>
  <si>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</si>
  <si>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</si>
  <si>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</si>
  <si>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</si>
  <si>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</si>
  <si>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</si>
  <si>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</si>
  <si>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</si>
  <si>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</si>
  <si>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</si>
  <si>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</si>
  <si>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</si>
  <si>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</si>
  <si>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</si>
  <si>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</si>
  <si>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</si>
  <si>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</si>
  <si>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</si>
  <si>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</si>
  <si>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</si>
  <si>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</si>
  <si>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</si>
  <si>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</si>
  <si>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</si>
  <si>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</si>
  <si>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</si>
  <si>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</si>
  <si>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</si>
  <si>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</si>
  <si>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</si>
  <si>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</si>
  <si>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</si>
  <si>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</si>
  <si>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</si>
  <si>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</si>
  <si>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</si>
  <si>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</si>
  <si>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</si>
  <si>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</si>
  <si>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</si>
  <si>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</si>
  <si>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</si>
  <si>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</si>
  <si>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</si>
  <si>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</si>
  <si>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</si>
  <si>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</si>
  <si>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</si>
  <si>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</si>
  <si>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</si>
  <si>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</si>
  <si>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</si>
  <si>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</si>
  <si>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</si>
  <si>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</si>
  <si>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</si>
  <si>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</si>
  <si>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</si>
  <si>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</si>
  <si>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</si>
  <si>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</si>
  <si>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</si>
  <si>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</si>
  <si>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</si>
  <si>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</si>
  <si>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</si>
  <si>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</si>
  <si>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</si>
  <si>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</si>
  <si>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</si>
  <si>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</si>
  <si>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</si>
  <si>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</si>
  <si>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</si>
  <si>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</si>
  <si>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</si>
  <si>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</si>
  <si>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</si>
  <si>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</si>
  <si>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</si>
  <si>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</si>
  <si>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</si>
  <si>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</si>
  <si>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</si>
  <si>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</si>
  <si>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</si>
  <si>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</si>
  <si>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</si>
  <si>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</si>
  <si>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</si>
  <si>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</si>
  <si>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</si>
  <si>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</si>
  <si>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</si>
  <si>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</si>
  <si>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</si>
  <si>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</si>
  <si>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</si>
  <si>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</si>
  <si>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</si>
  <si>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</si>
  <si>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</si>
  <si>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</si>
  <si>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</si>
  <si>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</si>
  <si>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</si>
  <si>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</si>
  <si>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</si>
  <si>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</si>
  <si>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</si>
  <si>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</si>
  <si>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</si>
  <si>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</si>
  <si>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</si>
  <si>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</si>
  <si>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</si>
  <si>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</si>
  <si>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</si>
  <si>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</si>
  <si>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</si>
  <si>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</si>
  <si>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</si>
  <si>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</si>
  <si>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</si>
  <si>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</si>
  <si>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</si>
  <si>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</si>
  <si>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</si>
  <si>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</si>
  <si>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</si>
  <si>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</si>
  <si>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</si>
  <si>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</si>
  <si>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</si>
  <si>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</si>
  <si>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</si>
  <si>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</si>
  <si>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</si>
  <si>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</si>
  <si>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</si>
  <si>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</si>
  <si>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</si>
  <si>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</si>
  <si>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</si>
  <si>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</si>
  <si>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</si>
  <si>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</si>
  <si>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</si>
  <si>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</si>
  <si>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</si>
  <si>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</si>
  <si>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</si>
  <si>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</si>
  <si>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</si>
  <si>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</si>
  <si>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</si>
  <si>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</si>
  <si>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</si>
  <si>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</si>
  <si>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</si>
  <si>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</si>
  <si>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</si>
  <si>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</si>
  <si>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</si>
  <si>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</si>
  <si>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</si>
  <si>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</si>
  <si>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</si>
  <si>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</si>
  <si>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</si>
  <si>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</si>
  <si>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</si>
  <si>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</si>
  <si>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</si>
  <si>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</si>
  <si>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</si>
  <si>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</si>
  <si>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</si>
  <si>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</si>
  <si>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</si>
  <si>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</si>
  <si>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</si>
  <si>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</si>
  <si>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</si>
  <si>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</si>
  <si>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</si>
  <si>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</si>
  <si>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</si>
  <si>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</si>
  <si>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</si>
  <si>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</si>
  <si>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</si>
  <si>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</si>
  <si>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</si>
  <si>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</si>
  <si>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</si>
  <si>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</si>
  <si>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</si>
  <si>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</si>
  <si>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</si>
  <si>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</si>
  <si>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</si>
  <si>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</si>
  <si>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</si>
  <si>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</si>
  <si>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</si>
  <si>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</si>
  <si>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</si>
  <si>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</si>
  <si>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</si>
  <si>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</si>
  <si>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</si>
  <si>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</si>
  <si>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</si>
  <si>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</si>
  <si>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</si>
  <si>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</si>
  <si>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</si>
  <si>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</si>
  <si>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</si>
  <si>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</si>
  <si>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</si>
  <si>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</si>
  <si>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</si>
  <si>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</si>
  <si>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</si>
  <si>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</si>
  <si>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</si>
  <si>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</si>
  <si>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</si>
  <si>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</si>
  <si>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</si>
  <si>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</si>
  <si>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</si>
  <si>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</si>
  <si>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</si>
  <si>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</si>
  <si>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</si>
  <si>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</si>
  <si>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</si>
  <si>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</si>
  <si>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</si>
  <si>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</si>
  <si>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</si>
  <si>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</si>
  <si>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</si>
  <si>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</si>
  <si>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</si>
  <si>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</si>
  <si>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</si>
  <si>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</si>
  <si>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</si>
  <si>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</si>
  <si>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</si>
  <si>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</si>
  <si>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</si>
  <si>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</si>
  <si>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</si>
  <si>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</si>
  <si>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</si>
  <si>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</si>
  <si>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</si>
  <si>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</si>
  <si>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</si>
  <si>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</si>
  <si>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</si>
  <si>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</si>
  <si>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</si>
  <si>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</si>
  <si>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</si>
  <si>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</si>
  <si>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</si>
  <si>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</si>
  <si>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</si>
  <si>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</si>
  <si>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</si>
  <si>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</si>
  <si>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</si>
  <si>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</si>
  <si>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</si>
  <si>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</si>
  <si>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</si>
  <si>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</si>
  <si>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</si>
  <si>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</si>
  <si>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</si>
  <si>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</si>
  <si>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</si>
  <si>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</si>
  <si>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</si>
  <si>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</si>
  <si>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</si>
  <si>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</si>
  <si>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</si>
  <si>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</si>
  <si>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</si>
  <si>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</si>
  <si>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</si>
  <si>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</si>
  <si>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</si>
  <si>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</si>
  <si>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</si>
  <si>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</si>
  <si>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</si>
  <si>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</si>
  <si>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</si>
  <si>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</si>
  <si>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</si>
  <si>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</si>
  <si>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</si>
  <si>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</si>
  <si>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</si>
  <si>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</si>
  <si>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</si>
  <si>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</si>
  <si>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</si>
  <si>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</si>
  <si>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</si>
  <si>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</si>
  <si>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</si>
  <si>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</si>
  <si>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</si>
  <si>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</si>
  <si>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</si>
  <si>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</si>
  <si>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</si>
  <si>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</si>
  <si>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</si>
  <si>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</si>
  <si>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</si>
  <si>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</si>
  <si>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</si>
  <si>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</si>
  <si>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</si>
  <si>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</si>
  <si>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</si>
  <si>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</si>
  <si>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</si>
  <si>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</si>
  <si>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</si>
  <si>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</si>
  <si>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</si>
  <si>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</si>
  <si>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</si>
  <si>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</si>
  <si>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</si>
  <si>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</si>
  <si>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</si>
  <si>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</si>
  <si>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</si>
  <si>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</si>
  <si>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</si>
  <si>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</si>
  <si>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</si>
  <si>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</si>
  <si>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</si>
  <si>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</si>
  <si>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</si>
  <si>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</si>
  <si>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</si>
  <si>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</si>
  <si>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</si>
  <si>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</si>
  <si>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</si>
  <si>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</si>
  <si>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</si>
  <si>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</si>
  <si>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</si>
  <si>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</si>
  <si>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</si>
  <si>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</si>
  <si>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</si>
  <si>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</si>
  <si>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</si>
  <si>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</si>
  <si>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</si>
  <si>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</si>
  <si>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</si>
  <si>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</si>
  <si>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</si>
  <si>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</si>
  <si>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</si>
  <si>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</si>
  <si>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</si>
  <si>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</si>
  <si>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</si>
  <si>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</si>
  <si>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</si>
  <si>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</si>
  <si>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</si>
  <si>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</si>
  <si>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</si>
  <si>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</si>
  <si>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</si>
  <si>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</si>
  <si>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</si>
  <si>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</si>
  <si>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</si>
  <si>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</si>
  <si>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</si>
  <si>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</si>
  <si>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</si>
  <si>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</si>
  <si>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</si>
  <si>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</si>
  <si>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</si>
  <si>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</si>
  <si>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</si>
  <si>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</si>
  <si>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</si>
  <si>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</si>
  <si>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</si>
  <si>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</si>
  <si>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</si>
  <si>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</si>
  <si>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</si>
  <si>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</si>
  <si>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</si>
  <si>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</si>
  <si>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</si>
  <si>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</si>
  <si>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</si>
  <si>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</si>
  <si>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</si>
  <si>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</si>
  <si>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</si>
  <si>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</si>
  <si>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</si>
  <si>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</si>
  <si>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</si>
  <si>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</si>
  <si>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</si>
  <si>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</si>
  <si>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</si>
  <si>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</si>
  <si>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</si>
  <si>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</si>
  <si>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</si>
  <si>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</si>
  <si>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</si>
  <si>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</si>
  <si>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</si>
  <si>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</si>
  <si>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</si>
  <si>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</si>
  <si>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</si>
  <si>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</si>
  <si>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</si>
  <si>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</si>
  <si>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</si>
  <si>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</si>
  <si>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</si>
  <si>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</si>
  <si>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</si>
  <si>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</si>
  <si>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</si>
  <si>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</si>
  <si>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</si>
  <si>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</si>
  <si>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</si>
  <si>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</si>
  <si>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</si>
  <si>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</si>
  <si>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</si>
  <si>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</si>
  <si>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</si>
  <si>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</si>
  <si>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</si>
  <si>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</si>
  <si>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</si>
  <si>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</si>
  <si>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</si>
  <si>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</si>
  <si>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</si>
  <si>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</si>
  <si>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</si>
  <si>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</si>
  <si>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</si>
  <si>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</si>
  <si>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</si>
  <si>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</si>
  <si>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</si>
  <si>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</si>
  <si>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</si>
  <si>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</si>
  <si>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</si>
  <si>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</si>
  <si>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</si>
  <si>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</si>
  <si>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</si>
  <si>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</si>
  <si>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</si>
  <si>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</si>
  <si>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</si>
  <si>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</si>
  <si>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</si>
  <si>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</si>
  <si>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</si>
  <si>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</si>
  <si>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</si>
  <si>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</si>
  <si>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</si>
  <si>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</si>
  <si>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</si>
  <si>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</si>
  <si>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</si>
  <si>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</si>
  <si>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</si>
  <si>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</si>
  <si>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</si>
  <si>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</si>
  <si>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</si>
  <si>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</si>
  <si>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</si>
  <si>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</si>
  <si>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</si>
  <si>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</si>
  <si>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</si>
  <si>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</si>
  <si>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</si>
  <si>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</si>
  <si>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</si>
  <si>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</si>
  <si>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</si>
  <si>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</si>
  <si>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</si>
  <si>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</si>
  <si>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</si>
  <si>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</si>
  <si>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</si>
  <si>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</si>
  <si>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</si>
  <si>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</si>
  <si>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</si>
  <si>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</si>
  <si>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</si>
  <si>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</si>
  <si>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</si>
  <si>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</si>
  <si>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</si>
  <si>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</si>
  <si>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</si>
  <si>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</si>
  <si>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</si>
  <si>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</si>
  <si>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</si>
  <si>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</si>
  <si>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</si>
  <si>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</si>
  <si>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</si>
  <si>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</si>
  <si>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</si>
  <si>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</si>
  <si>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</si>
  <si>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</si>
  <si>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</si>
  <si>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</si>
  <si>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</si>
  <si>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</si>
  <si>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</si>
  <si>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</si>
  <si>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</si>
  <si>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</si>
  <si>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</si>
  <si>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</si>
  <si>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</si>
  <si>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</si>
  <si>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</si>
  <si>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</si>
  <si>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</si>
  <si>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</si>
  <si>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</si>
  <si>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</si>
  <si>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</si>
  <si>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</si>
  <si>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</si>
  <si>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</si>
  <si>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</si>
  <si>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</si>
  <si>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</si>
  <si>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</si>
  <si>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</si>
  <si>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</si>
  <si>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</si>
  <si>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</si>
  <si>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</si>
  <si>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</si>
  <si>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</si>
  <si>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</si>
  <si>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</si>
  <si>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</si>
  <si>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</si>
  <si>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</si>
  <si>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</si>
  <si>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</si>
  <si>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</si>
  <si>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</si>
  <si>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</si>
  <si>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</si>
  <si>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</si>
  <si>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</si>
  <si>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</si>
  <si>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</si>
  <si>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</si>
  <si>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</si>
  <si>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</si>
  <si>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</si>
  <si>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</si>
  <si>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</si>
  <si>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</si>
  <si>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</si>
  <si>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</si>
  <si>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</si>
  <si>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</si>
  <si>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</si>
  <si>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</si>
  <si>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</si>
  <si>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</si>
  <si>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</si>
  <si>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</si>
  <si>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</si>
  <si>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</si>
  <si>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</si>
  <si>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</si>
  <si>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</si>
  <si>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</si>
  <si>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</si>
  <si>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</si>
  <si>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</si>
  <si>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</si>
  <si>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</si>
  <si>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</si>
  <si>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</si>
  <si>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</si>
  <si>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</si>
  <si>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</si>
  <si>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</si>
  <si>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</si>
  <si>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</si>
  <si>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</si>
  <si>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</si>
  <si>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</si>
  <si>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</si>
  <si>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</si>
  <si>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</si>
  <si>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</si>
  <si>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</si>
  <si>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</si>
  <si>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</si>
  <si>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</si>
  <si>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</si>
  <si>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</si>
  <si>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</si>
  <si>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</si>
  <si>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</si>
  <si>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</si>
  <si>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</si>
  <si>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</si>
  <si>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</si>
  <si>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</si>
  <si>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</si>
  <si>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</si>
  <si>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</si>
  <si>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</si>
  <si>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</si>
  <si>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</si>
  <si>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</si>
  <si>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</si>
  <si>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</si>
  <si>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</si>
  <si>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</si>
  <si>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</si>
  <si>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</si>
  <si>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</si>
  <si>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</si>
  <si>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</si>
  <si>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</si>
  <si>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</si>
  <si>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</si>
  <si>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</si>
  <si>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</si>
  <si>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</si>
  <si>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</si>
  <si>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</si>
  <si>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</si>
  <si>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</si>
  <si>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</si>
  <si>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</si>
  <si>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</si>
  <si>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</si>
  <si>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</si>
  <si>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</si>
  <si>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</si>
  <si>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</si>
  <si>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</si>
  <si>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</si>
  <si>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</si>
  <si>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</si>
  <si>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</si>
  <si>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</si>
  <si>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</si>
  <si>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</si>
  <si>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</si>
  <si>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</si>
  <si>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</si>
  <si>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</si>
  <si>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</si>
  <si>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</si>
  <si>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</si>
  <si>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</si>
  <si>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</si>
  <si>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</si>
  <si>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</si>
  <si>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</si>
  <si>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</si>
  <si>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</si>
  <si>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</si>
  <si>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</si>
  <si>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</si>
  <si>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</si>
  <si>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</si>
  <si>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</si>
  <si>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</si>
  <si>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</si>
  <si>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</si>
  <si>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</si>
  <si>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</si>
  <si>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</si>
  <si>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</si>
  <si>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</si>
  <si>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</si>
  <si>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</si>
  <si>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</si>
  <si>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</si>
  <si>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</si>
  <si>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</si>
  <si>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</si>
  <si>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</si>
  <si>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</si>
  <si>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</si>
  <si>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</si>
  <si>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</si>
  <si>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</si>
  <si>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</si>
  <si>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</si>
  <si>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</si>
  <si>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</si>
  <si>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</si>
  <si>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</si>
  <si>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</si>
  <si>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</si>
  <si>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</si>
  <si>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</si>
  <si>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</si>
  <si>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</si>
  <si>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</si>
  <si>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</si>
  <si>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</si>
  <si>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</si>
  <si>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</si>
  <si>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</si>
  <si>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</si>
  <si>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</si>
  <si>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</si>
  <si>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</si>
  <si>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</si>
  <si>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</si>
  <si>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</si>
  <si>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</si>
  <si>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</si>
  <si>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</si>
  <si>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</si>
  <si>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</si>
  <si>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</si>
  <si>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</si>
  <si>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</si>
  <si>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</si>
  <si>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</si>
  <si>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</si>
  <si>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</si>
  <si>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</si>
  <si>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</si>
  <si>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</si>
  <si>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</si>
  <si>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</si>
  <si>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</si>
  <si>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</si>
  <si>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</si>
  <si>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</si>
  <si>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</si>
  <si>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</si>
  <si>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</si>
  <si>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</si>
  <si>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</si>
  <si>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</si>
  <si>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</si>
  <si>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</si>
  <si>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</si>
  <si>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</si>
  <si>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</si>
  <si>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</si>
  <si>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</si>
  <si>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</si>
  <si>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</si>
  <si>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</si>
  <si>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</si>
  <si>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</si>
  <si>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</si>
  <si>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</si>
  <si>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</si>
  <si>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</si>
  <si>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</si>
  <si>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</si>
  <si>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</si>
  <si>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</si>
  <si>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</si>
  <si>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</si>
  <si>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</si>
  <si>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</si>
  <si>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</si>
  <si>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</si>
  <si>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</si>
  <si>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</si>
  <si>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</si>
  <si>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</si>
  <si>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</si>
  <si>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</si>
  <si>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</si>
  <si>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</si>
  <si>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</si>
  <si>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</si>
  <si>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</si>
  <si>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</si>
  <si>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</si>
  <si>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</si>
  <si>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</si>
  <si>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</si>
  <si>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</si>
  <si>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</si>
  <si>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</si>
  <si>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</si>
  <si>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</si>
  <si>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</si>
  <si>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</si>
  <si>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</si>
  <si>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</si>
  <si>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</si>
  <si>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</si>
  <si>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</si>
  <si>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</si>
  <si>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</si>
  <si>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</si>
  <si>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</si>
  <si>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</si>
  <si>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</si>
  <si>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</si>
  <si>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</si>
  <si>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</si>
  <si>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</si>
  <si>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</si>
  <si>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</si>
  <si>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</si>
  <si>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</si>
  <si>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</si>
  <si>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</si>
  <si>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</si>
  <si>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</si>
  <si>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</si>
  <si>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</si>
  <si>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</si>
  <si>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</si>
  <si>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</si>
  <si>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</si>
  <si>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</si>
  <si>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</si>
  <si>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</si>
  <si>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</si>
  <si>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</si>
  <si>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</si>
  <si>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</si>
  <si>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</si>
  <si>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</si>
  <si>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</si>
  <si>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</si>
  <si>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</si>
  <si>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</si>
  <si>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</si>
  <si>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</si>
  <si>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</si>
  <si>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</si>
  <si>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</si>
  <si>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</si>
  <si>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</si>
  <si>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</si>
  <si>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</si>
  <si>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</si>
  <si>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</si>
  <si>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</si>
  <si>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</si>
  <si>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</si>
  <si>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</si>
  <si>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</si>
  <si>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</si>
  <si>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</si>
  <si>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</si>
  <si>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</si>
  <si>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</si>
  <si>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</si>
  <si>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</si>
  <si>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</si>
  <si>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</si>
  <si>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</si>
  <si>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</si>
  <si>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</si>
  <si>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</si>
  <si>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</si>
  <si>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</si>
  <si>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</si>
  <si>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</si>
  <si>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</si>
  <si>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</si>
  <si>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</si>
  <si>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</si>
  <si>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</si>
  <si>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</si>
  <si>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</si>
  <si>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</si>
  <si>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</si>
  <si>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</si>
  <si>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</si>
  <si>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</si>
  <si>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</si>
  <si>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</si>
  <si>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</si>
  <si>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</si>
  <si>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</si>
  <si>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</si>
  <si>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</si>
  <si>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</si>
  <si>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</si>
  <si>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</si>
  <si>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</si>
  <si>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</si>
  <si>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</si>
  <si>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</si>
  <si>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</si>
  <si>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</si>
  <si>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</si>
  <si>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</si>
  <si>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</si>
  <si>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</si>
  <si>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</si>
  <si>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</si>
  <si>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</si>
  <si>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</si>
  <si>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</si>
  <si>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</si>
  <si>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</si>
  <si>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</si>
  <si>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</si>
  <si>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</si>
  <si>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</si>
  <si>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</si>
  <si>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</si>
  <si>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</si>
  <si>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</si>
  <si>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</si>
  <si>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</si>
  <si>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</si>
  <si>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</si>
  <si>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</si>
  <si>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</si>
  <si>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</si>
  <si>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</si>
  <si>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</si>
  <si>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</si>
  <si>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</si>
  <si>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</si>
  <si>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</si>
  <si>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</si>
  <si>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</si>
  <si>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</si>
  <si>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</si>
  <si>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</si>
  <si>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</si>
  <si>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</si>
  <si>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</si>
  <si>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</si>
  <si>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</si>
  <si>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</si>
  <si>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</si>
  <si>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</si>
  <si>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</si>
  <si>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</si>
  <si>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</si>
  <si>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</si>
  <si>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</si>
  <si>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</si>
  <si>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</si>
  <si>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</si>
  <si>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</si>
  <si>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</si>
  <si>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</si>
  <si>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</si>
  <si>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</si>
  <si>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</si>
  <si>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</si>
  <si>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</si>
  <si>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</si>
  <si>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</si>
  <si>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</si>
  <si>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</si>
  <si>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</si>
  <si>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</si>
  <si>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</si>
  <si>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</si>
  <si>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</si>
  <si>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</si>
  <si>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</si>
  <si>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</si>
  <si>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</si>
  <si>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</si>
  <si>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</si>
  <si>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</si>
  <si>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</si>
  <si>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</si>
  <si>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</si>
  <si>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</si>
  <si>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</si>
  <si>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</si>
  <si>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</si>
  <si>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</si>
  <si>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</si>
  <si>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</si>
  <si>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</si>
  <si>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</si>
  <si>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</si>
  <si>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</si>
  <si>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</si>
  <si>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</si>
  <si>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</si>
  <si>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</si>
  <si>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</si>
  <si>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</si>
  <si>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</si>
  <si>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</si>
  <si>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</si>
  <si>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</si>
  <si>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</si>
  <si>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</si>
  <si>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</si>
  <si>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</si>
  <si>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</si>
  <si>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</si>
  <si>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</si>
  <si>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</si>
  <si>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</si>
  <si>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</si>
  <si>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</si>
  <si>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</si>
  <si>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</si>
  <si>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</si>
  <si>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</si>
  <si>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</si>
  <si>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</si>
  <si>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</si>
  <si>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</si>
  <si>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</si>
  <si>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</si>
  <si>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</si>
  <si>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</si>
  <si>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</si>
  <si>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</si>
  <si>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</si>
  <si>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</si>
  <si>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</si>
  <si>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</si>
  <si>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</si>
  <si>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</si>
  <si>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</si>
  <si>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</si>
  <si>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</si>
  <si>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</si>
  <si>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</si>
  <si>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</si>
  <si>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</si>
  <si>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</si>
  <si>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</si>
  <si>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</si>
  <si>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</si>
  <si>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</si>
  <si>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</si>
  <si>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</si>
  <si>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</si>
  <si>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</si>
  <si>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</si>
  <si>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</si>
  <si>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</si>
  <si>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</si>
  <si>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</si>
  <si>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</si>
  <si>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</si>
  <si>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</si>
  <si>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</si>
  <si>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</si>
  <si>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</si>
  <si>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</si>
  <si>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</si>
  <si>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</si>
  <si>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</si>
  <si>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</si>
  <si>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</si>
  <si>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</si>
  <si>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</si>
  <si>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</si>
  <si>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</si>
  <si>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</si>
  <si>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</si>
  <si>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</si>
  <si>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</si>
  <si>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</si>
  <si>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</si>
  <si>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</si>
  <si>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</si>
  <si>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</si>
  <si>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</si>
  <si>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</si>
  <si>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</si>
  <si>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</si>
  <si>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</si>
  <si>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</si>
  <si>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700 East Granville</t>
  </si>
  <si>
    <t xml:space="preserve">Dupage </t>
  </si>
  <si>
    <t>Roselle</t>
  </si>
  <si>
    <t>x</t>
  </si>
  <si>
    <t>Evans, Marshall and Pease, PC</t>
  </si>
  <si>
    <t>Jeffery M. Rollefson, CPA</t>
  </si>
  <si>
    <t>1875 Hicks Road</t>
  </si>
  <si>
    <t>Rolling Meadows</t>
  </si>
  <si>
    <t>IL</t>
  </si>
  <si>
    <t>847-221-5701</t>
  </si>
  <si>
    <t>847-221-5700</t>
  </si>
  <si>
    <t>060-0003973</t>
  </si>
  <si>
    <t>Jeff@empcpa.com</t>
  </si>
  <si>
    <t>SCHOOL BONDS</t>
  </si>
  <si>
    <t>FIRST STUDENT AND LAKE PARK HS</t>
  </si>
  <si>
    <t>SHARE PAPER PURCHASE WITH LAKE PARK HS</t>
  </si>
  <si>
    <t>NDSEC &amp; CASE</t>
  </si>
  <si>
    <t>DUPAGE COUNTY JOB BANK &amp; ISDS JOB BANK</t>
  </si>
  <si>
    <t>PARK DISTRICT</t>
  </si>
  <si>
    <t>LAKE PARK TAX CONSULTATION</t>
  </si>
  <si>
    <t>WCSIT &amp; SSCIP</t>
  </si>
  <si>
    <t>PREFERRED MEAL SYSTEM</t>
  </si>
  <si>
    <t>GAS W, II GAS COOP, ELEC WITH MID AMERICAN</t>
  </si>
  <si>
    <t>SHARED ED &amp; STAFF DEVELOPMENT RESOURCES</t>
  </si>
  <si>
    <t>GCA</t>
  </si>
  <si>
    <t>Evans, Marshall and Pease P.C</t>
  </si>
  <si>
    <t>ALM Group, Inc.</t>
  </si>
  <si>
    <t>O&amp;M-Support Services-Business</t>
  </si>
  <si>
    <t>20-2540-300</t>
  </si>
  <si>
    <t>Medinah SD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</si>
</sst>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1266825</xdr:colOff>
          <xdr:row>3</xdr:row>
          <xdr:rowOff>9525</xdr:rowOff>
        </xdr:from>
        <xdr:to>
          <xdr:col>1</xdr:col>
          <xdr:colOff>2171700</xdr:colOff>
          <xdr:row>7</xdr:row>
          <xdr:rowOff>47625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2077</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2077</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19022011002</v>
      </c>
      <c r="B13" s="2037"/>
      <c r="C13" s="2037"/>
      <c r="D13" s="2037"/>
      <c r="E13" s="2037"/>
      <c r="F13" s="2037"/>
      <c r="G13" s="2037"/>
      <c r="H13" s="2038"/>
      <c r="I13" s="31"/>
      <c r="J13" s="30"/>
      <c r="K13" s="28"/>
      <c r="L13" s="30"/>
      <c r="M13" s="30"/>
      <c r="N13" s="30"/>
      <c r="O13" s="30"/>
      <c r="P13" s="30"/>
      <c r="Q13" s="30"/>
      <c r="R13" s="30"/>
      <c r="S13" s="30"/>
      <c r="T13" s="2041" t="s">
        <v>2082</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2079</v>
      </c>
      <c r="B15" s="2039"/>
      <c r="C15" s="2039"/>
      <c r="D15" s="2039"/>
      <c r="E15" s="2039"/>
      <c r="F15" s="2039"/>
      <c r="G15" s="2039"/>
      <c r="H15" s="2040"/>
      <c r="T15" s="2045" t="s">
        <v>2083</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2107</v>
      </c>
      <c r="B17" s="1996"/>
      <c r="C17" s="1996"/>
      <c r="D17" s="1996"/>
      <c r="E17" s="1996"/>
      <c r="F17" s="1996"/>
      <c r="G17" s="1996"/>
      <c r="H17" s="2021"/>
      <c r="T17" s="2052" t="s">
        <v>2084</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2078</v>
      </c>
      <c r="B19" s="1981"/>
      <c r="C19" s="1981"/>
      <c r="D19" s="1981"/>
      <c r="E19" s="1981"/>
      <c r="F19" s="1981"/>
      <c r="G19" s="1981"/>
      <c r="H19" s="1961"/>
      <c r="I19" s="30"/>
      <c r="J19" s="99"/>
      <c r="K19" s="40"/>
      <c r="L19" s="38"/>
      <c r="M19" s="112" t="s">
        <v>333</v>
      </c>
      <c r="P19" s="27"/>
      <c r="Q19" s="27"/>
      <c r="R19" s="27"/>
      <c r="S19" s="31"/>
      <c r="T19" s="2035" t="s">
        <v>2085</v>
      </c>
      <c r="U19" s="1960"/>
      <c r="V19" s="1960"/>
      <c r="W19" s="1961"/>
      <c r="X19" s="2050" t="s">
        <v>2086</v>
      </c>
      <c r="Y19" s="2051"/>
      <c r="Z19" s="2048">
        <v>60008</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2080</v>
      </c>
      <c r="B21" s="1960"/>
      <c r="C21" s="1960"/>
      <c r="D21" s="1960"/>
      <c r="E21" s="1960"/>
      <c r="F21" s="1960"/>
      <c r="G21" s="1960"/>
      <c r="H21" s="1961"/>
      <c r="I21" s="2015" t="s">
        <v>699</v>
      </c>
      <c r="J21" s="2010"/>
      <c r="K21" s="2010"/>
      <c r="L21" s="2010"/>
      <c r="M21" s="2010"/>
      <c r="N21" s="2010"/>
      <c r="O21" s="2010"/>
      <c r="P21" s="2010"/>
      <c r="Q21" s="2010"/>
      <c r="R21" s="2010"/>
      <c r="S21" s="2016"/>
      <c r="T21" s="2059" t="s">
        <v>2088</v>
      </c>
      <c r="U21" s="2060"/>
      <c r="V21" s="2060"/>
      <c r="W21" s="2060"/>
      <c r="X21" s="2065" t="s">
        <v>2087</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c r="B23" s="2013"/>
      <c r="C23" s="2013"/>
      <c r="D23" s="2013"/>
      <c r="E23" s="2013"/>
      <c r="F23" s="2013"/>
      <c r="G23" s="2013"/>
      <c r="H23" s="2014"/>
      <c r="T23" s="1995" t="s">
        <v>2089</v>
      </c>
      <c r="U23" s="2058"/>
      <c r="V23" s="2058"/>
      <c r="W23" s="2058"/>
      <c r="X23" s="2062">
        <v>43466</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60172</v>
      </c>
      <c r="B25" s="1960"/>
      <c r="C25" s="1960"/>
      <c r="D25" s="1960"/>
      <c r="E25" s="1960"/>
      <c r="F25" s="1960"/>
      <c r="G25" s="1960"/>
      <c r="H25" s="1961"/>
      <c r="I25" s="113"/>
      <c r="J25" s="1984"/>
      <c r="K25" s="1984"/>
      <c r="L25" s="1984"/>
      <c r="M25" s="1984"/>
      <c r="N25" s="1984"/>
      <c r="O25" s="1984"/>
      <c r="P25" s="1984"/>
      <c r="Q25" s="1984"/>
      <c r="R25" s="1984"/>
      <c r="S25" s="1985"/>
      <c r="T25" s="2055" t="s">
        <v>2090</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c r="K29" s="28" t="s">
        <v>597</v>
      </c>
      <c r="L29" s="148" t="s">
        <v>2081</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2081</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2081</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c r="B42" s="1979"/>
      <c r="C42" s="1980"/>
      <c r="D42" s="1978"/>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8" sqref="C8"/>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6262335</v>
      </c>
      <c r="C4" s="1546">
        <v>3189846</v>
      </c>
      <c r="D4" s="1774">
        <f>B4-C4</f>
        <v>3072489</v>
      </c>
      <c r="E4" s="1546">
        <v>6074938</v>
      </c>
      <c r="F4" s="1774">
        <f>E4-C4</f>
        <v>2885092</v>
      </c>
    </row>
    <row r="5" spans="1:6" ht="13.7" customHeight="1" x14ac:dyDescent="0.2">
      <c r="A5" s="716" t="s">
        <v>925</v>
      </c>
      <c r="B5" s="1772">
        <f>'Revenues 9-14'!D5</f>
        <v>1518905</v>
      </c>
      <c r="C5" s="585">
        <v>884355</v>
      </c>
      <c r="D5" s="1775">
        <f t="shared" ref="D5:D18" si="0">B5-C5</f>
        <v>634550</v>
      </c>
      <c r="E5" s="585">
        <v>1684226</v>
      </c>
      <c r="F5" s="1775">
        <f>E5-C5</f>
        <v>799871</v>
      </c>
    </row>
    <row r="6" spans="1:6" ht="13.7" customHeight="1" x14ac:dyDescent="0.2">
      <c r="A6" s="716" t="s">
        <v>431</v>
      </c>
      <c r="B6" s="1772">
        <f>'Revenues 9-14'!E5</f>
        <v>499808</v>
      </c>
      <c r="C6" s="585">
        <v>259067</v>
      </c>
      <c r="D6" s="1775">
        <f t="shared" si="0"/>
        <v>240741</v>
      </c>
      <c r="E6" s="585">
        <v>493385</v>
      </c>
      <c r="F6" s="1775">
        <f t="shared" ref="F6:F18" si="1">E6-C6</f>
        <v>234318</v>
      </c>
    </row>
    <row r="7" spans="1:6" ht="13.7" customHeight="1" x14ac:dyDescent="0.2">
      <c r="A7" s="716" t="s">
        <v>157</v>
      </c>
      <c r="B7" s="1772">
        <f>'Revenues 9-14'!F5</f>
        <v>5317</v>
      </c>
      <c r="C7" s="585">
        <v>4159</v>
      </c>
      <c r="D7" s="1775">
        <f t="shared" si="0"/>
        <v>1158</v>
      </c>
      <c r="E7" s="585">
        <v>7922</v>
      </c>
      <c r="F7" s="1775">
        <f t="shared" si="1"/>
        <v>3763</v>
      </c>
    </row>
    <row r="8" spans="1:6" ht="13.7" customHeight="1" x14ac:dyDescent="0.2">
      <c r="A8" s="716" t="s">
        <v>1241</v>
      </c>
      <c r="B8" s="1772">
        <f>'Revenues 9-14'!G5</f>
        <v>147493</v>
      </c>
      <c r="C8" s="585">
        <v>77036</v>
      </c>
      <c r="D8" s="1775">
        <f t="shared" si="0"/>
        <v>70457</v>
      </c>
      <c r="E8" s="585">
        <v>146716</v>
      </c>
      <c r="F8" s="1775">
        <f t="shared" si="1"/>
        <v>69680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142454</v>
      </c>
      <c r="C10" s="585">
        <v>73877</v>
      </c>
      <c r="D10" s="1775">
        <f t="shared" si="0"/>
        <v>68577</v>
      </c>
      <c r="E10" s="585">
        <v>140695</v>
      </c>
      <c r="F10" s="1775">
        <f t="shared" si="1"/>
        <v>66818</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147493</v>
      </c>
      <c r="C16" s="585">
        <v>77036</v>
      </c>
      <c r="D16" s="1775">
        <f t="shared" si="0"/>
        <v>70457</v>
      </c>
      <c r="E16" s="585">
        <v>146716</v>
      </c>
      <c r="F16" s="1775">
        <f t="shared" si="1"/>
        <v>69680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8723805</v>
      </c>
      <c r="C19" s="1773">
        <f>SUM(C4:C18)</f>
        <v>4565376</v>
      </c>
      <c r="D19" s="1773">
        <f>SUM(D4:D18)</f>
        <v>4158429</v>
      </c>
      <c r="E19" s="1773">
        <f>SUM(E4:E18)</f>
        <v>8694598</v>
      </c>
      <c r="F19" s="1773">
        <f>SUM(F4:F18)</f>
        <v>4129222</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C32" sqref="C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9" t="s">
        <v>2036</v>
      </c>
      <c r="D2" s="724" t="s">
        <v>2043</v>
      </c>
      <c r="E2" s="724" t="s">
        <v>2044</v>
      </c>
      <c r="F2" s="1909" t="s">
        <v>2037</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2091</v>
      </c>
      <c r="B31" s="734">
        <v>40869</v>
      </c>
      <c r="C31" s="735">
        <v>6875000</v>
      </c>
      <c r="D31" s="736">
        <v>3</v>
      </c>
      <c r="E31" s="735">
        <v>5715000</v>
      </c>
      <c r="F31" s="735"/>
      <c r="G31" s="735"/>
      <c r="H31" s="735">
        <v>280000</v>
      </c>
      <c r="I31" s="1778">
        <f>((E31+F31)-H31)+G31</f>
        <v>5435000</v>
      </c>
      <c r="J31" s="735">
        <f>5435000-674944</f>
        <v>4760056</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6875000</v>
      </c>
      <c r="D49" s="746"/>
      <c r="E49" s="1778">
        <f t="shared" ref="E49:J49" si="2">SUM(E31:E48)</f>
        <v>5715000</v>
      </c>
      <c r="F49" s="1778">
        <f t="shared" si="2"/>
        <v>0</v>
      </c>
      <c r="G49" s="1778">
        <f t="shared" si="2"/>
        <v>0</v>
      </c>
      <c r="H49" s="1778">
        <f t="shared" si="2"/>
        <v>280000</v>
      </c>
      <c r="I49" s="1778">
        <f t="shared" si="2"/>
        <v>5435000</v>
      </c>
      <c r="J49" s="1778">
        <f t="shared" si="2"/>
        <v>4760056</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10" sqref="A10:XFD1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c r="H3" s="765"/>
      <c r="I3" s="765"/>
      <c r="J3" s="766"/>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5" t="s">
        <v>1920</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0</v>
      </c>
      <c r="I12" s="1780">
        <f>SUM(I5:I11)</f>
        <v>0</v>
      </c>
      <c r="J12" s="1780">
        <f>SUM(J5:J11)</f>
        <v>0</v>
      </c>
      <c r="K12" s="1780">
        <f>SUM(K5:K11)</f>
        <v>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c r="I14" s="772"/>
      <c r="J14" s="774"/>
      <c r="K14" s="766"/>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1916</v>
      </c>
      <c r="B19" s="2244"/>
      <c r="C19" s="2244"/>
      <c r="D19" s="2244"/>
      <c r="E19" s="2245"/>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1922</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0</v>
      </c>
      <c r="I23" s="1780">
        <f>SUM(I14:I16,I21,I22)</f>
        <v>0</v>
      </c>
      <c r="J23" s="1780">
        <f>SUM(J14:J16,J21,J22)</f>
        <v>0</v>
      </c>
      <c r="K23" s="1780">
        <f>SUM(K14:K16,K21,K22)</f>
        <v>0</v>
      </c>
    </row>
    <row r="24" spans="1:11" ht="14.25" thickTop="1" thickBot="1" x14ac:dyDescent="0.25">
      <c r="A24" s="2266" t="s">
        <v>2024</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v>-517</v>
      </c>
    </row>
    <row r="37" spans="1:11" x14ac:dyDescent="0.2">
      <c r="A37" s="821" t="s">
        <v>952</v>
      </c>
      <c r="B37" s="819"/>
      <c r="C37" s="819"/>
      <c r="D37" s="819"/>
      <c r="E37" s="819"/>
      <c r="F37" s="820"/>
      <c r="G37" s="766">
        <v>19505</v>
      </c>
    </row>
    <row r="38" spans="1:11" x14ac:dyDescent="0.2">
      <c r="A38" s="821" t="s">
        <v>1050</v>
      </c>
      <c r="B38" s="819"/>
      <c r="C38" s="819"/>
      <c r="D38" s="819"/>
      <c r="E38" s="819"/>
      <c r="F38" s="820"/>
      <c r="G38" s="766"/>
    </row>
    <row r="39" spans="1:11" x14ac:dyDescent="0.2">
      <c r="A39" s="821" t="s">
        <v>1051</v>
      </c>
      <c r="B39" s="819"/>
      <c r="C39" s="819"/>
      <c r="D39" s="819"/>
      <c r="E39" s="819"/>
      <c r="F39" s="820"/>
      <c r="G39" s="766">
        <v>53022</v>
      </c>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v>49926</v>
      </c>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C16" sqref="C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309897</v>
      </c>
      <c r="D5" s="842">
        <v>225959</v>
      </c>
      <c r="E5" s="842"/>
      <c r="F5" s="1782">
        <f>(C5+D5)-E5</f>
        <v>535856</v>
      </c>
      <c r="G5" s="838"/>
      <c r="H5" s="843"/>
      <c r="I5" s="843"/>
      <c r="J5" s="843"/>
      <c r="K5" s="794"/>
      <c r="L5" s="1791">
        <f>F5-K5</f>
        <v>535856</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10640515</v>
      </c>
      <c r="D8" s="845">
        <v>194504</v>
      </c>
      <c r="E8" s="845"/>
      <c r="F8" s="1782">
        <f>(C8+D8)-E8</f>
        <v>10835019</v>
      </c>
      <c r="G8" s="844">
        <v>50</v>
      </c>
      <c r="H8" s="766">
        <v>4361734</v>
      </c>
      <c r="I8" s="766">
        <v>387568</v>
      </c>
      <c r="J8" s="766"/>
      <c r="K8" s="1791">
        <f>(H8+I8)-J8</f>
        <v>4749302</v>
      </c>
      <c r="L8" s="1791">
        <f>F8-K8</f>
        <v>6085717</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68057</v>
      </c>
      <c r="D12" s="845"/>
      <c r="E12" s="845"/>
      <c r="F12" s="1782">
        <f>(C12+D12)-E12</f>
        <v>68057</v>
      </c>
      <c r="G12" s="844">
        <v>10</v>
      </c>
      <c r="H12" s="766">
        <v>68057</v>
      </c>
      <c r="I12" s="766"/>
      <c r="J12" s="766"/>
      <c r="K12" s="1791">
        <f>(H12+I12)-J12</f>
        <v>68057</v>
      </c>
      <c r="L12" s="1791">
        <f>F12-K12</f>
        <v>0</v>
      </c>
    </row>
    <row r="13" spans="1:14" ht="14.25" thickTop="1" thickBot="1" x14ac:dyDescent="0.25">
      <c r="A13" s="849" t="s">
        <v>1184</v>
      </c>
      <c r="B13" s="841">
        <v>252</v>
      </c>
      <c r="C13" s="845">
        <v>3096141</v>
      </c>
      <c r="D13" s="845">
        <v>79357</v>
      </c>
      <c r="E13" s="845"/>
      <c r="F13" s="1782">
        <f>(C13+D13)-E13</f>
        <v>3175498</v>
      </c>
      <c r="G13" s="844">
        <v>5</v>
      </c>
      <c r="H13" s="766">
        <v>2828608</v>
      </c>
      <c r="I13" s="766">
        <v>90520</v>
      </c>
      <c r="J13" s="766"/>
      <c r="K13" s="1791">
        <f>(H13+I13)-J13</f>
        <v>2919128</v>
      </c>
      <c r="L13" s="1791">
        <f>F13-K13</f>
        <v>256370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v>0</v>
      </c>
      <c r="D15" s="845">
        <v>440936</v>
      </c>
      <c r="E15" s="845"/>
      <c r="F15" s="1782">
        <f>(C15+D15)-E15</f>
        <v>440936</v>
      </c>
      <c r="G15" s="850" t="s">
        <v>917</v>
      </c>
      <c r="H15" s="782"/>
      <c r="I15" s="782"/>
      <c r="J15" s="782"/>
      <c r="K15" s="782"/>
      <c r="L15" s="1791">
        <f>F15-K15</f>
        <v>440936</v>
      </c>
    </row>
    <row r="16" spans="1:14" ht="15" customHeight="1" thickTop="1" thickBot="1" x14ac:dyDescent="0.25">
      <c r="A16" s="1787" t="s">
        <v>664</v>
      </c>
      <c r="B16" s="1788">
        <v>200</v>
      </c>
      <c r="C16" s="1782">
        <f>SUM(C3,C5:C6,C8:C10,C12:C15)</f>
        <v>14114610</v>
      </c>
      <c r="D16" s="1782">
        <f>SUM(D3,D5:D6,D8:D10,D12:D15)</f>
        <v>940756</v>
      </c>
      <c r="E16" s="1782">
        <f>SUM(E3,E5:E6,E8:E10,E12:E15)</f>
        <v>0</v>
      </c>
      <c r="F16" s="1782">
        <f>SUM(F3,F5:F6,F8:F10,F12:F15)</f>
        <v>15055366</v>
      </c>
      <c r="G16" s="844"/>
      <c r="H16" s="1782">
        <f>SUM(H3,H6,H8:H10,H12:H14,)</f>
        <v>7258399</v>
      </c>
      <c r="I16" s="1782">
        <f>SUM(I3,I6,I8:I10,I12:I14,)</f>
        <v>478088</v>
      </c>
      <c r="J16" s="1782">
        <f>SUM(J3,J6,J8:J10,J12:J14,)</f>
        <v>0</v>
      </c>
      <c r="K16" s="1782">
        <f>(H16+I16)-J16</f>
        <v>7736487</v>
      </c>
      <c r="L16" s="1782">
        <f>F16-K16</f>
        <v>7318879</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478088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topLeftCell="C1" colorId="8" zoomScale="110" zoomScaleNormal="110" workbookViewId="0">
      <pane ySplit="5" topLeftCell="A170" activePane="bottomLeft" state="frozen"/>
      <selection activeCell="A47" sqref="A47"/>
      <selection pane="bottomLeft" activeCell="F78" sqref="F7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7587593</v>
      </c>
      <c r="G8" s="866"/>
    </row>
    <row r="9" spans="1:7" x14ac:dyDescent="0.2">
      <c r="A9" s="870" t="s">
        <v>480</v>
      </c>
      <c r="B9" s="871" t="s">
        <v>1988</v>
      </c>
      <c r="C9" s="872"/>
      <c r="D9" s="870" t="s">
        <v>522</v>
      </c>
      <c r="E9" s="869"/>
      <c r="F9" s="1935">
        <f>'Expenditures 15-22'!K151</f>
        <v>2002825</v>
      </c>
      <c r="G9" s="873"/>
    </row>
    <row r="10" spans="1:7" x14ac:dyDescent="0.2">
      <c r="A10" s="870" t="s">
        <v>520</v>
      </c>
      <c r="B10" s="871" t="s">
        <v>1989</v>
      </c>
      <c r="C10" s="872"/>
      <c r="D10" s="870" t="s">
        <v>522</v>
      </c>
      <c r="E10" s="869"/>
      <c r="F10" s="1935">
        <f>'Expenditures 15-22'!K174</f>
        <v>509075</v>
      </c>
      <c r="G10" s="873"/>
    </row>
    <row r="11" spans="1:7" x14ac:dyDescent="0.2">
      <c r="A11" s="870" t="s">
        <v>481</v>
      </c>
      <c r="B11" s="871" t="s">
        <v>1990</v>
      </c>
      <c r="C11" s="872"/>
      <c r="D11" s="870" t="s">
        <v>522</v>
      </c>
      <c r="E11" s="869"/>
      <c r="F11" s="1935">
        <f>'Expenditures 15-22'!K210</f>
        <v>448394</v>
      </c>
      <c r="G11" s="873"/>
    </row>
    <row r="12" spans="1:7" x14ac:dyDescent="0.2">
      <c r="A12" s="870" t="s">
        <v>482</v>
      </c>
      <c r="B12" s="871" t="s">
        <v>1991</v>
      </c>
      <c r="C12" s="872"/>
      <c r="D12" s="870" t="s">
        <v>522</v>
      </c>
      <c r="E12" s="869"/>
      <c r="F12" s="1935">
        <f>'Expenditures 15-22'!K295</f>
        <v>246212</v>
      </c>
      <c r="G12" s="873"/>
    </row>
    <row r="13" spans="1:7" x14ac:dyDescent="0.2">
      <c r="A13" s="870" t="s">
        <v>108</v>
      </c>
      <c r="B13" s="871" t="s">
        <v>1992</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10794099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512275</v>
      </c>
      <c r="G53" s="866"/>
    </row>
    <row r="54" spans="1:7" x14ac:dyDescent="0.2">
      <c r="A54" s="870" t="s">
        <v>479</v>
      </c>
      <c r="B54" s="870" t="s">
        <v>1552</v>
      </c>
      <c r="C54" s="890" t="s">
        <v>1039</v>
      </c>
      <c r="D54" s="886" t="s">
        <v>1157</v>
      </c>
      <c r="E54" s="869"/>
      <c r="F54" s="1939">
        <f>'Expenditures 15-22'!G114</f>
        <v>79357</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861399</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280000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1733031</v>
      </c>
      <c r="G76" s="866"/>
    </row>
    <row r="77" spans="1:8" s="894" customFormat="1" ht="12" customHeight="1" thickTop="1" thickBot="1" x14ac:dyDescent="0.25">
      <c r="A77" s="1801"/>
      <c r="B77" s="1798"/>
      <c r="C77" s="1794"/>
      <c r="D77" s="1799" t="s">
        <v>2011</v>
      </c>
      <c r="E77" s="1796"/>
      <c r="F77" s="1802">
        <f>(F14-F76)</f>
        <v>9061068</v>
      </c>
      <c r="G77" s="870"/>
    </row>
    <row r="78" spans="1:8" s="894" customFormat="1" ht="12" customHeight="1" thickTop="1" x14ac:dyDescent="0.2">
      <c r="A78" s="1803"/>
      <c r="B78" s="1798"/>
      <c r="C78" s="1794"/>
      <c r="D78" s="1799" t="s">
        <v>2057</v>
      </c>
      <c r="E78" s="1796"/>
      <c r="F78" s="899">
        <v>612.65</v>
      </c>
      <c r="G78" s="900"/>
      <c r="H78" s="870"/>
    </row>
    <row r="79" spans="1:8" s="894" customFormat="1" ht="12" customHeight="1" thickBot="1" x14ac:dyDescent="0.25">
      <c r="A79" s="1804"/>
      <c r="B79" s="1798"/>
      <c r="C79" s="1794"/>
      <c r="D79" s="1799" t="s">
        <v>2012</v>
      </c>
      <c r="E79" s="1796" t="s">
        <v>1015</v>
      </c>
      <c r="F79" s="1805">
        <f>IF(F78&gt;0,F77/F78," Complete Line 78")</f>
        <v>14789.958377540195</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26736</v>
      </c>
      <c r="G94" s="913"/>
    </row>
    <row r="95" spans="1:7" x14ac:dyDescent="0.2">
      <c r="A95" s="909" t="s">
        <v>142</v>
      </c>
      <c r="B95" s="909" t="s">
        <v>177</v>
      </c>
      <c r="C95" s="911">
        <v>1700</v>
      </c>
      <c r="D95" s="919" t="str">
        <f>'Revenues 9-14'!A82</f>
        <v>Total District/School Activity Income</v>
      </c>
      <c r="E95" s="907"/>
      <c r="F95" s="1811">
        <f>SUM('Revenues 9-14'!C82,'Revenues 9-14'!D82)</f>
        <v>10789</v>
      </c>
      <c r="G95" s="913"/>
    </row>
    <row r="96" spans="1:7" x14ac:dyDescent="0.2">
      <c r="A96" s="909" t="s">
        <v>479</v>
      </c>
      <c r="B96" s="909" t="s">
        <v>178</v>
      </c>
      <c r="C96" s="911">
        <f>'Revenues 9-14'!B84</f>
        <v>1811</v>
      </c>
      <c r="D96" s="912" t="str">
        <f>'Revenues 9-14'!A84</f>
        <v>Rentals - Regular Textbooks</v>
      </c>
      <c r="E96" s="907"/>
      <c r="F96" s="1811">
        <f>'Revenues 9-14'!C84</f>
        <v>92526</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163641</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16556</v>
      </c>
      <c r="G107" s="913"/>
    </row>
    <row r="108" spans="1:7" x14ac:dyDescent="0.2">
      <c r="A108" s="909" t="s">
        <v>479</v>
      </c>
      <c r="B108" s="909" t="s">
        <v>844</v>
      </c>
      <c r="C108" s="921">
        <f>'Revenues 9-14'!B145</f>
        <v>3360</v>
      </c>
      <c r="D108" s="912" t="str">
        <f>'Revenues 9-14'!A145</f>
        <v>State Free Lunch &amp; Breakfast</v>
      </c>
      <c r="E108" s="907"/>
      <c r="F108" s="1811">
        <f>'Revenues 9-14'!C145</f>
        <v>869</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204590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750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68360</v>
      </c>
      <c r="G129" s="931"/>
    </row>
    <row r="130" spans="1:7" x14ac:dyDescent="0.2">
      <c r="A130" s="928" t="s">
        <v>689</v>
      </c>
      <c r="B130" s="928" t="s">
        <v>804</v>
      </c>
      <c r="C130" s="933">
        <v>4300</v>
      </c>
      <c r="D130" s="934" t="str">
        <f>'Revenues 9-14'!A211</f>
        <v>Total Title I</v>
      </c>
      <c r="E130" s="907"/>
      <c r="F130" s="1811">
        <f>SUM('Revenues 9-14'!C211,'Revenues 9-14'!D211,'Revenues 9-14'!F211,'Revenues 9-14'!G211)</f>
        <v>97385</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185349</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1508</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27609</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18605</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69228</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984501</v>
      </c>
    </row>
    <row r="179" spans="1:7" ht="12" customHeight="1" x14ac:dyDescent="0.2">
      <c r="A179" s="1792"/>
      <c r="B179" s="1806"/>
      <c r="C179" s="1807"/>
      <c r="D179" s="1808" t="s">
        <v>2014</v>
      </c>
      <c r="E179" s="1809"/>
      <c r="F179" s="1811">
        <f>'PCTC-OEPP 27-28'!F77-F178</f>
        <v>8076567</v>
      </c>
    </row>
    <row r="180" spans="1:7" ht="12" customHeight="1" x14ac:dyDescent="0.2">
      <c r="A180" s="1792"/>
      <c r="B180" s="1806"/>
      <c r="C180" s="1807"/>
      <c r="D180" s="1808" t="s">
        <v>1924</v>
      </c>
      <c r="E180" s="1809"/>
      <c r="F180" s="1811">
        <f>'Cap Outlay Deprec 26'!I18</f>
        <v>478088</v>
      </c>
    </row>
    <row r="181" spans="1:7" ht="12" customHeight="1" x14ac:dyDescent="0.2">
      <c r="A181" s="1792"/>
      <c r="B181" s="1806"/>
      <c r="C181" s="1807"/>
      <c r="D181" s="1808" t="s">
        <v>2015</v>
      </c>
      <c r="E181" s="1809"/>
      <c r="F181" s="1811">
        <f>F179+F180</f>
        <v>8554655</v>
      </c>
    </row>
    <row r="182" spans="1:7" ht="12" customHeight="1" x14ac:dyDescent="0.2">
      <c r="A182" s="1792"/>
      <c r="B182" s="1812"/>
      <c r="C182" s="1807"/>
      <c r="D182" s="1808" t="str">
        <f>D78</f>
        <v>9 Month ADA from District Average Daily Attendance/Prior General State Aid Inquiry 2017-2018</v>
      </c>
      <c r="E182" s="1809"/>
      <c r="F182" s="1813">
        <f>'PCTC-OEPP 27-28'!F78</f>
        <v>612.65</v>
      </c>
      <c r="G182" s="931"/>
    </row>
    <row r="183" spans="1:7" ht="12" customHeight="1" thickBot="1" x14ac:dyDescent="0.25">
      <c r="A183" s="1792"/>
      <c r="B183" s="1812"/>
      <c r="C183" s="1807"/>
      <c r="D183" s="1808" t="s">
        <v>2016</v>
      </c>
      <c r="E183" s="1809" t="s">
        <v>1626</v>
      </c>
      <c r="F183" s="1814">
        <f>F181/F182</f>
        <v>13963.364074104302</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2105</v>
      </c>
      <c r="B17" s="1957" t="s">
        <v>2106</v>
      </c>
      <c r="C17" s="1958" t="s">
        <v>2104</v>
      </c>
      <c r="D17" s="1867">
        <v>32040</v>
      </c>
      <c r="E17" s="1562">
        <f t="shared" ref="E17:E141" si="1">IF(D17&lt;=25000,D17,IF(D17&gt;25000,25000,0))</f>
        <v>25000</v>
      </c>
      <c r="F17" s="1815">
        <f t="shared" si="0"/>
        <v>25000</v>
      </c>
      <c r="G17" s="1816">
        <f>IF(F17=0,0,D17-F17)</f>
        <v>7040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32040</v>
      </c>
      <c r="E141" s="1563">
        <f t="shared" si="1"/>
        <v>25000</v>
      </c>
      <c r="F141" s="1817">
        <f>SUM(F17:F140)</f>
        <v>25000</v>
      </c>
      <c r="G141" s="1818">
        <f>SUM(G17:G140)</f>
        <v>7040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c r="F10" s="975"/>
      <c r="G10" s="976"/>
      <c r="H10" s="162"/>
      <c r="I10" s="162"/>
    </row>
    <row r="11" spans="1:9" s="669" customFormat="1" ht="22.5" customHeight="1" x14ac:dyDescent="0.2">
      <c r="A11" s="2305" t="s">
        <v>1944</v>
      </c>
      <c r="B11" s="2306"/>
      <c r="C11" s="2306"/>
      <c r="D11" s="2307"/>
      <c r="E11" s="978">
        <v>8888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4447466</v>
      </c>
      <c r="F19" s="1822"/>
      <c r="G19" s="1824">
        <f>'Expenditures 15-22'!K33-SUM('Expenditures 15-22'!G33,'Expenditures 15-22'!I33)+'Expenditures 15-22'!D229</f>
        <v>4447466</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482530</v>
      </c>
      <c r="F21" s="1825"/>
      <c r="G21" s="1828">
        <f>'Expenditures 15-22'!K42-SUM('Expenditures 15-22'!G42,'Expenditures 15-22'!I42)+'Expenditures 15-22'!K120-SUM('Expenditures 15-22'!G120,'Expenditures 15-22'!I120)+'Expenditures 15-22'!K180-SUM('Expenditures 15-22'!G180,'Expenditures 15-22'!I180)+'Expenditures 15-22'!D238</f>
        <v>482530</v>
      </c>
      <c r="H21" s="988"/>
      <c r="I21" s="162"/>
    </row>
    <row r="22" spans="1:9" s="669" customFormat="1" ht="12" customHeight="1" x14ac:dyDescent="0.2">
      <c r="A22" s="995" t="s">
        <v>585</v>
      </c>
      <c r="B22" s="996"/>
      <c r="C22" s="994">
        <v>2200</v>
      </c>
      <c r="D22" s="1825"/>
      <c r="E22" s="1827">
        <f>'Expenditures 15-22'!K47-SUM('Expenditures 15-22'!G47,'Expenditures 15-22'!I47)+'Expenditures 15-22'!D243</f>
        <v>499353</v>
      </c>
      <c r="F22" s="1825"/>
      <c r="G22" s="1828">
        <f>'Expenditures 15-22'!K47-SUM('Expenditures 15-22'!G47,'Expenditures 15-22'!I47)+'Expenditures 15-22'!D243</f>
        <v>499353</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535031</v>
      </c>
      <c r="F23" s="1825"/>
      <c r="G23" s="1827">
        <f>'Expenditures 15-22'!K53-SUM('Expenditures 15-22'!G53,'Expenditures 15-22'!I53)+'Expenditures 15-22'!D257+'Expenditures 15-22'!K330-SUM('Expenditures 15-22'!G330,'Expenditures 15-22'!I330)</f>
        <v>535031</v>
      </c>
      <c r="H23" s="988"/>
      <c r="I23" s="162"/>
    </row>
    <row r="24" spans="1:9" s="669" customFormat="1" ht="12" customHeight="1" x14ac:dyDescent="0.2">
      <c r="A24" s="995" t="s">
        <v>587</v>
      </c>
      <c r="B24" s="996"/>
      <c r="C24" s="994">
        <v>2400</v>
      </c>
      <c r="D24" s="1825"/>
      <c r="E24" s="1827">
        <f>'Expenditures 15-22'!K57-SUM('Expenditures 15-22'!G57,'Expenditures 15-22'!I57)+'Expenditures 15-22'!D261</f>
        <v>653065</v>
      </c>
      <c r="F24" s="1825"/>
      <c r="G24" s="1828">
        <f>'Expenditures 15-22'!K57-SUM('Expenditures 15-22'!G57,'Expenditures 15-22'!I57)+'Expenditures 15-22'!D261</f>
        <v>653065</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194968</v>
      </c>
      <c r="E27" s="1827">
        <f>E8</f>
        <v>0</v>
      </c>
      <c r="F27" s="1827">
        <f>'Expenditures 15-22'!K60-SUM('Expenditures 15-22'!G60,'Expenditures 15-22'!I60)+'Expenditures 15-22'!D264-E8</f>
        <v>194968</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1157557</v>
      </c>
      <c r="F28" s="1829">
        <f>'Expenditures 15-22'!K61-SUM('Expenditures 15-22'!G61,'Expenditures 15-22'!I61)+'Expenditures 15-22'!K124-SUM('Expenditures 15-22'!G124,'Expenditures 15-22'!I124)+'Expenditures 15-22'!D266-E9</f>
        <v>1157557</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450582</v>
      </c>
      <c r="F29" s="1825"/>
      <c r="G29" s="1828">
        <f>'Expenditures 15-22'!K62-SUM('Expenditures 15-22'!G62,'Expenditures 15-22'!I62)+'Expenditures 15-22'!K125-SUM('Expenditures 15-22'!G125,'Expenditures 15-22'!I125)+'Expenditures 15-22'!K182-SUM('Expenditures 15-22'!G182,'Expenditures 15-22'!I182)+'Expenditures 15-22'!D267</f>
        <v>450582</v>
      </c>
      <c r="H29" s="986"/>
    </row>
    <row r="30" spans="1:9" ht="12" customHeight="1" x14ac:dyDescent="0.2">
      <c r="A30" s="995" t="s">
        <v>102</v>
      </c>
      <c r="B30" s="998"/>
      <c r="C30" s="994">
        <v>2560</v>
      </c>
      <c r="D30" s="1825"/>
      <c r="E30" s="1827">
        <f>'Expenditures 15-22'!K63-SUM('Expenditures 15-22'!G63,'Expenditures 15-22'!I63)+'Expenditures 15-22'!D268-E10</f>
        <v>238691</v>
      </c>
      <c r="F30" s="1825"/>
      <c r="G30" s="1827">
        <f>'Expenditures 15-22'!K63-SUM('Expenditures 15-22'!G63,'Expenditures 15-22'!I63)+'Expenditures 15-22'!D268-E10</f>
        <v>238691</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172750</v>
      </c>
      <c r="E37" s="1827">
        <f>E14</f>
        <v>0</v>
      </c>
      <c r="F37" s="1827">
        <f>'Expenditures 15-22'!K71-SUM('Expenditures 15-22'!G71,'Expenditures 15-22'!I71)+'Expenditures 15-22'!D276-E14</f>
        <v>172750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-7040</v>
      </c>
      <c r="F40" s="1825"/>
      <c r="G40" s="1829">
        <f>-'Contracts Paid in CY 29'!G141</f>
        <v>-7040</v>
      </c>
    </row>
    <row r="41" spans="1:7" ht="12" customHeight="1" x14ac:dyDescent="0.2">
      <c r="A41" s="999" t="s">
        <v>158</v>
      </c>
      <c r="B41" s="1000"/>
      <c r="C41" s="1001"/>
      <c r="D41" s="1829">
        <f>SUM(D19:D39)</f>
        <v>367718</v>
      </c>
      <c r="E41" s="1829">
        <f>SUM(E19:E40)</f>
        <v>8457235</v>
      </c>
      <c r="F41" s="1829">
        <f>SUM(F19:F39)</f>
        <v>1525275</v>
      </c>
      <c r="G41" s="1829">
        <f>SUM(G19:G40)</f>
        <v>7299678</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367718</v>
      </c>
      <c r="F43" s="1830" t="s">
        <v>495</v>
      </c>
      <c r="G43" s="1831">
        <f>F41</f>
        <v>1525275</v>
      </c>
    </row>
    <row r="44" spans="1:7" ht="12" customHeight="1" x14ac:dyDescent="0.2">
      <c r="A44" s="988"/>
      <c r="B44" s="162"/>
      <c r="C44" s="1002"/>
      <c r="D44" s="1830" t="s">
        <v>494</v>
      </c>
      <c r="E44" s="1831">
        <f>E41</f>
        <v>8457235</v>
      </c>
      <c r="F44" s="1830" t="s">
        <v>494</v>
      </c>
      <c r="G44" s="1831">
        <f>G41</f>
        <v>7299678</v>
      </c>
    </row>
    <row r="45" spans="1:7" ht="12" customHeight="1" x14ac:dyDescent="0.2">
      <c r="A45" s="988"/>
      <c r="B45" s="162"/>
      <c r="C45" s="162"/>
      <c r="D45" s="1832" t="s">
        <v>1063</v>
      </c>
      <c r="E45" s="1833">
        <f>(E43/E44)</f>
        <v>4.3479695195888492E-2</v>
      </c>
      <c r="F45" s="1832" t="s">
        <v>1063</v>
      </c>
      <c r="G45" s="1833">
        <f>(G43/G44)</f>
        <v>0.2089509975645501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2" t="s">
        <v>1446</v>
      </c>
      <c r="B1" s="2322"/>
      <c r="C1" s="2322"/>
      <c r="D1" s="2322"/>
      <c r="E1" s="2322"/>
      <c r="F1" s="2322"/>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3" t="s">
        <v>1627</v>
      </c>
      <c r="B5" s="2324"/>
      <c r="C5" s="2325"/>
      <c r="D5" s="2325"/>
      <c r="E5" s="2325"/>
      <c r="F5" s="2325"/>
    </row>
    <row r="6" spans="1:10" ht="12" customHeight="1" x14ac:dyDescent="0.25">
      <c r="A6" s="1875"/>
      <c r="B6" s="1876"/>
      <c r="C6" s="2326" t="str">
        <f>COVER!A17</f>
        <v>Medinah SD 11</v>
      </c>
      <c r="D6" s="2326"/>
      <c r="E6" s="2326"/>
      <c r="F6" s="1877"/>
    </row>
    <row r="7" spans="1:10" ht="11.25" customHeight="1" thickBot="1" x14ac:dyDescent="0.3">
      <c r="A7" s="1875"/>
      <c r="B7" s="1876"/>
      <c r="C7" s="2327">
        <f>COVER!A13</f>
        <v>19022011002</v>
      </c>
      <c r="D7" s="2327"/>
      <c r="E7" s="2327"/>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t="s">
        <v>2077</v>
      </c>
      <c r="D12" s="1890" t="s">
        <v>2077</v>
      </c>
      <c r="E12" s="1893" t="s">
        <v>2077</v>
      </c>
      <c r="F12" s="1892" t="s">
        <v>2102</v>
      </c>
      <c r="H12" s="1903">
        <f t="shared" ref="H12:H33" si="0">IF(C12="X",5,0)</f>
        <v>5</v>
      </c>
      <c r="I12" s="1903">
        <f t="shared" ref="I12:I33" si="1">IF(D12="X",5,0)</f>
        <v>5</v>
      </c>
      <c r="J12" s="1903">
        <f t="shared" ref="J12:J33" si="2">IF(E12="X",5,0)</f>
        <v>5</v>
      </c>
    </row>
    <row r="13" spans="1:10" ht="12" customHeight="1" x14ac:dyDescent="0.2">
      <c r="A13" s="1888" t="s">
        <v>1452</v>
      </c>
      <c r="B13" s="1889"/>
      <c r="C13" s="1890" t="s">
        <v>2077</v>
      </c>
      <c r="D13" s="1890" t="s">
        <v>2077</v>
      </c>
      <c r="E13" s="1893" t="s">
        <v>2077</v>
      </c>
      <c r="F13" s="1892" t="s">
        <v>2101</v>
      </c>
      <c r="H13" s="1903">
        <f t="shared" si="0"/>
        <v>5</v>
      </c>
      <c r="I13" s="1903">
        <f t="shared" si="1"/>
        <v>5</v>
      </c>
      <c r="J13" s="1903">
        <f t="shared" si="2"/>
        <v>5</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t="s">
        <v>2077</v>
      </c>
      <c r="D15" s="1890" t="s">
        <v>2077</v>
      </c>
      <c r="E15" s="1893" t="s">
        <v>2077</v>
      </c>
      <c r="F15" s="1892" t="s">
        <v>2100</v>
      </c>
      <c r="H15" s="1903">
        <f t="shared" si="0"/>
        <v>5</v>
      </c>
      <c r="I15" s="1903">
        <f t="shared" si="1"/>
        <v>5</v>
      </c>
      <c r="J15" s="1903">
        <f t="shared" si="2"/>
        <v>5</v>
      </c>
    </row>
    <row r="16" spans="1:10" ht="12" customHeight="1" x14ac:dyDescent="0.2">
      <c r="A16" s="1888" t="s">
        <v>1455</v>
      </c>
      <c r="B16" s="1889"/>
      <c r="C16" s="1890" t="s">
        <v>2077</v>
      </c>
      <c r="D16" s="1890" t="s">
        <v>2077</v>
      </c>
      <c r="E16" s="1893" t="s">
        <v>2077</v>
      </c>
      <c r="F16" s="1892" t="s">
        <v>2099</v>
      </c>
      <c r="H16" s="1903">
        <f t="shared" si="0"/>
        <v>5</v>
      </c>
      <c r="I16" s="1903">
        <f t="shared" si="1"/>
        <v>5</v>
      </c>
      <c r="J16" s="1903">
        <f t="shared" si="2"/>
        <v>5</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t="s">
        <v>2077</v>
      </c>
      <c r="D18" s="1890" t="s">
        <v>2077</v>
      </c>
      <c r="E18" s="1893" t="s">
        <v>2077</v>
      </c>
      <c r="F18" s="1892" t="s">
        <v>2096</v>
      </c>
      <c r="H18" s="1903">
        <f t="shared" si="0"/>
        <v>5</v>
      </c>
      <c r="I18" s="1903">
        <f t="shared" si="1"/>
        <v>5</v>
      </c>
      <c r="J18" s="1903">
        <f t="shared" si="2"/>
        <v>5</v>
      </c>
    </row>
    <row r="19" spans="1:12" ht="12" customHeight="1" x14ac:dyDescent="0.2">
      <c r="A19" s="1888" t="s">
        <v>1608</v>
      </c>
      <c r="B19" s="1889"/>
      <c r="C19" s="1890" t="s">
        <v>2077</v>
      </c>
      <c r="D19" s="1890" t="s">
        <v>2077</v>
      </c>
      <c r="E19" s="1893" t="s">
        <v>2077</v>
      </c>
      <c r="F19" s="1892" t="s">
        <v>2098</v>
      </c>
      <c r="H19" s="1903">
        <f t="shared" si="0"/>
        <v>5</v>
      </c>
      <c r="I19" s="1903">
        <f t="shared" si="1"/>
        <v>5</v>
      </c>
      <c r="J19" s="1903">
        <f t="shared" si="2"/>
        <v>5</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t="s">
        <v>2077</v>
      </c>
      <c r="D21" s="1890" t="s">
        <v>2077</v>
      </c>
      <c r="E21" s="1893" t="s">
        <v>2077</v>
      </c>
      <c r="F21" s="1892" t="s">
        <v>2097</v>
      </c>
      <c r="H21" s="1903">
        <f t="shared" si="0"/>
        <v>5</v>
      </c>
      <c r="I21" s="1903">
        <f t="shared" si="1"/>
        <v>5</v>
      </c>
      <c r="J21" s="1903">
        <f t="shared" si="2"/>
        <v>5</v>
      </c>
    </row>
    <row r="22" spans="1:12" ht="12" customHeight="1" x14ac:dyDescent="0.2">
      <c r="A22" s="1888" t="s">
        <v>1611</v>
      </c>
      <c r="B22" s="1889"/>
      <c r="C22" s="1890" t="s">
        <v>2077</v>
      </c>
      <c r="D22" s="1890" t="s">
        <v>2077</v>
      </c>
      <c r="E22" s="1893" t="s">
        <v>2077</v>
      </c>
      <c r="F22" s="1892" t="s">
        <v>2096</v>
      </c>
      <c r="H22" s="1903">
        <f t="shared" si="0"/>
        <v>5</v>
      </c>
      <c r="I22" s="1903">
        <f t="shared" si="1"/>
        <v>5</v>
      </c>
      <c r="J22" s="1903">
        <f t="shared" si="2"/>
        <v>5</v>
      </c>
    </row>
    <row r="23" spans="1:12" ht="12" customHeight="1" x14ac:dyDescent="0.2">
      <c r="A23" s="1888" t="s">
        <v>1612</v>
      </c>
      <c r="B23" s="1889"/>
      <c r="C23" s="1890" t="s">
        <v>2077</v>
      </c>
      <c r="D23" s="1890" t="s">
        <v>2077</v>
      </c>
      <c r="E23" s="1893" t="s">
        <v>2077</v>
      </c>
      <c r="F23" s="1892" t="s">
        <v>2095</v>
      </c>
      <c r="H23" s="1903">
        <f t="shared" si="0"/>
        <v>5</v>
      </c>
      <c r="I23" s="1903">
        <f t="shared" si="1"/>
        <v>5</v>
      </c>
      <c r="J23" s="1903">
        <f t="shared" si="2"/>
        <v>5</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2077</v>
      </c>
      <c r="F26" s="1892" t="s">
        <v>2094</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t="s">
        <v>2077</v>
      </c>
      <c r="D28" s="1890" t="s">
        <v>2077</v>
      </c>
      <c r="E28" s="1893" t="s">
        <v>2077</v>
      </c>
      <c r="F28" s="1892" t="s">
        <v>2093</v>
      </c>
      <c r="H28" s="1903">
        <f t="shared" si="0"/>
        <v>5</v>
      </c>
      <c r="I28" s="1903">
        <f t="shared" si="1"/>
        <v>5</v>
      </c>
      <c r="J28" s="1903">
        <f t="shared" si="2"/>
        <v>5</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2077</v>
      </c>
      <c r="D30" s="1890" t="s">
        <v>2077</v>
      </c>
      <c r="E30" s="1893" t="s">
        <v>2077</v>
      </c>
      <c r="F30" s="1892" t="s">
        <v>2092</v>
      </c>
      <c r="H30" s="1903">
        <f t="shared" si="0"/>
        <v>5</v>
      </c>
      <c r="I30" s="1903">
        <f t="shared" si="1"/>
        <v>5</v>
      </c>
      <c r="J30" s="1903">
        <f t="shared" si="2"/>
        <v>5</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60</v>
      </c>
      <c r="I34" s="1903">
        <f>SUM(I11:I32)</f>
        <v>60</v>
      </c>
      <c r="J34" s="1903">
        <f>SUM(J11:J32)</f>
        <v>60</v>
      </c>
      <c r="K34" s="1903">
        <f>SUM(H34:J34)</f>
        <v>180</v>
      </c>
    </row>
    <row r="35" spans="1:11" ht="12" customHeight="1" x14ac:dyDescent="0.2">
      <c r="A35" s="1896" t="s">
        <v>1459</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1458</v>
      </c>
      <c r="B40" s="1900"/>
      <c r="C40" s="2317"/>
      <c r="D40" s="2317"/>
      <c r="E40" s="2317"/>
      <c r="F40" s="2318"/>
      <c r="H40" s="1904"/>
      <c r="I40" s="1904"/>
      <c r="J40" s="1904"/>
      <c r="K40" s="1904"/>
    </row>
    <row r="41" spans="1:11" s="1895" customFormat="1" ht="12" customHeight="1" x14ac:dyDescent="0.25">
      <c r="A41" s="2319"/>
      <c r="B41" s="2320"/>
      <c r="C41" s="2320"/>
      <c r="D41" s="2320"/>
      <c r="E41" s="2320"/>
      <c r="F41" s="2321"/>
      <c r="H41" s="1904"/>
      <c r="I41" s="1904"/>
      <c r="J41" s="1904"/>
      <c r="K41" s="1904"/>
    </row>
    <row r="42" spans="1:11" s="1895" customFormat="1" ht="12" customHeight="1" x14ac:dyDescent="0.25">
      <c r="A42" s="2319"/>
      <c r="B42" s="2320"/>
      <c r="C42" s="2320"/>
      <c r="D42" s="2320"/>
      <c r="E42" s="2320"/>
      <c r="F42" s="2321"/>
      <c r="H42" s="1904"/>
      <c r="I42" s="1904"/>
      <c r="J42" s="1904"/>
      <c r="K42" s="1904"/>
    </row>
    <row r="43" spans="1:11" s="1895" customFormat="1" ht="15" x14ac:dyDescent="0.25">
      <c r="A43" s="2308"/>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3" colorId="8" zoomScale="110" zoomScaleNormal="110" workbookViewId="0">
      <selection activeCell="B40" sqref="B40"/>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Medinah SD 11</v>
      </c>
      <c r="J6" s="2336"/>
      <c r="Q6" s="1686"/>
    </row>
    <row r="7" spans="1:17" x14ac:dyDescent="0.2">
      <c r="A7" s="2337" t="s">
        <v>924</v>
      </c>
      <c r="B7" s="2338"/>
      <c r="C7" s="2338"/>
      <c r="D7" s="2338"/>
      <c r="E7" s="2339"/>
      <c r="F7" s="1018"/>
      <c r="G7" s="1010"/>
      <c r="H7" s="1017" t="s">
        <v>390</v>
      </c>
      <c r="I7" s="2340">
        <f>COVER!A13</f>
        <v>19022011002</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348292</v>
      </c>
      <c r="F12" s="1040"/>
      <c r="G12" s="1834">
        <f t="shared" ref="G12:G18" si="0">SUM(E12:F12)</f>
        <v>348292</v>
      </c>
      <c r="H12" s="1041">
        <v>338049</v>
      </c>
      <c r="I12" s="1040"/>
      <c r="J12" s="1834">
        <f t="shared" ref="J12:J18" si="1">SUM(H12:I12)</f>
        <v>338049</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v>105724</v>
      </c>
      <c r="I15" s="1041">
        <v>0</v>
      </c>
      <c r="J15" s="1834">
        <f t="shared" si="1"/>
        <v>105724</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348292</v>
      </c>
      <c r="F19" s="1836">
        <f t="shared" si="2"/>
        <v>0</v>
      </c>
      <c r="G19" s="1836">
        <f t="shared" si="2"/>
        <v>348292</v>
      </c>
      <c r="H19" s="1836">
        <f t="shared" si="2"/>
        <v>443773</v>
      </c>
      <c r="I19" s="1836">
        <f t="shared" si="2"/>
        <v>0</v>
      </c>
      <c r="J19" s="1836">
        <f t="shared" si="2"/>
        <v>443773</v>
      </c>
    </row>
    <row r="20" spans="1:10" ht="13.5" thickTop="1" x14ac:dyDescent="0.2">
      <c r="A20" s="1036">
        <v>9</v>
      </c>
      <c r="B20" s="2347" t="s">
        <v>1703</v>
      </c>
      <c r="C20" s="2347"/>
      <c r="D20" s="2348"/>
      <c r="E20" s="1047"/>
      <c r="F20" s="1047"/>
      <c r="G20" s="1047"/>
      <c r="H20" s="1047"/>
      <c r="I20" s="1047"/>
      <c r="J20" s="1837">
        <f>IF(AND(G19&gt;0,J19&gt;0),(((J19-G19)/G19)),"Enter Budget Data")</f>
        <v>0.27414066358113309</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6" sqref="B6"/>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Medinah SD 11</v>
      </c>
    </row>
    <row r="65" spans="2:2" x14ac:dyDescent="0.2">
      <c r="B65" s="1071">
        <f>COVER!A13</f>
        <v>19022011002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1266825</xdr:colOff>
                <xdr:row>3</xdr:row>
                <xdr:rowOff>9525</xdr:rowOff>
              </from>
              <to>
                <xdr:col>1</xdr:col>
                <xdr:colOff>2171700</xdr:colOff>
                <xdr:row>7</xdr:row>
                <xdr:rowOff>47625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8174875</v>
      </c>
      <c r="C8" s="1838">
        <f>'Acct Summary 7-8'!D8</f>
        <v>1655146</v>
      </c>
      <c r="D8" s="1838">
        <f>'Acct Summary 7-8'!F8</f>
        <v>217100</v>
      </c>
      <c r="E8" s="1838">
        <f>'Acct Summary 7-8'!I8</f>
        <v>166604</v>
      </c>
      <c r="F8" s="1838">
        <f>SUM(B8:E8)</f>
        <v>10213725</v>
      </c>
    </row>
    <row r="9" spans="1:8" s="1080" customFormat="1" ht="14.25" customHeight="1" thickBot="1" x14ac:dyDescent="0.25">
      <c r="A9" s="1079" t="s">
        <v>1436</v>
      </c>
      <c r="B9" s="1839">
        <f>'Acct Summary 7-8'!C17</f>
        <v>7587593</v>
      </c>
      <c r="C9" s="1839">
        <f>'Acct Summary 7-8'!D17</f>
        <v>2002825</v>
      </c>
      <c r="D9" s="1839">
        <f>'Acct Summary 7-8'!F17</f>
        <v>448394</v>
      </c>
      <c r="E9" s="1838"/>
      <c r="F9" s="1838">
        <f>SUM(B9:E9)</f>
        <v>10038812</v>
      </c>
    </row>
    <row r="10" spans="1:8" s="1080" customFormat="1" ht="14.25" thickTop="1" thickBot="1" x14ac:dyDescent="0.25">
      <c r="A10" s="1081" t="s">
        <v>1437</v>
      </c>
      <c r="B10" s="1840">
        <f>(B8-B9)</f>
        <v>587282</v>
      </c>
      <c r="C10" s="1840">
        <f>(C8-C9)</f>
        <v>-347679</v>
      </c>
      <c r="D10" s="1840">
        <f>(D8-D9)</f>
        <v>-231294</v>
      </c>
      <c r="E10" s="1839">
        <f>(E8-E9)</f>
        <v>166604</v>
      </c>
      <c r="F10" s="1841">
        <f>SUM(F8-F9)</f>
        <v>174913</v>
      </c>
    </row>
    <row r="11" spans="1:8" s="1080" customFormat="1" ht="14.25" thickTop="1" thickBot="1" x14ac:dyDescent="0.25">
      <c r="A11" s="1082" t="s">
        <v>1785</v>
      </c>
      <c r="B11" s="1842">
        <f>'Acct Summary 7-8'!C81</f>
        <v>7950455</v>
      </c>
      <c r="C11" s="1842">
        <f>'Acct Summary 7-8'!D81</f>
        <v>1355411</v>
      </c>
      <c r="D11" s="1842">
        <f>'Acct Summary 7-8'!F81</f>
        <v>633570</v>
      </c>
      <c r="E11" s="1842">
        <f>'Acct Summary 7-8'!I81</f>
        <v>2678065</v>
      </c>
      <c r="F11" s="1843">
        <f>SUM(B11:E11)</f>
        <v>12617501</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19022011002</v>
      </c>
    </row>
    <row r="3" spans="1:2" x14ac:dyDescent="0.2">
      <c r="A3" t="s">
        <v>1013</v>
      </c>
      <c r="B3" s="138" t="str">
        <f>COVER!A15</f>
        <v xml:space="preserve">Dupage </v>
      </c>
    </row>
    <row r="4" spans="1:2" x14ac:dyDescent="0.2">
      <c r="A4" t="s">
        <v>1064</v>
      </c>
      <c r="B4" s="138" t="str">
        <f>COVER!A17</f>
        <v>Medinah SD 11</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060-0003973</v>
      </c>
    </row>
    <row r="16" spans="1:2" x14ac:dyDescent="0.2">
      <c r="A16" t="s">
        <v>442</v>
      </c>
      <c r="B16" s="138" t="str">
        <f>COVER!T13</f>
        <v>Evans, Marshall and Pease, PC</v>
      </c>
    </row>
    <row r="17" spans="1:2" x14ac:dyDescent="0.2">
      <c r="A17" t="s">
        <v>939</v>
      </c>
      <c r="B17" s="138" t="str">
        <f>COVER!T15</f>
        <v>Jeffery M. Rollefson, CPA</v>
      </c>
    </row>
    <row r="18" spans="1:2" x14ac:dyDescent="0.2">
      <c r="A18" t="s">
        <v>1212</v>
      </c>
      <c r="B18" s="138" t="str">
        <f>COVER!T17</f>
        <v>1875 Hicks Road</v>
      </c>
    </row>
    <row r="19" spans="1:2" x14ac:dyDescent="0.2">
      <c r="A19" t="s">
        <v>941</v>
      </c>
      <c r="B19" s="138" t="str">
        <f>COVER!T25</f>
        <v>Jeff@empcpa.com</v>
      </c>
    </row>
    <row r="20" spans="1:2" x14ac:dyDescent="0.2">
      <c r="A20" t="s">
        <v>942</v>
      </c>
      <c r="B20" s="138" t="str">
        <f>COVER!T19</f>
        <v>Rolling Meadows</v>
      </c>
    </row>
    <row r="21" spans="1:2" x14ac:dyDescent="0.2">
      <c r="A21" t="s">
        <v>500</v>
      </c>
      <c r="B21" s="138" t="str">
        <f>COVER!X19</f>
        <v>IL</v>
      </c>
    </row>
    <row r="22" spans="1:2" x14ac:dyDescent="0.2">
      <c r="A22" t="s">
        <v>943</v>
      </c>
      <c r="B22" s="138">
        <f>COVER!Z19</f>
        <v>60008</v>
      </c>
    </row>
    <row r="23" spans="1:2" x14ac:dyDescent="0.2">
      <c r="A23" t="s">
        <v>1214</v>
      </c>
      <c r="B23" s="138" t="str">
        <f>COVER!T21</f>
        <v>847-221-5700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33512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7950146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-309</v>
      </c>
      <c r="C91" s="2" t="s">
        <v>594</v>
      </c>
      <c r="D91" s="2" t="str">
        <f t="shared" si="0"/>
        <v>Error?</v>
      </c>
    </row>
    <row r="92" spans="1:4" x14ac:dyDescent="0.2">
      <c r="A92" s="5">
        <v>31</v>
      </c>
      <c r="B92" s="138">
        <f>'Assets-Liab 5-6'!C39</f>
        <v>7950455</v>
      </c>
      <c r="D92" s="2" t="str">
        <f t="shared" si="0"/>
        <v>Error?</v>
      </c>
    </row>
    <row r="93" spans="1:4" x14ac:dyDescent="0.2">
      <c r="A93" s="5">
        <v>32</v>
      </c>
      <c r="B93" s="138">
        <f>'Assets-Liab 5-6'!C41</f>
        <v>7950146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1361130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5719</v>
      </c>
      <c r="C122" s="2" t="s">
        <v>594</v>
      </c>
      <c r="D122" s="2" t="str">
        <f t="shared" si="0"/>
        <v>Error?</v>
      </c>
    </row>
    <row r="123" spans="1:4" x14ac:dyDescent="0.2">
      <c r="A123" s="5">
        <v>62</v>
      </c>
      <c r="B123" s="138">
        <f>'Assets-Liab 5-6'!D39</f>
        <v>1355411</v>
      </c>
      <c r="D123" s="2" t="str">
        <f t="shared" si="0"/>
        <v>Error?</v>
      </c>
    </row>
    <row r="124" spans="1:4" x14ac:dyDescent="0.2">
      <c r="A124" s="5">
        <v>63</v>
      </c>
      <c r="B124" s="138">
        <f>'Assets-Liab 5-6'!D41</f>
        <v>1361130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674944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674944</v>
      </c>
      <c r="D140" s="2" t="str">
        <f t="shared" si="1"/>
        <v>Error?</v>
      </c>
    </row>
    <row r="141" spans="1:4" x14ac:dyDescent="0.2">
      <c r="A141" s="5">
        <v>80</v>
      </c>
      <c r="B141" s="138">
        <f>'Assets-Liab 5-6'!E41</f>
        <v>674944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633570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633570</v>
      </c>
      <c r="D170" s="2" t="str">
        <f t="shared" si="1"/>
        <v>Error?</v>
      </c>
    </row>
    <row r="171" spans="1:4" x14ac:dyDescent="0.2">
      <c r="A171" s="5">
        <v>110</v>
      </c>
      <c r="B171" s="138">
        <f>'Assets-Liab 5-6'!F41</f>
        <v>633570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345877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345877</v>
      </c>
      <c r="D189" s="2" t="str">
        <f t="shared" si="1"/>
        <v>Error?</v>
      </c>
    </row>
    <row r="190" spans="1:4" x14ac:dyDescent="0.2">
      <c r="A190" s="5">
        <v>129</v>
      </c>
      <c r="B190" s="138">
        <f>'Assets-Liab 5-6'!G41</f>
        <v>345877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535856</v>
      </c>
      <c r="D273" s="2" t="str">
        <f t="shared" si="3"/>
        <v>Error?</v>
      </c>
    </row>
    <row r="274" spans="1:4" x14ac:dyDescent="0.2">
      <c r="A274" s="5">
        <v>213</v>
      </c>
      <c r="B274" s="138">
        <f>'Assets-Liab 5-6'!M17</f>
        <v>10835019</v>
      </c>
      <c r="D274" s="2" t="str">
        <f t="shared" si="3"/>
        <v>Error?</v>
      </c>
    </row>
    <row r="275" spans="1:4" x14ac:dyDescent="0.2">
      <c r="A275" s="5">
        <v>214</v>
      </c>
      <c r="B275" s="138">
        <f>'Assets-Liab 5-6'!M18</f>
        <v>0</v>
      </c>
      <c r="D275" s="2" t="str">
        <f t="shared" si="3"/>
        <v>Error?</v>
      </c>
    </row>
    <row r="276" spans="1:4" x14ac:dyDescent="0.2">
      <c r="A276" s="5">
        <v>215</v>
      </c>
      <c r="B276" s="138">
        <f>'Assets-Liab 5-6'!M19</f>
        <v>3243555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15055366</v>
      </c>
      <c r="C279" s="2" t="s">
        <v>594</v>
      </c>
      <c r="D279" s="2" t="str">
        <f t="shared" si="3"/>
        <v>Error?</v>
      </c>
    </row>
    <row r="280" spans="1:4" x14ac:dyDescent="0.2">
      <c r="A280" s="5">
        <v>219</v>
      </c>
      <c r="B280" s="138">
        <f>'Assets-Liab 5-6'!M40</f>
        <v>15055366</v>
      </c>
      <c r="D280" s="2" t="str">
        <f t="shared" si="3"/>
        <v>Error?</v>
      </c>
    </row>
    <row r="281" spans="1:4" x14ac:dyDescent="0.2">
      <c r="A281" s="5">
        <v>220</v>
      </c>
      <c r="B281" s="138">
        <f>'Assets-Liab 5-6'!M41</f>
        <v>15055366</v>
      </c>
      <c r="C281" s="2" t="s">
        <v>594</v>
      </c>
      <c r="D281" s="2" t="str">
        <f t="shared" si="3"/>
        <v>Error?</v>
      </c>
    </row>
    <row r="282" spans="1:4" x14ac:dyDescent="0.2">
      <c r="A282" s="5">
        <v>221</v>
      </c>
      <c r="B282" s="138">
        <f>'Assets-Liab 5-6'!N21</f>
        <v>674944</v>
      </c>
      <c r="D282" s="2" t="str">
        <f t="shared" si="3"/>
        <v>Error?</v>
      </c>
    </row>
    <row r="283" spans="1:4" x14ac:dyDescent="0.2">
      <c r="A283" s="5">
        <v>222</v>
      </c>
      <c r="B283" s="138">
        <f>'Assets-Liab 5-6'!N22</f>
        <v>4760056</v>
      </c>
      <c r="D283" s="2" t="str">
        <f t="shared" si="3"/>
        <v>Error?</v>
      </c>
    </row>
    <row r="284" spans="1:4" x14ac:dyDescent="0.2">
      <c r="A284" s="5">
        <v>223</v>
      </c>
      <c r="B284" s="138">
        <f>'Assets-Liab 5-6'!N23</f>
        <v>5435000</v>
      </c>
      <c r="C284" s="2" t="s">
        <v>594</v>
      </c>
      <c r="D284" s="2" t="str">
        <f t="shared" si="3"/>
        <v>Error?</v>
      </c>
    </row>
    <row r="285" spans="1:4" x14ac:dyDescent="0.2">
      <c r="A285" s="5">
        <v>224</v>
      </c>
      <c r="B285" s="138">
        <f>'Assets-Liab 5-6'!N36</f>
        <v>5435000</v>
      </c>
      <c r="D285" s="2" t="str">
        <f t="shared" si="3"/>
        <v>Error?</v>
      </c>
    </row>
    <row r="286" spans="1:4" x14ac:dyDescent="0.2">
      <c r="A286" s="10">
        <v>225</v>
      </c>
      <c r="D286" s="2" t="str">
        <f t="shared" si="3"/>
        <v>OK</v>
      </c>
    </row>
    <row r="287" spans="1:4" x14ac:dyDescent="0.2">
      <c r="A287" s="5">
        <v>226</v>
      </c>
      <c r="B287" s="138">
        <f>'Assets-Liab 5-6'!N37</f>
        <v>5435000</v>
      </c>
      <c r="C287" s="2" t="s">
        <v>594</v>
      </c>
      <c r="D287" s="2" t="str">
        <f t="shared" si="3"/>
        <v>Error?</v>
      </c>
    </row>
    <row r="288" spans="1:4" x14ac:dyDescent="0.2">
      <c r="A288" s="5">
        <v>227</v>
      </c>
      <c r="B288" s="138">
        <f>'Assets-Liab 5-6'!N41</f>
        <v>5435000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2703777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43422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3760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3414843</v>
      </c>
      <c r="C720" s="2" t="s">
        <v>594</v>
      </c>
      <c r="D720" s="2" t="str">
        <f t="shared" si="10"/>
        <v>Error?</v>
      </c>
    </row>
    <row r="721" spans="1:4" x14ac:dyDescent="0.2">
      <c r="A721" s="5">
        <v>660</v>
      </c>
      <c r="B721" s="138">
        <f>'Expenditures 15-22'!C36</f>
        <v>143916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74004</v>
      </c>
      <c r="D723" s="2" t="str">
        <f t="shared" si="10"/>
        <v>Error?</v>
      </c>
    </row>
    <row r="724" spans="1:4" x14ac:dyDescent="0.2">
      <c r="A724" s="5">
        <v>663</v>
      </c>
      <c r="B724" s="138">
        <f>'Expenditures 15-22'!C39</f>
        <v>61496</v>
      </c>
      <c r="D724" s="2" t="str">
        <f t="shared" si="10"/>
        <v>Error?</v>
      </c>
    </row>
    <row r="725" spans="1:4" x14ac:dyDescent="0.2">
      <c r="A725" s="5">
        <v>664</v>
      </c>
      <c r="B725" s="138">
        <f>'Expenditures 15-22'!C40</f>
        <v>126070</v>
      </c>
      <c r="D725" s="2" t="str">
        <f t="shared" si="10"/>
        <v>Error?</v>
      </c>
    </row>
    <row r="726" spans="1:4" x14ac:dyDescent="0.2">
      <c r="A726" s="5">
        <v>665</v>
      </c>
      <c r="B726" s="138">
        <f>'Expenditures 15-22'!C41</f>
        <v>17472</v>
      </c>
      <c r="D726" s="2" t="str">
        <f t="shared" si="10"/>
        <v>Error?</v>
      </c>
    </row>
    <row r="727" spans="1:4" x14ac:dyDescent="0.2">
      <c r="A727" s="5">
        <v>666</v>
      </c>
      <c r="B727" s="138">
        <f>'Expenditures 15-22'!C42</f>
        <v>422958</v>
      </c>
      <c r="C727" s="2" t="s">
        <v>594</v>
      </c>
      <c r="D727" s="2" t="str">
        <f t="shared" si="10"/>
        <v>Error?</v>
      </c>
    </row>
    <row r="728" spans="1:4" x14ac:dyDescent="0.2">
      <c r="A728" s="5">
        <v>667</v>
      </c>
      <c r="B728" s="138">
        <f>'Expenditures 15-22'!C44</f>
        <v>214936</v>
      </c>
      <c r="D728" s="2" t="str">
        <f t="shared" si="10"/>
        <v>Error?</v>
      </c>
    </row>
    <row r="729" spans="1:4" x14ac:dyDescent="0.2">
      <c r="A729" s="5">
        <v>668</v>
      </c>
      <c r="B729" s="138">
        <f>'Expenditures 15-22'!C45</f>
        <v>168925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383861</v>
      </c>
      <c r="C731" s="2" t="s">
        <v>594</v>
      </c>
      <c r="D731" s="2" t="str">
        <f t="shared" si="10"/>
        <v>Error?</v>
      </c>
    </row>
    <row r="732" spans="1:4" x14ac:dyDescent="0.2">
      <c r="A732" s="5">
        <v>671</v>
      </c>
      <c r="B732" s="138">
        <f>'Expenditures 15-22'!C49</f>
        <v>1800</v>
      </c>
      <c r="D732" s="2" t="str">
        <f t="shared" si="10"/>
        <v>Error?</v>
      </c>
    </row>
    <row r="733" spans="1:4" x14ac:dyDescent="0.2">
      <c r="A733" s="5">
        <v>672</v>
      </c>
      <c r="B733" s="138">
        <f>'Expenditures 15-22'!C50</f>
        <v>152909</v>
      </c>
      <c r="D733" s="2" t="str">
        <f t="shared" si="10"/>
        <v>Error?</v>
      </c>
    </row>
    <row r="734" spans="1:4" x14ac:dyDescent="0.2">
      <c r="A734" s="5">
        <v>673</v>
      </c>
      <c r="B734" s="138">
        <f>'Expenditures 15-22'!C53</f>
        <v>154709</v>
      </c>
      <c r="C734" s="2" t="s">
        <v>594</v>
      </c>
      <c r="D734" s="2" t="str">
        <f t="shared" si="10"/>
        <v>Error?</v>
      </c>
    </row>
    <row r="735" spans="1:4" x14ac:dyDescent="0.2">
      <c r="A735" s="5">
        <v>674</v>
      </c>
      <c r="B735" s="138">
        <f>'Expenditures 15-22'!C55</f>
        <v>443626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443626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115203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110386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225589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139139</v>
      </c>
      <c r="D751" s="2" t="str">
        <f t="shared" si="10"/>
        <v>Error?</v>
      </c>
    </row>
    <row r="752" spans="1:4" x14ac:dyDescent="0.2">
      <c r="A752" s="10">
        <v>691</v>
      </c>
      <c r="D752" s="2" t="str">
        <f t="shared" si="10"/>
        <v>OK</v>
      </c>
    </row>
    <row r="753" spans="1:4" x14ac:dyDescent="0.2">
      <c r="A753" s="5">
        <v>692</v>
      </c>
      <c r="B753" s="138">
        <f>'Expenditures 15-22'!C72</f>
        <v>139139</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1769882</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5184725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404822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639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507803</v>
      </c>
      <c r="C778" s="2" t="s">
        <v>594</v>
      </c>
      <c r="D778" s="2" t="str">
        <f t="shared" si="11"/>
        <v>Error?</v>
      </c>
    </row>
    <row r="779" spans="1:4" x14ac:dyDescent="0.2">
      <c r="A779" s="5">
        <v>718</v>
      </c>
      <c r="B779" s="138">
        <f>'Expenditures 15-22'!D36</f>
        <v>2396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26512</v>
      </c>
      <c r="D781" s="2" t="str">
        <f t="shared" si="11"/>
        <v>Error?</v>
      </c>
    </row>
    <row r="782" spans="1:4" x14ac:dyDescent="0.2">
      <c r="A782" s="5">
        <v>721</v>
      </c>
      <c r="B782" s="138">
        <f>'Expenditures 15-22'!D39</f>
        <v>996</v>
      </c>
      <c r="D782" s="2" t="str">
        <f t="shared" si="11"/>
        <v>Error?</v>
      </c>
    </row>
    <row r="783" spans="1:4" x14ac:dyDescent="0.2">
      <c r="A783" s="5">
        <v>722</v>
      </c>
      <c r="B783" s="138">
        <f>'Expenditures 15-22'!D40</f>
        <v>6960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36864</v>
      </c>
      <c r="C785" s="2" t="s">
        <v>594</v>
      </c>
      <c r="D785" s="2" t="str">
        <f t="shared" si="11"/>
        <v>Error?</v>
      </c>
    </row>
    <row r="786" spans="1:4" x14ac:dyDescent="0.2">
      <c r="A786" s="5">
        <v>725</v>
      </c>
      <c r="B786" s="138">
        <f>'Expenditures 15-22'!D44</f>
        <v>31440</v>
      </c>
      <c r="D786" s="2" t="str">
        <f t="shared" si="11"/>
        <v>Error?</v>
      </c>
    </row>
    <row r="787" spans="1:4" x14ac:dyDescent="0.2">
      <c r="A787" s="5">
        <v>726</v>
      </c>
      <c r="B787" s="138">
        <f>'Expenditures 15-22'!D45</f>
        <v>32832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64272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40194</v>
      </c>
      <c r="D791" s="2" t="str">
        <f t="shared" si="11"/>
        <v>Error?</v>
      </c>
    </row>
    <row r="792" spans="1:4" x14ac:dyDescent="0.2">
      <c r="A792" s="5">
        <v>731</v>
      </c>
      <c r="B792" s="138">
        <f>'Expenditures 15-22'!D53</f>
        <v>40194</v>
      </c>
      <c r="C792" s="2" t="s">
        <v>594</v>
      </c>
      <c r="D792" s="2" t="str">
        <f t="shared" si="11"/>
        <v>Error?</v>
      </c>
    </row>
    <row r="793" spans="1:4" x14ac:dyDescent="0.2">
      <c r="A793" s="5">
        <v>732</v>
      </c>
      <c r="B793" s="138">
        <f>'Expenditures 15-22'!D55</f>
        <v>174724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174724</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58287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922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59209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9914</v>
      </c>
      <c r="D809" s="2" t="str">
        <f t="shared" si="11"/>
        <v>Error?</v>
      </c>
    </row>
    <row r="810" spans="1:4" x14ac:dyDescent="0.2">
      <c r="A810" s="10">
        <v>749</v>
      </c>
      <c r="D810" s="2" t="str">
        <f t="shared" si="11"/>
        <v>OK</v>
      </c>
    </row>
    <row r="811" spans="1:4" x14ac:dyDescent="0.2">
      <c r="A811" s="5">
        <v>750</v>
      </c>
      <c r="B811" s="138">
        <f>'Expenditures 15-22'!D72</f>
        <v>9914</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385177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892980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18787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3430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133841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6472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6472</v>
      </c>
      <c r="C843" s="2" t="s">
        <v>594</v>
      </c>
      <c r="D843" s="2" t="str">
        <f t="shared" si="12"/>
        <v>Error?</v>
      </c>
    </row>
    <row r="844" spans="1:4" x14ac:dyDescent="0.2">
      <c r="A844" s="5">
        <v>783</v>
      </c>
      <c r="B844" s="138">
        <f>'Expenditures 15-22'!E44</f>
        <v>7940</v>
      </c>
      <c r="D844" s="2" t="str">
        <f t="shared" si="12"/>
        <v>Error?</v>
      </c>
    </row>
    <row r="845" spans="1:4" x14ac:dyDescent="0.2">
      <c r="A845" s="5">
        <v>784</v>
      </c>
      <c r="B845" s="138">
        <f>'Expenditures 15-22'!E45</f>
        <v>1172</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9112</v>
      </c>
      <c r="C847" s="2" t="s">
        <v>594</v>
      </c>
      <c r="D847" s="2" t="str">
        <f t="shared" si="12"/>
        <v>Error?</v>
      </c>
    </row>
    <row r="848" spans="1:4" x14ac:dyDescent="0.2">
      <c r="A848" s="5">
        <v>787</v>
      </c>
      <c r="B848" s="138">
        <f>'Expenditures 15-22'!E49</f>
        <v>151168</v>
      </c>
      <c r="D848" s="2" t="str">
        <f t="shared" si="12"/>
        <v>Error?</v>
      </c>
    </row>
    <row r="849" spans="1:4" x14ac:dyDescent="0.2">
      <c r="A849" s="5">
        <v>788</v>
      </c>
      <c r="B849" s="138">
        <f>'Expenditures 15-22'!E50</f>
        <v>129504</v>
      </c>
      <c r="D849" s="2" t="str">
        <f t="shared" si="12"/>
        <v>Error?</v>
      </c>
    </row>
    <row r="850" spans="1:4" x14ac:dyDescent="0.2">
      <c r="A850" s="5">
        <v>789</v>
      </c>
      <c r="B850" s="138">
        <f>'Expenditures 15-22'!E53</f>
        <v>280672</v>
      </c>
      <c r="C850" s="2" t="s">
        <v>594</v>
      </c>
      <c r="D850" s="2" t="str">
        <f t="shared" si="12"/>
        <v>Error?</v>
      </c>
    </row>
    <row r="851" spans="1:4" x14ac:dyDescent="0.2">
      <c r="A851" s="5">
        <v>790</v>
      </c>
      <c r="B851" s="138">
        <f>'Expenditures 15-22'!E55</f>
        <v>1529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1529</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1116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1116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298901</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544438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269611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4420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288507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1365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2247</v>
      </c>
      <c r="D900" s="2" t="str">
        <f t="shared" si="13"/>
        <v>Error?</v>
      </c>
    </row>
    <row r="901" spans="1:4" x14ac:dyDescent="0.2">
      <c r="A901" s="5">
        <v>840</v>
      </c>
      <c r="B901" s="138">
        <f>'Expenditures 15-22'!F42</f>
        <v>3612</v>
      </c>
      <c r="C901" s="2" t="s">
        <v>594</v>
      </c>
      <c r="D901" s="2" t="str">
        <f t="shared" si="13"/>
        <v>Error?</v>
      </c>
    </row>
    <row r="902" spans="1:4" x14ac:dyDescent="0.2">
      <c r="A902" s="5">
        <v>841</v>
      </c>
      <c r="B902" s="138">
        <f>'Expenditures 15-22'!F44</f>
        <v>2221</v>
      </c>
      <c r="D902" s="2" t="str">
        <f t="shared" si="13"/>
        <v>Error?</v>
      </c>
    </row>
    <row r="903" spans="1:4" x14ac:dyDescent="0.2">
      <c r="A903" s="5">
        <v>842</v>
      </c>
      <c r="B903" s="138">
        <f>'Expenditures 15-22'!F45</f>
        <v>20634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22855</v>
      </c>
      <c r="C905" s="2" t="s">
        <v>594</v>
      </c>
      <c r="D905" s="2" t="str">
        <f t="shared" si="13"/>
        <v>Error?</v>
      </c>
    </row>
    <row r="906" spans="1:4" x14ac:dyDescent="0.2">
      <c r="A906" s="5">
        <v>845</v>
      </c>
      <c r="B906" s="138">
        <f>'Expenditures 15-22'!F49</f>
        <v>10443</v>
      </c>
      <c r="D906" s="2" t="str">
        <f t="shared" si="13"/>
        <v>Error?</v>
      </c>
    </row>
    <row r="907" spans="1:4" x14ac:dyDescent="0.2">
      <c r="A907" s="5">
        <v>846</v>
      </c>
      <c r="B907" s="138">
        <f>'Expenditures 15-22'!F50</f>
        <v>12741</v>
      </c>
      <c r="D907" s="2" t="str">
        <f t="shared" si="13"/>
        <v>Error?</v>
      </c>
    </row>
    <row r="908" spans="1:4" x14ac:dyDescent="0.2">
      <c r="A908" s="5">
        <v>847</v>
      </c>
      <c r="B908" s="138">
        <f>'Expenditures 15-22'!F53</f>
        <v>23184</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113829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113829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163480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451987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79357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79357</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79357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995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10474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118</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118</v>
      </c>
      <c r="C1021" s="2" t="s">
        <v>594</v>
      </c>
      <c r="D1021" s="2" t="str">
        <f t="shared" si="14"/>
        <v>Error?</v>
      </c>
    </row>
    <row r="1022" spans="1:4" x14ac:dyDescent="0.2">
      <c r="A1022" s="5">
        <v>961</v>
      </c>
      <c r="B1022" s="138">
        <f>'Expenditures 15-22'!H49</f>
        <v>9991</v>
      </c>
      <c r="D1022" s="2" t="str">
        <f t="shared" si="14"/>
        <v>Error?</v>
      </c>
    </row>
    <row r="1023" spans="1:4" x14ac:dyDescent="0.2">
      <c r="A1023" s="5">
        <v>962</v>
      </c>
      <c r="B1023" s="138">
        <f>'Expenditures 15-22'!H50</f>
        <v>12944</v>
      </c>
      <c r="D1023" s="2" t="str">
        <f t="shared" ref="D1023:D1086" si="15">IF(ISBLANK(B1023),"OK",IF(A1023-B1023=0,"OK","Error?"))</f>
        <v>Error?</v>
      </c>
    </row>
    <row r="1024" spans="1:4" x14ac:dyDescent="0.2">
      <c r="A1024" s="5">
        <v>963</v>
      </c>
      <c r="B1024" s="138">
        <f>'Expenditures 15-22'!H53</f>
        <v>22935</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23053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400579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434106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3476354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44061</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12637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4434825</v>
      </c>
      <c r="C1108" s="2" t="s">
        <v>594</v>
      </c>
      <c r="D1108" s="2" t="str">
        <f t="shared" si="16"/>
        <v>Error?</v>
      </c>
    </row>
    <row r="1109" spans="1:4" x14ac:dyDescent="0.2">
      <c r="A1109" s="5">
        <v>1048</v>
      </c>
      <c r="B1109" s="138">
        <f>'Expenditures 15-22'!K36</f>
        <v>146312</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108353</v>
      </c>
      <c r="C1111" s="2" t="s">
        <v>594</v>
      </c>
      <c r="D1111" s="2" t="str">
        <f t="shared" si="16"/>
        <v>Error?</v>
      </c>
    </row>
    <row r="1112" spans="1:4" x14ac:dyDescent="0.2">
      <c r="A1112" s="5">
        <v>1051</v>
      </c>
      <c r="B1112" s="138">
        <f>'Expenditures 15-22'!K39</f>
        <v>62492</v>
      </c>
      <c r="C1112" s="2" t="s">
        <v>594</v>
      </c>
      <c r="D1112" s="2" t="str">
        <f t="shared" si="16"/>
        <v>Error?</v>
      </c>
    </row>
    <row r="1113" spans="1:4" x14ac:dyDescent="0.2">
      <c r="A1113" s="5">
        <v>1052</v>
      </c>
      <c r="B1113" s="138">
        <f>'Expenditures 15-22'!K40</f>
        <v>133030</v>
      </c>
      <c r="C1113" s="2" t="s">
        <v>594</v>
      </c>
      <c r="D1113" s="2" t="str">
        <f t="shared" si="16"/>
        <v>Error?</v>
      </c>
    </row>
    <row r="1114" spans="1:4" x14ac:dyDescent="0.2">
      <c r="A1114" s="5">
        <v>1053</v>
      </c>
      <c r="B1114" s="138">
        <f>'Expenditures 15-22'!K41</f>
        <v>19719</v>
      </c>
      <c r="C1114" s="2" t="s">
        <v>594</v>
      </c>
      <c r="D1114" s="2" t="str">
        <f t="shared" si="16"/>
        <v>Error?</v>
      </c>
    </row>
    <row r="1115" spans="1:4" x14ac:dyDescent="0.2">
      <c r="A1115" s="5">
        <v>1054</v>
      </c>
      <c r="B1115" s="138">
        <f>'Expenditures 15-22'!K42</f>
        <v>469906</v>
      </c>
      <c r="C1115" s="2" t="s">
        <v>594</v>
      </c>
      <c r="D1115" s="2" t="str">
        <f t="shared" si="16"/>
        <v>Error?</v>
      </c>
    </row>
    <row r="1116" spans="1:4" x14ac:dyDescent="0.2">
      <c r="A1116" s="5">
        <v>1055</v>
      </c>
      <c r="B1116" s="138">
        <f>'Expenditures 15-22'!K44</f>
        <v>256655</v>
      </c>
      <c r="C1116" s="2" t="s">
        <v>594</v>
      </c>
      <c r="D1116" s="2" t="str">
        <f t="shared" si="16"/>
        <v>Error?</v>
      </c>
    </row>
    <row r="1117" spans="1:4" x14ac:dyDescent="0.2">
      <c r="A1117" s="5">
        <v>1056</v>
      </c>
      <c r="B1117" s="138">
        <f>'Expenditures 15-22'!K45</f>
        <v>223563</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480218</v>
      </c>
      <c r="C1119" s="2" t="s">
        <v>594</v>
      </c>
      <c r="D1119" s="2" t="str">
        <f t="shared" si="16"/>
        <v>Error?</v>
      </c>
    </row>
    <row r="1120" spans="1:4" x14ac:dyDescent="0.2">
      <c r="A1120" s="5">
        <v>1059</v>
      </c>
      <c r="B1120" s="138">
        <f>'Expenditures 15-22'!K49</f>
        <v>173402</v>
      </c>
      <c r="C1120" s="2" t="s">
        <v>594</v>
      </c>
      <c r="D1120" s="2" t="str">
        <f t="shared" si="16"/>
        <v>Error?</v>
      </c>
    </row>
    <row r="1121" spans="1:4" x14ac:dyDescent="0.2">
      <c r="A1121" s="5">
        <v>1060</v>
      </c>
      <c r="B1121" s="138">
        <f>'Expenditures 15-22'!K50</f>
        <v>348292</v>
      </c>
      <c r="C1121" s="2" t="s">
        <v>594</v>
      </c>
      <c r="D1121" s="2" t="str">
        <f t="shared" si="16"/>
        <v>Error?</v>
      </c>
    </row>
    <row r="1122" spans="1:4" x14ac:dyDescent="0.2">
      <c r="A1122" s="5">
        <v>1061</v>
      </c>
      <c r="B1122" s="138">
        <f>'Expenditures 15-22'!K53</f>
        <v>521694</v>
      </c>
      <c r="C1122" s="2" t="s">
        <v>594</v>
      </c>
      <c r="D1122" s="2" t="str">
        <f t="shared" si="16"/>
        <v>Error?</v>
      </c>
    </row>
    <row r="1123" spans="1:4" x14ac:dyDescent="0.2">
      <c r="A1123" s="5">
        <v>1062</v>
      </c>
      <c r="B1123" s="138">
        <f>'Expenditures 15-22'!K55</f>
        <v>619879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619879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173490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226253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399743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149053</v>
      </c>
      <c r="C1139" s="2" t="s">
        <v>594</v>
      </c>
      <c r="D1139" s="2" t="str">
        <f t="shared" si="16"/>
        <v>Error?</v>
      </c>
    </row>
    <row r="1140" spans="1:4" x14ac:dyDescent="0.2">
      <c r="A1140" s="10">
        <v>1079</v>
      </c>
      <c r="D1140" s="2" t="str">
        <f t="shared" si="16"/>
        <v>OK</v>
      </c>
    </row>
    <row r="1141" spans="1:4" x14ac:dyDescent="0.2">
      <c r="A1141" s="5">
        <v>1080</v>
      </c>
      <c r="B1141" s="138">
        <f>'Expenditures 15-22'!K72</f>
        <v>149053</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2640493</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512275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7587593</v>
      </c>
      <c r="C1152" s="2" t="s">
        <v>594</v>
      </c>
      <c r="D1152" s="2" t="str">
        <f t="shared" si="17"/>
        <v>Error?</v>
      </c>
    </row>
    <row r="1153" spans="1:4" x14ac:dyDescent="0.2">
      <c r="A1153" s="5">
        <v>1092</v>
      </c>
      <c r="B1153" s="138">
        <f>'Expenditures 15-22'!K115</f>
        <v>587282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96323</v>
      </c>
      <c r="D1221" s="2" t="str">
        <f t="shared" si="18"/>
        <v>Error?</v>
      </c>
    </row>
    <row r="1222" spans="1:4" x14ac:dyDescent="0.2">
      <c r="A1222" s="10">
        <v>1161</v>
      </c>
      <c r="D1222" s="2" t="str">
        <f t="shared" si="18"/>
        <v>OK</v>
      </c>
    </row>
    <row r="1223" spans="1:4" x14ac:dyDescent="0.2">
      <c r="A1223" s="5">
        <v>1162</v>
      </c>
      <c r="B1223" s="138">
        <f>'Expenditures 15-22'!C127</f>
        <v>96323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96323</v>
      </c>
      <c r="C1225" s="2" t="s">
        <v>594</v>
      </c>
      <c r="D1225" s="2" t="str">
        <f t="shared" si="18"/>
        <v>Error?</v>
      </c>
    </row>
    <row r="1226" spans="1:4" x14ac:dyDescent="0.2">
      <c r="A1226" s="5">
        <v>1165</v>
      </c>
      <c r="B1226" s="138">
        <f>'Expenditures 15-22'!C151</f>
        <v>96323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27106</v>
      </c>
      <c r="D1229" s="2" t="str">
        <f t="shared" si="18"/>
        <v>Error?</v>
      </c>
    </row>
    <row r="1230" spans="1:4" x14ac:dyDescent="0.2">
      <c r="A1230" s="10">
        <v>1169</v>
      </c>
      <c r="D1230" s="2" t="str">
        <f t="shared" si="18"/>
        <v>OK</v>
      </c>
    </row>
    <row r="1231" spans="1:4" x14ac:dyDescent="0.2">
      <c r="A1231" s="5">
        <v>1170</v>
      </c>
      <c r="B1231" s="138">
        <f>'Expenditures 15-22'!D127</f>
        <v>27106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27106</v>
      </c>
      <c r="C1233" s="2" t="s">
        <v>594</v>
      </c>
      <c r="D1233" s="2" t="str">
        <f t="shared" si="18"/>
        <v>Error?</v>
      </c>
    </row>
    <row r="1234" spans="1:4" x14ac:dyDescent="0.2">
      <c r="A1234" s="5">
        <v>1173</v>
      </c>
      <c r="B1234" s="138">
        <f>'Expenditures 15-22'!D151</f>
        <v>27106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735815</v>
      </c>
      <c r="D1237" s="2" t="str">
        <f t="shared" si="18"/>
        <v>Error?</v>
      </c>
    </row>
    <row r="1238" spans="1:4" x14ac:dyDescent="0.2">
      <c r="A1238" s="10">
        <v>1177</v>
      </c>
      <c r="D1238" s="2" t="str">
        <f t="shared" si="18"/>
        <v>OK</v>
      </c>
    </row>
    <row r="1239" spans="1:4" x14ac:dyDescent="0.2">
      <c r="A1239" s="5">
        <v>1178</v>
      </c>
      <c r="B1239" s="138">
        <f>'Expenditures 15-22'!E127</f>
        <v>735815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735815</v>
      </c>
      <c r="C1241" s="2" t="s">
        <v>594</v>
      </c>
      <c r="D1241" s="2" t="str">
        <f t="shared" si="18"/>
        <v>Error?</v>
      </c>
    </row>
    <row r="1242" spans="1:4" x14ac:dyDescent="0.2">
      <c r="A1242" s="5">
        <v>1181</v>
      </c>
      <c r="B1242" s="138">
        <f>'Expenditures 15-22'!E151</f>
        <v>735815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282182</v>
      </c>
      <c r="D1245" s="2" t="str">
        <f t="shared" si="18"/>
        <v>Error?</v>
      </c>
    </row>
    <row r="1246" spans="1:4" x14ac:dyDescent="0.2">
      <c r="A1246" s="10">
        <v>1185</v>
      </c>
      <c r="D1246" s="2" t="str">
        <f t="shared" si="18"/>
        <v>OK</v>
      </c>
    </row>
    <row r="1247" spans="1:4" x14ac:dyDescent="0.2">
      <c r="A1247" s="5">
        <v>1186</v>
      </c>
      <c r="B1247" s="138">
        <f>'Expenditures 15-22'!F127</f>
        <v>282182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282182</v>
      </c>
      <c r="C1249" s="2" t="s">
        <v>594</v>
      </c>
      <c r="D1249" s="2" t="str">
        <f t="shared" si="18"/>
        <v>Error?</v>
      </c>
    </row>
    <row r="1250" spans="1:4" x14ac:dyDescent="0.2">
      <c r="A1250" s="5">
        <v>1189</v>
      </c>
      <c r="B1250" s="138">
        <f>'Expenditures 15-22'!F151</f>
        <v>282182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861399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861399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861399</v>
      </c>
      <c r="C1258" s="2" t="s">
        <v>594</v>
      </c>
      <c r="D1258" s="2" t="str">
        <f t="shared" si="18"/>
        <v>Error?</v>
      </c>
    </row>
    <row r="1259" spans="1:4" x14ac:dyDescent="0.2">
      <c r="A1259" s="5">
        <v>1198</v>
      </c>
      <c r="B1259" s="138">
        <f>'Expenditures 15-22'!G151</f>
        <v>861399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2002825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2002825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2002825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2002825</v>
      </c>
      <c r="C1288" s="2" t="s">
        <v>594</v>
      </c>
      <c r="D1288" s="2" t="str">
        <f t="shared" si="19"/>
        <v>Error?</v>
      </c>
    </row>
    <row r="1289" spans="1:4" x14ac:dyDescent="0.2">
      <c r="A1289" s="5">
        <v>1228</v>
      </c>
      <c r="B1289" s="138">
        <f>'Expenditures 15-22'!K152</f>
        <v>-347679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228600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280000</v>
      </c>
      <c r="D1315" s="2" t="str">
        <f t="shared" si="19"/>
        <v>Error?</v>
      </c>
    </row>
    <row r="1316" spans="1:4" x14ac:dyDescent="0.2">
      <c r="A1316" s="5">
        <v>1255</v>
      </c>
      <c r="B1316" s="138">
        <f>'Expenditures 15-22'!H171</f>
        <v>475</v>
      </c>
      <c r="D1316" s="2" t="str">
        <f t="shared" si="19"/>
        <v>Error?</v>
      </c>
    </row>
    <row r="1317" spans="1:4" x14ac:dyDescent="0.2">
      <c r="A1317" s="5">
        <v>1256</v>
      </c>
      <c r="B1317" s="138">
        <f>'Expenditures 15-22'!H172</f>
        <v>509075</v>
      </c>
      <c r="C1317" s="2" t="s">
        <v>594</v>
      </c>
      <c r="D1317" s="2" t="str">
        <f t="shared" si="19"/>
        <v>Error?</v>
      </c>
    </row>
    <row r="1318" spans="1:4" x14ac:dyDescent="0.2">
      <c r="A1318" s="5">
        <v>1257</v>
      </c>
      <c r="B1318" s="138">
        <f>'Expenditures 15-22'!H174</f>
        <v>509075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228600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280000</v>
      </c>
      <c r="C1329" s="2" t="s">
        <v>594</v>
      </c>
      <c r="D1329" s="2" t="str">
        <f t="shared" si="19"/>
        <v>Error?</v>
      </c>
    </row>
    <row r="1330" spans="1:4" x14ac:dyDescent="0.2">
      <c r="A1330" s="5">
        <v>1269</v>
      </c>
      <c r="B1330" s="138">
        <f>'Expenditures 15-22'!K171</f>
        <v>475</v>
      </c>
      <c r="C1330" s="2" t="s">
        <v>594</v>
      </c>
      <c r="D1330" s="2" t="str">
        <f t="shared" si="19"/>
        <v>Error?</v>
      </c>
    </row>
    <row r="1331" spans="1:4" x14ac:dyDescent="0.2">
      <c r="A1331" s="5">
        <v>1270</v>
      </c>
      <c r="B1331" s="138">
        <f>'Expenditures 15-22'!K172</f>
        <v>509075</v>
      </c>
      <c r="C1331" s="2" t="s">
        <v>594</v>
      </c>
      <c r="D1331" s="2" t="str">
        <f t="shared" si="19"/>
        <v>Error?</v>
      </c>
    </row>
    <row r="1332" spans="1:4" x14ac:dyDescent="0.2">
      <c r="A1332" s="5">
        <v>1271</v>
      </c>
      <c r="B1332" s="138">
        <f>'Expenditures 15-22'!K174</f>
        <v>509075</v>
      </c>
      <c r="C1332" s="2" t="s">
        <v>594</v>
      </c>
      <c r="D1332" s="2" t="str">
        <f t="shared" si="19"/>
        <v>Error?</v>
      </c>
    </row>
    <row r="1333" spans="1:4" x14ac:dyDescent="0.2">
      <c r="A1333" s="5">
        <v>1272</v>
      </c>
      <c r="B1333" s="138">
        <f>'Expenditures 15-22'!K175</f>
        <v>-3458</v>
      </c>
      <c r="C1333" s="2" t="s">
        <v>594</v>
      </c>
      <c r="D1333" s="2" t="str">
        <f t="shared" si="19"/>
        <v>Error?</v>
      </c>
    </row>
    <row r="1334" spans="1:4" x14ac:dyDescent="0.2">
      <c r="A1334" s="10">
        <v>1273</v>
      </c>
      <c r="D1334" s="2" t="str">
        <f t="shared" si="19"/>
        <v>OK</v>
      </c>
    </row>
    <row r="1335" spans="1:4" x14ac:dyDescent="0.2">
      <c r="A1335" s="5">
        <v>1274</v>
      </c>
      <c r="B1335" s="138">
        <f>'Expenditures 15-22'!C182</f>
        <v>11443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11443</v>
      </c>
      <c r="C1339" s="2" t="s">
        <v>594</v>
      </c>
      <c r="D1339" s="2" t="str">
        <f t="shared" si="19"/>
        <v>Error?</v>
      </c>
    </row>
    <row r="1340" spans="1:4" x14ac:dyDescent="0.2">
      <c r="A1340" s="5">
        <v>1279</v>
      </c>
      <c r="B1340" s="138">
        <f>'Expenditures 15-22'!C210</f>
        <v>11443</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436951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436951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436951</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448394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448394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448394</v>
      </c>
      <c r="C1388" s="2" t="s">
        <v>594</v>
      </c>
      <c r="D1388" s="2" t="str">
        <f t="shared" si="20"/>
        <v>Error?</v>
      </c>
    </row>
    <row r="1389" spans="1:4" x14ac:dyDescent="0.2">
      <c r="A1389" s="5">
        <v>1328</v>
      </c>
      <c r="B1389" s="138">
        <f>'Expenditures 15-22'!K211</f>
        <v>-231294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630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330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91998</v>
      </c>
      <c r="C1410" s="2" t="s">
        <v>594</v>
      </c>
      <c r="D1410" s="2" t="str">
        <f t="shared" si="21"/>
        <v>Error?</v>
      </c>
    </row>
    <row r="1411" spans="1:4" x14ac:dyDescent="0.2">
      <c r="A1411" s="5">
        <v>1350</v>
      </c>
      <c r="B1411" s="138">
        <f>'Expenditures 15-22'!D232</f>
        <v>2087</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4996</v>
      </c>
      <c r="D1413" s="2" t="str">
        <f t="shared" si="21"/>
        <v>Error?</v>
      </c>
    </row>
    <row r="1414" spans="1:4" x14ac:dyDescent="0.2">
      <c r="A1414" s="5">
        <v>1353</v>
      </c>
      <c r="B1414" s="138">
        <f>'Expenditures 15-22'!D235</f>
        <v>892</v>
      </c>
      <c r="D1414" s="2" t="str">
        <f t="shared" si="21"/>
        <v>Error?</v>
      </c>
    </row>
    <row r="1415" spans="1:4" x14ac:dyDescent="0.2">
      <c r="A1415" s="5">
        <v>1354</v>
      </c>
      <c r="B1415" s="138">
        <f>'Expenditures 15-22'!D236</f>
        <v>1828</v>
      </c>
      <c r="D1415" s="2" t="str">
        <f t="shared" si="21"/>
        <v>Error?</v>
      </c>
    </row>
    <row r="1416" spans="1:4" x14ac:dyDescent="0.2">
      <c r="A1416" s="5">
        <v>1355</v>
      </c>
      <c r="B1416" s="138">
        <f>'Expenditures 15-22'!D237</f>
        <v>2821</v>
      </c>
      <c r="D1416" s="2" t="str">
        <f t="shared" si="21"/>
        <v>Error?</v>
      </c>
    </row>
    <row r="1417" spans="1:4" x14ac:dyDescent="0.2">
      <c r="A1417" s="5">
        <v>1356</v>
      </c>
      <c r="B1417" s="138">
        <f>'Expenditures 15-22'!D238</f>
        <v>12624</v>
      </c>
      <c r="C1417" s="2" t="s">
        <v>594</v>
      </c>
      <c r="D1417" s="2" t="str">
        <f t="shared" si="21"/>
        <v>Error?</v>
      </c>
    </row>
    <row r="1418" spans="1:4" x14ac:dyDescent="0.2">
      <c r="A1418" s="5">
        <v>1357</v>
      </c>
      <c r="B1418" s="138">
        <f>'Expenditures 15-22'!D240</f>
        <v>8577</v>
      </c>
      <c r="D1418" s="2" t="str">
        <f t="shared" si="21"/>
        <v>Error?</v>
      </c>
    </row>
    <row r="1419" spans="1:4" x14ac:dyDescent="0.2">
      <c r="A1419" s="5">
        <v>1358</v>
      </c>
      <c r="B1419" s="138">
        <f>'Expenditures 15-22'!D241</f>
        <v>10558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19135</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13337</v>
      </c>
      <c r="D1423" s="2" t="str">
        <f t="shared" si="21"/>
        <v>Error?</v>
      </c>
    </row>
    <row r="1424" spans="1:4" x14ac:dyDescent="0.2">
      <c r="A1424" s="5">
        <v>1363</v>
      </c>
      <c r="B1424" s="138">
        <f>'Expenditures 15-22'!D257</f>
        <v>13337</v>
      </c>
      <c r="C1424" s="2" t="s">
        <v>594</v>
      </c>
      <c r="D1424" s="2" t="str">
        <f t="shared" si="21"/>
        <v>Error?</v>
      </c>
    </row>
    <row r="1425" spans="1:4" x14ac:dyDescent="0.2">
      <c r="A1425" s="5">
        <v>1364</v>
      </c>
      <c r="B1425" s="138">
        <f>'Expenditures 15-22'!D259</f>
        <v>33186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33186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21478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16131</v>
      </c>
      <c r="D1431" s="2" t="str">
        <f t="shared" si="21"/>
        <v>Error?</v>
      </c>
    </row>
    <row r="1432" spans="1:4" x14ac:dyDescent="0.2">
      <c r="A1432" s="5">
        <v>1371</v>
      </c>
      <c r="B1432" s="138">
        <f>'Expenditures 15-22'!D267</f>
        <v>2188</v>
      </c>
      <c r="D1432" s="2" t="str">
        <f t="shared" si="21"/>
        <v>Error?</v>
      </c>
    </row>
    <row r="1433" spans="1:4" x14ac:dyDescent="0.2">
      <c r="A1433" s="5">
        <v>1372</v>
      </c>
      <c r="B1433" s="138">
        <f>'Expenditures 15-22'!D268</f>
        <v>12438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52235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23697</v>
      </c>
      <c r="D1442" s="2" t="str">
        <f t="shared" si="21"/>
        <v>Error?</v>
      </c>
    </row>
    <row r="1443" spans="1:4" x14ac:dyDescent="0.2">
      <c r="A1443" s="10">
        <v>1382</v>
      </c>
      <c r="D1443" s="2" t="str">
        <f t="shared" si="21"/>
        <v>OK</v>
      </c>
    </row>
    <row r="1444" spans="1:4" x14ac:dyDescent="0.2">
      <c r="A1444" s="5">
        <v>1383</v>
      </c>
      <c r="B1444" s="138">
        <f>'Expenditures 15-22'!D277</f>
        <v>23697</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154214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246212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630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330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91998</v>
      </c>
      <c r="C1474" s="2" t="s">
        <v>594</v>
      </c>
      <c r="D1474" s="2" t="str">
        <f t="shared" si="22"/>
        <v>Error?</v>
      </c>
    </row>
    <row r="1475" spans="1:4" x14ac:dyDescent="0.2">
      <c r="A1475" s="5">
        <v>1414</v>
      </c>
      <c r="B1475" s="138">
        <f>'Expenditures 15-22'!K232</f>
        <v>2087</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4996</v>
      </c>
      <c r="C1477" s="2" t="s">
        <v>594</v>
      </c>
      <c r="D1477" s="2" t="str">
        <f t="shared" si="22"/>
        <v>Error?</v>
      </c>
    </row>
    <row r="1478" spans="1:4" x14ac:dyDescent="0.2">
      <c r="A1478" s="5">
        <v>1417</v>
      </c>
      <c r="B1478" s="138">
        <f>'Expenditures 15-22'!K235</f>
        <v>892</v>
      </c>
      <c r="C1478" s="2" t="s">
        <v>594</v>
      </c>
      <c r="D1478" s="2" t="str">
        <f t="shared" si="22"/>
        <v>Error?</v>
      </c>
    </row>
    <row r="1479" spans="1:4" x14ac:dyDescent="0.2">
      <c r="A1479" s="5">
        <v>1418</v>
      </c>
      <c r="B1479" s="138">
        <f>'Expenditures 15-22'!K236</f>
        <v>1828</v>
      </c>
      <c r="C1479" s="2" t="s">
        <v>594</v>
      </c>
      <c r="D1479" s="2" t="str">
        <f t="shared" si="22"/>
        <v>Error?</v>
      </c>
    </row>
    <row r="1480" spans="1:4" x14ac:dyDescent="0.2">
      <c r="A1480" s="5">
        <v>1419</v>
      </c>
      <c r="B1480" s="138">
        <f>'Expenditures 15-22'!K237</f>
        <v>2821</v>
      </c>
      <c r="C1480" s="2" t="s">
        <v>594</v>
      </c>
      <c r="D1480" s="2" t="str">
        <f t="shared" si="22"/>
        <v>Error?</v>
      </c>
    </row>
    <row r="1481" spans="1:4" x14ac:dyDescent="0.2">
      <c r="A1481" s="5">
        <v>1420</v>
      </c>
      <c r="B1481" s="138">
        <f>'Expenditures 15-22'!K238</f>
        <v>12624</v>
      </c>
      <c r="C1481" s="2" t="s">
        <v>594</v>
      </c>
      <c r="D1481" s="2" t="str">
        <f t="shared" si="22"/>
        <v>Error?</v>
      </c>
    </row>
    <row r="1482" spans="1:4" x14ac:dyDescent="0.2">
      <c r="A1482" s="5">
        <v>1421</v>
      </c>
      <c r="B1482" s="138">
        <f>'Expenditures 15-22'!K240</f>
        <v>8577</v>
      </c>
      <c r="C1482" s="2" t="s">
        <v>594</v>
      </c>
      <c r="D1482" s="2" t="str">
        <f t="shared" si="22"/>
        <v>Error?</v>
      </c>
    </row>
    <row r="1483" spans="1:4" x14ac:dyDescent="0.2">
      <c r="A1483" s="5">
        <v>1422</v>
      </c>
      <c r="B1483" s="138">
        <f>'Expenditures 15-22'!K241</f>
        <v>10558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19135</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13337</v>
      </c>
      <c r="C1487" s="2" t="s">
        <v>594</v>
      </c>
      <c r="D1487" s="2" t="str">
        <f t="shared" si="22"/>
        <v>Error?</v>
      </c>
    </row>
    <row r="1488" spans="1:4" x14ac:dyDescent="0.2">
      <c r="A1488" s="5">
        <v>1427</v>
      </c>
      <c r="B1488" s="138">
        <f>'Expenditures 15-22'!K257</f>
        <v>13337</v>
      </c>
      <c r="C1488" s="2" t="s">
        <v>594</v>
      </c>
      <c r="D1488" s="2" t="str">
        <f t="shared" si="22"/>
        <v>Error?</v>
      </c>
    </row>
    <row r="1489" spans="1:4" x14ac:dyDescent="0.2">
      <c r="A1489" s="5">
        <v>1428</v>
      </c>
      <c r="B1489" s="138">
        <f>'Expenditures 15-22'!K259</f>
        <v>33186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33186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21478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16131</v>
      </c>
      <c r="C1495" s="2" t="s">
        <v>594</v>
      </c>
      <c r="D1495" s="2" t="str">
        <f t="shared" si="22"/>
        <v>Error?</v>
      </c>
    </row>
    <row r="1496" spans="1:4" x14ac:dyDescent="0.2">
      <c r="A1496" s="5">
        <v>1435</v>
      </c>
      <c r="B1496" s="138">
        <f>'Expenditures 15-22'!K267</f>
        <v>2188</v>
      </c>
      <c r="C1496" s="2" t="s">
        <v>594</v>
      </c>
      <c r="D1496" s="2" t="str">
        <f t="shared" si="22"/>
        <v>Error?</v>
      </c>
    </row>
    <row r="1497" spans="1:4" x14ac:dyDescent="0.2">
      <c r="A1497" s="5">
        <v>1436</v>
      </c>
      <c r="B1497" s="138">
        <f>'Expenditures 15-22'!K268</f>
        <v>12438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52235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23697</v>
      </c>
      <c r="C1506" s="2" t="s">
        <v>594</v>
      </c>
      <c r="D1506" s="2" t="str">
        <f t="shared" si="22"/>
        <v>Error?</v>
      </c>
    </row>
    <row r="1507" spans="1:4" x14ac:dyDescent="0.2">
      <c r="A1507" s="10">
        <v>1446</v>
      </c>
      <c r="D1507" s="2" t="str">
        <f t="shared" si="22"/>
        <v>OK</v>
      </c>
    </row>
    <row r="1508" spans="1:4" x14ac:dyDescent="0.2">
      <c r="A1508" s="5">
        <v>1447</v>
      </c>
      <c r="B1508" s="138">
        <f>'Expenditures 15-22'!K277</f>
        <v>23697</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154214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246212</v>
      </c>
      <c r="C1517" s="2" t="s">
        <v>594</v>
      </c>
      <c r="D1517" s="2" t="str">
        <f t="shared" si="22"/>
        <v>Error?</v>
      </c>
    </row>
    <row r="1518" spans="1:4" x14ac:dyDescent="0.2">
      <c r="A1518" s="5">
        <v>1457</v>
      </c>
      <c r="B1518" s="138">
        <f>'Expenditures 15-22'!K296</f>
        <v>75223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7363173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7950455</v>
      </c>
      <c r="C1630" s="2" t="s">
        <v>594</v>
      </c>
      <c r="D1630" s="2" t="str">
        <f t="shared" si="24"/>
        <v>Error?</v>
      </c>
    </row>
    <row r="1631" spans="1:4" x14ac:dyDescent="0.2">
      <c r="A1631" s="5">
        <v>1570</v>
      </c>
      <c r="B1631" s="138">
        <f>'Acct Summary 7-8'!D79</f>
        <v>1703090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1355411</v>
      </c>
      <c r="C1644" s="2" t="s">
        <v>594</v>
      </c>
      <c r="D1644" s="2" t="str">
        <f t="shared" si="24"/>
        <v>Error?</v>
      </c>
    </row>
    <row r="1645" spans="1:4" x14ac:dyDescent="0.2">
      <c r="A1645" s="5">
        <v>1584</v>
      </c>
      <c r="B1645" s="138">
        <f>'Acct Summary 7-8'!E79</f>
        <v>678402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674944</v>
      </c>
      <c r="C1658" s="2" t="s">
        <v>594</v>
      </c>
      <c r="D1658" s="2" t="str">
        <f t="shared" si="24"/>
        <v>Error?</v>
      </c>
    </row>
    <row r="1659" spans="1:4" x14ac:dyDescent="0.2">
      <c r="A1659" s="5">
        <v>1598</v>
      </c>
      <c r="B1659" s="138">
        <f>'Acct Summary 7-8'!F79</f>
        <v>864864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633570</v>
      </c>
      <c r="C1672" s="2" t="s">
        <v>594</v>
      </c>
      <c r="D1672" s="2" t="str">
        <f t="shared" si="25"/>
        <v>Error?</v>
      </c>
    </row>
    <row r="1673" spans="1:4" x14ac:dyDescent="0.2">
      <c r="A1673" s="5">
        <v>1612</v>
      </c>
      <c r="B1673" s="138">
        <f>'Acct Summary 7-8'!G79</f>
        <v>270654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345877</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6262335</v>
      </c>
      <c r="C1744" s="2" t="s">
        <v>594</v>
      </c>
      <c r="D1744" s="2" t="str">
        <f t="shared" si="26"/>
        <v>Error?</v>
      </c>
    </row>
    <row r="1745" spans="1:5" x14ac:dyDescent="0.2">
      <c r="A1745" s="5">
        <v>1684</v>
      </c>
      <c r="B1745" s="138">
        <f>'Tax Sched 23'!B5</f>
        <v>1518905</v>
      </c>
      <c r="C1745" s="2" t="s">
        <v>594</v>
      </c>
      <c r="D1745" s="2" t="str">
        <f t="shared" si="26"/>
        <v>Error?</v>
      </c>
    </row>
    <row r="1746" spans="1:5" x14ac:dyDescent="0.2">
      <c r="A1746" s="5">
        <v>1685</v>
      </c>
      <c r="B1746" s="138">
        <f>'Tax Sched 23'!B6</f>
        <v>499808</v>
      </c>
      <c r="C1746" s="2" t="s">
        <v>594</v>
      </c>
      <c r="D1746" s="2" t="str">
        <f t="shared" si="26"/>
        <v>Error?</v>
      </c>
    </row>
    <row r="1747" spans="1:5" x14ac:dyDescent="0.2">
      <c r="A1747" s="5">
        <v>1686</v>
      </c>
      <c r="B1747" s="138">
        <f>'Tax Sched 23'!B7</f>
        <v>5317</v>
      </c>
      <c r="C1747" s="2" t="s">
        <v>594</v>
      </c>
      <c r="D1747" s="2" t="str">
        <f t="shared" si="26"/>
        <v>Error?</v>
      </c>
    </row>
    <row r="1748" spans="1:5" x14ac:dyDescent="0.2">
      <c r="A1748" s="5">
        <v>1687</v>
      </c>
      <c r="B1748" s="138">
        <f>'Tax Sched 23'!B8</f>
        <v>147493</v>
      </c>
      <c r="C1748" s="2" t="s">
        <v>594</v>
      </c>
      <c r="D1748" s="2" t="str">
        <f t="shared" si="26"/>
        <v>Error?</v>
      </c>
    </row>
    <row r="1749" spans="1:5" x14ac:dyDescent="0.2">
      <c r="A1749" s="5">
        <v>1688</v>
      </c>
      <c r="B1749" s="138">
        <f>'Tax Sched 23'!B10</f>
        <v>142454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8723805</v>
      </c>
      <c r="C1759" s="2" t="s">
        <v>594</v>
      </c>
      <c r="D1759" s="2" t="str">
        <f t="shared" si="26"/>
        <v>Error?</v>
      </c>
    </row>
    <row r="1760" spans="1:5" x14ac:dyDescent="0.2">
      <c r="A1760" s="5">
        <v>1699</v>
      </c>
      <c r="B1760" s="138">
        <f>'Tax Sched 23'!D4</f>
        <v>3072489</v>
      </c>
      <c r="C1760" s="2" t="s">
        <v>594</v>
      </c>
      <c r="D1760" s="2" t="str">
        <f t="shared" si="26"/>
        <v>Error?</v>
      </c>
    </row>
    <row r="1761" spans="1:5" x14ac:dyDescent="0.2">
      <c r="A1761" s="5">
        <v>1700</v>
      </c>
      <c r="B1761" s="138">
        <f>'Tax Sched 23'!D5</f>
        <v>634550</v>
      </c>
      <c r="C1761" s="2" t="s">
        <v>594</v>
      </c>
      <c r="D1761" s="2" t="str">
        <f t="shared" si="26"/>
        <v>Error?</v>
      </c>
    </row>
    <row r="1762" spans="1:5" s="8" customFormat="1" x14ac:dyDescent="0.2">
      <c r="A1762" s="5">
        <v>1701</v>
      </c>
      <c r="B1762" s="138">
        <f>'Tax Sched 23'!D6</f>
        <v>240741</v>
      </c>
      <c r="C1762" s="2" t="s">
        <v>594</v>
      </c>
      <c r="D1762" s="2" t="str">
        <f t="shared" si="26"/>
        <v>Error?</v>
      </c>
      <c r="E1762" s="9"/>
    </row>
    <row r="1763" spans="1:5" x14ac:dyDescent="0.2">
      <c r="A1763" s="5">
        <v>1702</v>
      </c>
      <c r="B1763" s="138">
        <f>'Tax Sched 23'!D7</f>
        <v>1158</v>
      </c>
      <c r="C1763" s="2" t="s">
        <v>594</v>
      </c>
      <c r="D1763" s="2" t="str">
        <f t="shared" si="26"/>
        <v>Error?</v>
      </c>
    </row>
    <row r="1764" spans="1:5" x14ac:dyDescent="0.2">
      <c r="A1764" s="5">
        <v>1703</v>
      </c>
      <c r="B1764" s="138">
        <f>'Tax Sched 23'!D8</f>
        <v>70457</v>
      </c>
      <c r="C1764" s="2" t="s">
        <v>594</v>
      </c>
      <c r="D1764" s="2" t="str">
        <f t="shared" si="26"/>
        <v>Error?</v>
      </c>
    </row>
    <row r="1765" spans="1:5" x14ac:dyDescent="0.2">
      <c r="A1765" s="5">
        <v>1704</v>
      </c>
      <c r="B1765" s="138">
        <f>'Tax Sched 23'!D10</f>
        <v>68577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4158429</v>
      </c>
      <c r="C1775" s="2" t="s">
        <v>594</v>
      </c>
      <c r="D1775" s="2" t="str">
        <f t="shared" si="26"/>
        <v>Error?</v>
      </c>
    </row>
    <row r="1776" spans="1:5" x14ac:dyDescent="0.2">
      <c r="A1776" s="5">
        <v>1715</v>
      </c>
      <c r="B1776" s="138">
        <f>'Tax Sched 23'!C4</f>
        <v>3189846</v>
      </c>
      <c r="D1776" s="2" t="str">
        <f t="shared" si="26"/>
        <v>Error?</v>
      </c>
    </row>
    <row r="1777" spans="1:4" x14ac:dyDescent="0.2">
      <c r="A1777" s="5">
        <v>1716</v>
      </c>
      <c r="B1777" s="138">
        <f>'Tax Sched 23'!C5</f>
        <v>884355</v>
      </c>
      <c r="D1777" s="2" t="str">
        <f t="shared" si="26"/>
        <v>Error?</v>
      </c>
    </row>
    <row r="1778" spans="1:4" x14ac:dyDescent="0.2">
      <c r="A1778" s="5">
        <v>1717</v>
      </c>
      <c r="B1778" s="138">
        <f>'Tax Sched 23'!C6</f>
        <v>259067</v>
      </c>
      <c r="D1778" s="2" t="str">
        <f t="shared" si="26"/>
        <v>Error?</v>
      </c>
    </row>
    <row r="1779" spans="1:4" x14ac:dyDescent="0.2">
      <c r="A1779" s="5">
        <v>1718</v>
      </c>
      <c r="B1779" s="138">
        <f>'Tax Sched 23'!C7</f>
        <v>4159</v>
      </c>
      <c r="D1779" s="2" t="str">
        <f t="shared" si="26"/>
        <v>Error?</v>
      </c>
    </row>
    <row r="1780" spans="1:4" x14ac:dyDescent="0.2">
      <c r="A1780" s="5">
        <v>1719</v>
      </c>
      <c r="B1780" s="138">
        <f>'Tax Sched 23'!C8</f>
        <v>77036</v>
      </c>
      <c r="D1780" s="2" t="str">
        <f t="shared" si="26"/>
        <v>Error?</v>
      </c>
    </row>
    <row r="1781" spans="1:4" x14ac:dyDescent="0.2">
      <c r="A1781" s="5">
        <v>1720</v>
      </c>
      <c r="B1781" s="138">
        <f>'Tax Sched 23'!C10</f>
        <v>73877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4565376</v>
      </c>
      <c r="C1791" s="2" t="s">
        <v>594</v>
      </c>
      <c r="D1791" s="2" t="str">
        <f t="shared" ref="D1791:D1854" si="27">IF(ISBLANK(B1791),"OK",IF(A1791-B1791=0,"OK","Error?"))</f>
        <v>Error?</v>
      </c>
    </row>
    <row r="1792" spans="1:4" x14ac:dyDescent="0.2">
      <c r="A1792" s="5">
        <v>1731</v>
      </c>
      <c r="B1792" s="138">
        <f>'Tax Sched 23'!F4</f>
        <v>2885092</v>
      </c>
      <c r="C1792" s="2" t="s">
        <v>594</v>
      </c>
      <c r="D1792" s="2" t="str">
        <f t="shared" si="27"/>
        <v>Error?</v>
      </c>
    </row>
    <row r="1793" spans="1:4" x14ac:dyDescent="0.2">
      <c r="A1793" s="5">
        <v>1732</v>
      </c>
      <c r="B1793" s="138">
        <f>'Tax Sched 23'!F5</f>
        <v>799871</v>
      </c>
      <c r="C1793" s="2" t="s">
        <v>594</v>
      </c>
      <c r="D1793" s="2" t="str">
        <f t="shared" si="27"/>
        <v>Error?</v>
      </c>
    </row>
    <row r="1794" spans="1:4" x14ac:dyDescent="0.2">
      <c r="A1794" s="5">
        <v>1733</v>
      </c>
      <c r="B1794" s="138">
        <f>'Tax Sched 23'!F6</f>
        <v>234318</v>
      </c>
      <c r="C1794" s="2" t="s">
        <v>594</v>
      </c>
      <c r="D1794" s="2" t="str">
        <f t="shared" si="27"/>
        <v>Error?</v>
      </c>
    </row>
    <row r="1795" spans="1:4" x14ac:dyDescent="0.2">
      <c r="A1795" s="5">
        <v>1734</v>
      </c>
      <c r="B1795" s="138">
        <f>'Tax Sched 23'!F7</f>
        <v>3763</v>
      </c>
      <c r="C1795" s="2" t="s">
        <v>594</v>
      </c>
      <c r="D1795" s="2" t="str">
        <f t="shared" si="27"/>
        <v>Error?</v>
      </c>
    </row>
    <row r="1796" spans="1:4" x14ac:dyDescent="0.2">
      <c r="A1796" s="5">
        <v>1735</v>
      </c>
      <c r="B1796" s="138">
        <f>'Tax Sched 23'!F8</f>
        <v>69680</v>
      </c>
      <c r="C1796" s="2" t="s">
        <v>594</v>
      </c>
      <c r="D1796" s="2" t="str">
        <f t="shared" si="27"/>
        <v>Error?</v>
      </c>
    </row>
    <row r="1797" spans="1:4" x14ac:dyDescent="0.2">
      <c r="A1797" s="5">
        <v>1736</v>
      </c>
      <c r="B1797" s="138">
        <f>'Tax Sched 23'!F10</f>
        <v>66818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4129222</v>
      </c>
      <c r="C1807" s="2" t="s">
        <v>594</v>
      </c>
      <c r="D1807" s="2" t="str">
        <f t="shared" si="27"/>
        <v>Error?</v>
      </c>
    </row>
    <row r="1808" spans="1:4" x14ac:dyDescent="0.2">
      <c r="A1808" s="5">
        <v>1747</v>
      </c>
      <c r="B1808" s="138">
        <f>'Tax Sched 23'!E4</f>
        <v>6074938</v>
      </c>
      <c r="D1808" s="2" t="str">
        <f t="shared" si="27"/>
        <v>Error?</v>
      </c>
    </row>
    <row r="1809" spans="1:4" x14ac:dyDescent="0.2">
      <c r="A1809" s="5">
        <v>1748</v>
      </c>
      <c r="B1809" s="138">
        <f>'Tax Sched 23'!E5</f>
        <v>1684226</v>
      </c>
      <c r="D1809" s="2" t="str">
        <f t="shared" si="27"/>
        <v>Error?</v>
      </c>
    </row>
    <row r="1810" spans="1:4" x14ac:dyDescent="0.2">
      <c r="A1810" s="5">
        <v>1749</v>
      </c>
      <c r="B1810" s="138">
        <f>'Tax Sched 23'!E6</f>
        <v>493385</v>
      </c>
      <c r="D1810" s="2" t="str">
        <f t="shared" si="27"/>
        <v>Error?</v>
      </c>
    </row>
    <row r="1811" spans="1:4" x14ac:dyDescent="0.2">
      <c r="A1811" s="5">
        <v>1750</v>
      </c>
      <c r="B1811" s="138">
        <f>'Tax Sched 23'!E7</f>
        <v>7922</v>
      </c>
      <c r="D1811" s="2" t="str">
        <f t="shared" si="27"/>
        <v>Error?</v>
      </c>
    </row>
    <row r="1812" spans="1:4" x14ac:dyDescent="0.2">
      <c r="A1812" s="5">
        <v>1751</v>
      </c>
      <c r="B1812" s="138">
        <f>'Tax Sched 23'!E8</f>
        <v>146716</v>
      </c>
      <c r="D1812" s="2" t="str">
        <f t="shared" si="27"/>
        <v>Error?</v>
      </c>
    </row>
    <row r="1813" spans="1:4" x14ac:dyDescent="0.2">
      <c r="A1813" s="5">
        <v>1752</v>
      </c>
      <c r="B1813" s="138">
        <f>'Tax Sched 23'!E10</f>
        <v>140695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8694598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5715000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309897</v>
      </c>
      <c r="D2008" s="2" t="str">
        <f t="shared" si="30"/>
        <v>Error?</v>
      </c>
    </row>
    <row r="2009" spans="1:4" x14ac:dyDescent="0.2">
      <c r="A2009" s="5">
        <v>1948</v>
      </c>
      <c r="B2009" s="138">
        <f>'Cap Outlay Deprec 26'!C8</f>
        <v>10640515</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68057</v>
      </c>
      <c r="D2011" s="2" t="str">
        <f t="shared" si="30"/>
        <v>Error?</v>
      </c>
    </row>
    <row r="2012" spans="1:4" x14ac:dyDescent="0.2">
      <c r="A2012" s="5">
        <v>1951</v>
      </c>
      <c r="B2012" s="138">
        <f>'Cap Outlay Deprec 26'!C13</f>
        <v>3096141</v>
      </c>
      <c r="D2012" s="2" t="str">
        <f t="shared" si="30"/>
        <v>Error?</v>
      </c>
    </row>
    <row r="2013" spans="1:4" x14ac:dyDescent="0.2">
      <c r="A2013" s="5">
        <v>1952</v>
      </c>
      <c r="B2013" s="138">
        <f>'Cap Outlay Deprec 26'!C16</f>
        <v>14114610</v>
      </c>
      <c r="C2013" s="2" t="s">
        <v>594</v>
      </c>
      <c r="D2013" s="2" t="str">
        <f t="shared" si="30"/>
        <v>Error?</v>
      </c>
    </row>
    <row r="2014" spans="1:4" x14ac:dyDescent="0.2">
      <c r="A2014" s="5">
        <v>1953</v>
      </c>
      <c r="B2014" s="138">
        <f>'Cap Outlay Deprec 26'!D5</f>
        <v>225959</v>
      </c>
      <c r="D2014" s="2" t="str">
        <f t="shared" si="30"/>
        <v>Error?</v>
      </c>
    </row>
    <row r="2015" spans="1:4" x14ac:dyDescent="0.2">
      <c r="A2015" s="5">
        <v>1954</v>
      </c>
      <c r="B2015" s="138">
        <f>'Cap Outlay Deprec 26'!D8</f>
        <v>194504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79357</v>
      </c>
      <c r="D2018" s="2" t="str">
        <f t="shared" si="30"/>
        <v>Error?</v>
      </c>
    </row>
    <row r="2019" spans="1:4" x14ac:dyDescent="0.2">
      <c r="A2019" s="5">
        <v>1958</v>
      </c>
      <c r="B2019" s="138">
        <f>'Cap Outlay Deprec 26'!D16</f>
        <v>940756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535856</v>
      </c>
      <c r="C2026" s="2" t="s">
        <v>594</v>
      </c>
      <c r="D2026" s="2" t="str">
        <f t="shared" si="30"/>
        <v>Error?</v>
      </c>
    </row>
    <row r="2027" spans="1:4" x14ac:dyDescent="0.2">
      <c r="A2027" s="5">
        <v>1966</v>
      </c>
      <c r="B2027" s="138">
        <f>'Cap Outlay Deprec 26'!F8</f>
        <v>10835019</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68057</v>
      </c>
      <c r="C2029" s="2" t="s">
        <v>594</v>
      </c>
      <c r="D2029" s="2" t="str">
        <f t="shared" si="30"/>
        <v>Error?</v>
      </c>
    </row>
    <row r="2030" spans="1:4" x14ac:dyDescent="0.2">
      <c r="A2030" s="5">
        <v>1969</v>
      </c>
      <c r="B2030" s="138">
        <f>'Cap Outlay Deprec 26'!F13</f>
        <v>3175498</v>
      </c>
      <c r="C2030" s="2" t="s">
        <v>594</v>
      </c>
      <c r="D2030" s="2" t="str">
        <f t="shared" si="30"/>
        <v>Error?</v>
      </c>
    </row>
    <row r="2031" spans="1:4" x14ac:dyDescent="0.2">
      <c r="A2031" s="5">
        <v>1970</v>
      </c>
      <c r="B2031" s="138">
        <f>'Cap Outlay Deprec 26'!F16</f>
        <v>15055366</v>
      </c>
      <c r="C2031" s="2" t="s">
        <v>594</v>
      </c>
      <c r="D2031" s="2" t="str">
        <f t="shared" si="30"/>
        <v>Error?</v>
      </c>
    </row>
    <row r="2032" spans="1:4" x14ac:dyDescent="0.2">
      <c r="A2032" s="10">
        <v>1971</v>
      </c>
      <c r="D2032" s="2" t="str">
        <f t="shared" si="30"/>
        <v>OK</v>
      </c>
    </row>
    <row r="2033" spans="1:4" x14ac:dyDescent="0.2">
      <c r="A2033" s="5">
        <v>1972</v>
      </c>
      <c r="B2033" s="138">
        <f>'Cap Outlay Deprec 26'!H8</f>
        <v>4361734</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68057</v>
      </c>
      <c r="D2035" s="2" t="str">
        <f t="shared" si="30"/>
        <v>Error?</v>
      </c>
    </row>
    <row r="2036" spans="1:4" x14ac:dyDescent="0.2">
      <c r="A2036" s="5">
        <v>1975</v>
      </c>
      <c r="B2036" s="138">
        <f>'Cap Outlay Deprec 26'!H13</f>
        <v>2828608</v>
      </c>
      <c r="D2036" s="2" t="str">
        <f t="shared" si="30"/>
        <v>Error?</v>
      </c>
    </row>
    <row r="2037" spans="1:4" x14ac:dyDescent="0.2">
      <c r="A2037" s="5">
        <v>1976</v>
      </c>
      <c r="B2037" s="138">
        <f>'Cap Outlay Deprec 26'!H16</f>
        <v>7258399</v>
      </c>
      <c r="C2037" s="2" t="s">
        <v>594</v>
      </c>
      <c r="D2037" s="2" t="str">
        <f t="shared" si="30"/>
        <v>Error?</v>
      </c>
    </row>
    <row r="2038" spans="1:4" x14ac:dyDescent="0.2">
      <c r="A2038" s="10">
        <v>1977</v>
      </c>
      <c r="D2038" s="2" t="str">
        <f t="shared" si="30"/>
        <v>OK</v>
      </c>
    </row>
    <row r="2039" spans="1:4" x14ac:dyDescent="0.2">
      <c r="A2039" s="5">
        <v>1978</v>
      </c>
      <c r="B2039" s="138">
        <f>'Cap Outlay Deprec 26'!I8</f>
        <v>387568</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90520</v>
      </c>
      <c r="D2042" s="2" t="str">
        <f t="shared" si="30"/>
        <v>Error?</v>
      </c>
    </row>
    <row r="2043" spans="1:4" x14ac:dyDescent="0.2">
      <c r="A2043" s="5">
        <v>1982</v>
      </c>
      <c r="B2043" s="138">
        <f>'Cap Outlay Deprec 26'!I16</f>
        <v>478088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4749302</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68057</v>
      </c>
      <c r="C2053" s="2" t="s">
        <v>594</v>
      </c>
      <c r="D2053" s="2" t="str">
        <f t="shared" si="31"/>
        <v>Error?</v>
      </c>
    </row>
    <row r="2054" spans="1:4" x14ac:dyDescent="0.2">
      <c r="A2054" s="5">
        <v>1993</v>
      </c>
      <c r="B2054" s="138">
        <f>'Cap Outlay Deprec 26'!K13</f>
        <v>2919128</v>
      </c>
      <c r="C2054" s="2" t="s">
        <v>594</v>
      </c>
      <c r="D2054" s="2" t="str">
        <f t="shared" si="31"/>
        <v>Error?</v>
      </c>
    </row>
    <row r="2055" spans="1:4" x14ac:dyDescent="0.2">
      <c r="A2055" s="5">
        <v>1994</v>
      </c>
      <c r="B2055" s="138">
        <f>'Cap Outlay Deprec 26'!K16</f>
        <v>7736487</v>
      </c>
      <c r="C2055" s="2" t="s">
        <v>594</v>
      </c>
      <c r="D2055" s="2" t="str">
        <f t="shared" si="31"/>
        <v>Error?</v>
      </c>
    </row>
    <row r="2056" spans="1:4" x14ac:dyDescent="0.2">
      <c r="A2056" s="5">
        <v>1995</v>
      </c>
      <c r="B2056" s="138">
        <f>'Cap Outlay Deprec 26'!L5</f>
        <v>535856</v>
      </c>
      <c r="C2056" s="2" t="s">
        <v>594</v>
      </c>
      <c r="D2056" s="2" t="str">
        <f t="shared" si="31"/>
        <v>Error?</v>
      </c>
    </row>
    <row r="2057" spans="1:4" x14ac:dyDescent="0.2">
      <c r="A2057" s="5">
        <v>1996</v>
      </c>
      <c r="B2057" s="138">
        <f>'Cap Outlay Deprec 26'!L8</f>
        <v>6085717</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256370</v>
      </c>
      <c r="C2060" s="2" t="s">
        <v>594</v>
      </c>
      <c r="D2060" s="2" t="str">
        <f t="shared" si="31"/>
        <v>Error?</v>
      </c>
    </row>
    <row r="2061" spans="1:4" x14ac:dyDescent="0.2">
      <c r="A2061" s="5">
        <v>2000</v>
      </c>
      <c r="B2061" s="138">
        <f>'Cap Outlay Deprec 26'!L16</f>
        <v>7318879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111696</v>
      </c>
      <c r="C2088" s="2" t="s">
        <v>594</v>
      </c>
      <c r="D2088" s="2" t="str">
        <f t="shared" si="31"/>
        <v>Error?</v>
      </c>
    </row>
    <row r="2089" spans="1:4" x14ac:dyDescent="0.2">
      <c r="A2089" s="5">
        <v>2028</v>
      </c>
      <c r="B2089" s="138">
        <f>'Expenditures 15-22'!K92</f>
        <v>400579</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6772570</v>
      </c>
      <c r="C2551" s="2" t="s">
        <v>594</v>
      </c>
      <c r="D2551" s="2" t="str">
        <f t="shared" si="38"/>
        <v>Error?</v>
      </c>
    </row>
    <row r="2552" spans="1:4" x14ac:dyDescent="0.2">
      <c r="A2552" s="10">
        <v>2491</v>
      </c>
      <c r="D2552" s="2" t="str">
        <f t="shared" si="38"/>
        <v>OK</v>
      </c>
    </row>
    <row r="2553" spans="1:4" x14ac:dyDescent="0.2">
      <c r="A2553" s="5">
        <v>2492</v>
      </c>
      <c r="B2553" s="138">
        <f>'Acct Summary 7-8'!C6</f>
        <v>920915</v>
      </c>
      <c r="C2553" s="2" t="s">
        <v>594</v>
      </c>
      <c r="D2553" s="2" t="str">
        <f t="shared" si="38"/>
        <v>Error?</v>
      </c>
    </row>
    <row r="2554" spans="1:4" x14ac:dyDescent="0.2">
      <c r="A2554" s="5">
        <v>2493</v>
      </c>
      <c r="B2554" s="138">
        <f>'Acct Summary 7-8'!C7</f>
        <v>481390</v>
      </c>
      <c r="C2554" s="2" t="s">
        <v>594</v>
      </c>
      <c r="D2554" s="2" t="str">
        <f t="shared" si="38"/>
        <v>Error?</v>
      </c>
    </row>
    <row r="2555" spans="1:4" x14ac:dyDescent="0.2">
      <c r="A2555" s="5">
        <v>2494</v>
      </c>
      <c r="B2555" s="138">
        <f>'Acct Summary 7-8'!C8</f>
        <v>8174875</v>
      </c>
      <c r="C2555" s="2" t="s">
        <v>594</v>
      </c>
      <c r="D2555" s="2" t="str">
        <f t="shared" si="38"/>
        <v>Error?</v>
      </c>
    </row>
    <row r="2556" spans="1:4" x14ac:dyDescent="0.2">
      <c r="A2556" s="5">
        <v>2495</v>
      </c>
      <c r="B2556" s="138">
        <f>'Acct Summary 7-8'!C12</f>
        <v>4434825</v>
      </c>
      <c r="C2556" s="2" t="s">
        <v>594</v>
      </c>
      <c r="D2556" s="2" t="str">
        <f t="shared" si="38"/>
        <v>Error?</v>
      </c>
    </row>
    <row r="2557" spans="1:4" x14ac:dyDescent="0.2">
      <c r="A2557" s="5">
        <v>2496</v>
      </c>
      <c r="B2557" s="138">
        <f>'Acct Summary 7-8'!C13</f>
        <v>2640493</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512275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7587593</v>
      </c>
      <c r="C2561" s="2" t="s">
        <v>594</v>
      </c>
      <c r="D2561" s="2" t="str">
        <f t="shared" si="39"/>
        <v>Error?</v>
      </c>
    </row>
    <row r="2562" spans="1:4" x14ac:dyDescent="0.2">
      <c r="A2562" s="5">
        <v>2501</v>
      </c>
      <c r="B2562" s="138">
        <f>'Acct Summary 7-8'!C20</f>
        <v>587282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1655146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1655146</v>
      </c>
      <c r="C2568" s="2" t="s">
        <v>594</v>
      </c>
      <c r="D2568" s="2" t="str">
        <f t="shared" si="39"/>
        <v>Error?</v>
      </c>
    </row>
    <row r="2569" spans="1:4" x14ac:dyDescent="0.2">
      <c r="A2569" s="5">
        <v>2508</v>
      </c>
      <c r="B2569" s="138">
        <f>'Acct Summary 7-8'!D13</f>
        <v>2002825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2002825</v>
      </c>
      <c r="C2573" s="2" t="s">
        <v>594</v>
      </c>
      <c r="D2573" s="2" t="str">
        <f t="shared" si="39"/>
        <v>Error?</v>
      </c>
    </row>
    <row r="2574" spans="1:4" x14ac:dyDescent="0.2">
      <c r="A2574" s="5">
        <v>2513</v>
      </c>
      <c r="B2574" s="138">
        <f>'Acct Summary 7-8'!D20</f>
        <v>-347679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12510</v>
      </c>
      <c r="C2591" s="2" t="s">
        <v>594</v>
      </c>
      <c r="D2591" s="2" t="str">
        <f t="shared" si="39"/>
        <v>Error?</v>
      </c>
    </row>
    <row r="2592" spans="1:4" x14ac:dyDescent="0.2">
      <c r="A2592" s="10">
        <v>2531</v>
      </c>
      <c r="D2592" s="2" t="str">
        <f t="shared" si="39"/>
        <v>OK</v>
      </c>
    </row>
    <row r="2593" spans="1:4" x14ac:dyDescent="0.2">
      <c r="A2593" s="5">
        <v>2532</v>
      </c>
      <c r="B2593" s="138">
        <f>'Acct Summary 7-8'!F6</f>
        <v>204590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217100</v>
      </c>
      <c r="C2595" s="2" t="s">
        <v>594</v>
      </c>
      <c r="D2595" s="2" t="str">
        <f t="shared" si="39"/>
        <v>Error?</v>
      </c>
    </row>
    <row r="2596" spans="1:4" x14ac:dyDescent="0.2">
      <c r="A2596" s="5">
        <v>2535</v>
      </c>
      <c r="B2596" s="138">
        <f>'Acct Summary 7-8'!F13</f>
        <v>448394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448394</v>
      </c>
      <c r="C2600" s="2" t="s">
        <v>594</v>
      </c>
      <c r="D2600" s="2" t="str">
        <f t="shared" si="39"/>
        <v>Error?</v>
      </c>
    </row>
    <row r="2601" spans="1:4" x14ac:dyDescent="0.2">
      <c r="A2601" s="5">
        <v>2540</v>
      </c>
      <c r="B2601" s="138">
        <f>'Acct Summary 7-8'!F20</f>
        <v>-231294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321435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321435</v>
      </c>
      <c r="C2606" s="2" t="s">
        <v>594</v>
      </c>
      <c r="D2606" s="2" t="str">
        <f t="shared" si="39"/>
        <v>Error?</v>
      </c>
    </row>
    <row r="2607" spans="1:4" x14ac:dyDescent="0.2">
      <c r="A2607" s="5">
        <v>2546</v>
      </c>
      <c r="B2607" s="138">
        <f>'Acct Summary 7-8'!G12</f>
        <v>91998</v>
      </c>
      <c r="C2607" s="2" t="s">
        <v>594</v>
      </c>
      <c r="D2607" s="2" t="str">
        <f t="shared" si="39"/>
        <v>Error?</v>
      </c>
    </row>
    <row r="2608" spans="1:4" x14ac:dyDescent="0.2">
      <c r="A2608" s="5">
        <v>2547</v>
      </c>
      <c r="B2608" s="138">
        <f>'Acct Summary 7-8'!G13</f>
        <v>154214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246212</v>
      </c>
      <c r="C2612" s="2" t="s">
        <v>594</v>
      </c>
      <c r="D2612" s="2" t="str">
        <f t="shared" si="39"/>
        <v>Error?</v>
      </c>
    </row>
    <row r="2613" spans="1:4" x14ac:dyDescent="0.2">
      <c r="A2613" s="5">
        <v>2552</v>
      </c>
      <c r="B2613" s="138">
        <f>'Acct Summary 7-8'!G20</f>
        <v>75223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505617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505617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509075</v>
      </c>
      <c r="C2634" s="2" t="s">
        <v>594</v>
      </c>
      <c r="D2634" s="2" t="str">
        <f t="shared" si="40"/>
        <v>Error?</v>
      </c>
    </row>
    <row r="2635" spans="1:4" x14ac:dyDescent="0.2">
      <c r="A2635" s="5">
        <v>2574</v>
      </c>
      <c r="B2635" s="138">
        <f>'Acct Summary 7-8'!E17</f>
        <v>509075</v>
      </c>
      <c r="C2635" s="2" t="s">
        <v>594</v>
      </c>
      <c r="D2635" s="2" t="str">
        <f t="shared" si="40"/>
        <v>Error?</v>
      </c>
    </row>
    <row r="2636" spans="1:4" x14ac:dyDescent="0.2">
      <c r="A2636" s="5">
        <v>2575</v>
      </c>
      <c r="B2636" s="138">
        <f>'Acct Summary 7-8'!E20</f>
        <v>-3458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111696</v>
      </c>
      <c r="C2789" s="2" t="s">
        <v>594</v>
      </c>
      <c r="D2789" s="2" t="str">
        <f t="shared" si="42"/>
        <v>Error?</v>
      </c>
    </row>
    <row r="2790" spans="1:4" x14ac:dyDescent="0.2">
      <c r="A2790" s="5">
        <v>2729</v>
      </c>
      <c r="B2790" s="138">
        <f>'Expenditures 15-22'!E102</f>
        <v>111696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440936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2678065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42152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2678065</v>
      </c>
      <c r="D2912" s="2" t="str">
        <f t="shared" si="44"/>
        <v>Error?</v>
      </c>
    </row>
    <row r="2913" spans="1:4" x14ac:dyDescent="0.2">
      <c r="A2913" s="5">
        <v>2852</v>
      </c>
      <c r="B2913" s="138">
        <f>'Assets-Liab 5-6'!I41</f>
        <v>2678065</v>
      </c>
      <c r="C2913" s="2" t="s">
        <v>594</v>
      </c>
      <c r="D2913" s="2" t="str">
        <f t="shared" si="44"/>
        <v>Error?</v>
      </c>
    </row>
    <row r="2914" spans="1:4" x14ac:dyDescent="0.2">
      <c r="A2914" s="5">
        <v>2853</v>
      </c>
      <c r="B2914" s="138">
        <f>'Assets-Liab 5-6'!L33</f>
        <v>42152</v>
      </c>
      <c r="D2914" s="2" t="str">
        <f t="shared" si="44"/>
        <v>Error?</v>
      </c>
    </row>
    <row r="2915" spans="1:4" x14ac:dyDescent="0.2">
      <c r="A2915" s="10">
        <v>2854</v>
      </c>
      <c r="D2915" s="2" t="str">
        <f t="shared" si="44"/>
        <v>OK</v>
      </c>
    </row>
    <row r="2916" spans="1:4" x14ac:dyDescent="0.2">
      <c r="A2916" s="5">
        <v>2855</v>
      </c>
      <c r="B2916" s="138">
        <f>'Assets-Liab 5-6'!L34</f>
        <v>42152</v>
      </c>
      <c r="C2916" s="2" t="s">
        <v>594</v>
      </c>
      <c r="D2916" s="2" t="str">
        <f t="shared" si="44"/>
        <v>Error?</v>
      </c>
    </row>
    <row r="2917" spans="1:4" x14ac:dyDescent="0.2">
      <c r="A2917" s="5">
        <v>2856</v>
      </c>
      <c r="B2917" s="138">
        <f>'Assets-Liab 5-6'!L41</f>
        <v>42152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111696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111696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59707</v>
      </c>
      <c r="D3055" s="2" t="str">
        <f t="shared" si="46"/>
        <v>Error?</v>
      </c>
    </row>
    <row r="3056" spans="1:4" x14ac:dyDescent="0.2">
      <c r="A3056" s="5">
        <v>2995</v>
      </c>
      <c r="B3056" s="138">
        <f>'Expenditures 15-22'!D10</f>
        <v>6924</v>
      </c>
      <c r="D3056" s="2" t="str">
        <f t="shared" si="46"/>
        <v>Error?</v>
      </c>
    </row>
    <row r="3057" spans="1:4" x14ac:dyDescent="0.2">
      <c r="A3057" s="5">
        <v>2996</v>
      </c>
      <c r="B3057" s="138">
        <f>'Expenditures 15-22'!E10</f>
        <v>7332</v>
      </c>
      <c r="D3057" s="2" t="str">
        <f t="shared" si="46"/>
        <v>Error?</v>
      </c>
    </row>
    <row r="3058" spans="1:4" x14ac:dyDescent="0.2">
      <c r="A3058" s="5">
        <v>2997</v>
      </c>
      <c r="B3058" s="138">
        <f>'Expenditures 15-22'!F10</f>
        <v>5978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79941</v>
      </c>
      <c r="C3062" s="2" t="s">
        <v>594</v>
      </c>
      <c r="D3062" s="2" t="str">
        <f t="shared" si="46"/>
        <v>Error?</v>
      </c>
    </row>
    <row r="3063" spans="1:4" x14ac:dyDescent="0.2">
      <c r="A3063" s="10">
        <v>3002</v>
      </c>
      <c r="D3063" s="2" t="str">
        <f t="shared" si="46"/>
        <v>OK</v>
      </c>
    </row>
    <row r="3064" spans="1:4" x14ac:dyDescent="0.2">
      <c r="A3064" s="5">
        <v>3003</v>
      </c>
      <c r="B3064" s="138">
        <f>'Expenditures 15-22'!D219</f>
        <v>10989</v>
      </c>
      <c r="D3064" s="2" t="str">
        <f t="shared" si="46"/>
        <v>Error?</v>
      </c>
    </row>
    <row r="3065" spans="1:4" x14ac:dyDescent="0.2">
      <c r="A3065" s="5">
        <v>3004</v>
      </c>
      <c r="B3065" s="138">
        <f>'Expenditures 15-22'!K219</f>
        <v>10989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166604</v>
      </c>
      <c r="C3225" s="2" t="s">
        <v>594</v>
      </c>
      <c r="D3225" s="2" t="str">
        <f t="shared" si="49"/>
        <v>Error?</v>
      </c>
    </row>
    <row r="3226" spans="1:4" x14ac:dyDescent="0.2">
      <c r="A3226" s="5">
        <v>3165</v>
      </c>
      <c r="B3226" s="138">
        <f>'Acct Summary 7-8'!I8</f>
        <v>166604</v>
      </c>
      <c r="C3226" s="2" t="s">
        <v>594</v>
      </c>
      <c r="D3226" s="2" t="str">
        <f t="shared" si="49"/>
        <v>Error?</v>
      </c>
    </row>
    <row r="3227" spans="1:4" x14ac:dyDescent="0.2">
      <c r="A3227" s="5">
        <v>3166</v>
      </c>
      <c r="B3227" s="138">
        <f>'Acct Summary 7-8'!I20</f>
        <v>166604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587282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-347679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-231294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75223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-3458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166604</v>
      </c>
      <c r="C3320" s="2" t="s">
        <v>594</v>
      </c>
      <c r="D3320" s="2" t="str">
        <f t="shared" si="50"/>
        <v>Error?</v>
      </c>
    </row>
    <row r="3321" spans="1:4" x14ac:dyDescent="0.2">
      <c r="A3321" s="5">
        <v>3260</v>
      </c>
      <c r="B3321" s="138">
        <f>'Acct Summary 7-8'!I79</f>
        <v>2511461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2678065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604177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95386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54177</v>
      </c>
      <c r="D3370" s="2" t="str">
        <f t="shared" si="51"/>
        <v>Error?</v>
      </c>
    </row>
    <row r="3371" spans="1:4" x14ac:dyDescent="0.2">
      <c r="A3371" s="5">
        <v>3310</v>
      </c>
      <c r="B3371" s="138">
        <f>'Expenditures 15-22'!E19</f>
        <v>50115</v>
      </c>
      <c r="D3371" s="2" t="str">
        <f t="shared" si="51"/>
        <v>Error?</v>
      </c>
    </row>
    <row r="3372" spans="1:4" x14ac:dyDescent="0.2">
      <c r="A3372" s="5">
        <v>3311</v>
      </c>
      <c r="B3372" s="138">
        <f>'Expenditures 15-22'!F8</f>
        <v>8498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9479</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771717</v>
      </c>
      <c r="C3380" s="2" t="s">
        <v>594</v>
      </c>
      <c r="D3380" s="2" t="str">
        <f t="shared" si="51"/>
        <v>Error?</v>
      </c>
    </row>
    <row r="3381" spans="1:4" x14ac:dyDescent="0.2">
      <c r="A3381" s="5">
        <v>3320</v>
      </c>
      <c r="B3381" s="138">
        <f>'Expenditures 15-22'!K19</f>
        <v>50115</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44655</v>
      </c>
      <c r="D3387" s="2" t="str">
        <f t="shared" si="51"/>
        <v>Error?</v>
      </c>
    </row>
    <row r="3388" spans="1:4" x14ac:dyDescent="0.2">
      <c r="A3388" s="5">
        <v>3327</v>
      </c>
      <c r="B3388" s="138">
        <f>'Expenditures 15-22'!D217</f>
        <v>35394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44655</v>
      </c>
      <c r="C3390" s="2" t="s">
        <v>594</v>
      </c>
      <c r="D3390" s="2" t="str">
        <f t="shared" si="51"/>
        <v>Error?</v>
      </c>
    </row>
    <row r="3391" spans="1:4" x14ac:dyDescent="0.2">
      <c r="A3391" s="5">
        <v>3330</v>
      </c>
      <c r="B3391" s="138">
        <f>'Expenditures 15-22'!K217</f>
        <v>35394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7950146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1361130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674944</v>
      </c>
      <c r="D3417" s="2" t="str">
        <f t="shared" si="52"/>
        <v>Error?</v>
      </c>
    </row>
    <row r="3418" spans="1:4" x14ac:dyDescent="0.2">
      <c r="A3418" s="10">
        <v>3357</v>
      </c>
      <c r="D3418" s="2" t="str">
        <f t="shared" si="52"/>
        <v>OK</v>
      </c>
    </row>
    <row r="3419" spans="1:4" x14ac:dyDescent="0.2">
      <c r="A3419" s="5">
        <v>3358</v>
      </c>
      <c r="B3419" s="138">
        <f>'Assets-Liab 5-6'!F4</f>
        <v>633570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345877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2678065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42152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147493</v>
      </c>
      <c r="C3446" s="2" t="s">
        <v>594</v>
      </c>
      <c r="D3446" s="2" t="str">
        <f t="shared" si="52"/>
        <v>Error?</v>
      </c>
    </row>
    <row r="3447" spans="1:4" x14ac:dyDescent="0.2">
      <c r="A3447" s="5">
        <v>3386</v>
      </c>
      <c r="B3447" s="138">
        <f>'Tax Sched 23'!D16</f>
        <v>70457</v>
      </c>
      <c r="C3447" s="2" t="s">
        <v>594</v>
      </c>
      <c r="D3447" s="2" t="str">
        <f t="shared" si="52"/>
        <v>Error?</v>
      </c>
    </row>
    <row r="3448" spans="1:4" x14ac:dyDescent="0.2">
      <c r="A3448" s="5">
        <v>3387</v>
      </c>
      <c r="B3448" s="138">
        <f>'Tax Sched 23'!C16</f>
        <v>77036</v>
      </c>
      <c r="D3448" s="2" t="str">
        <f t="shared" si="52"/>
        <v>Error?</v>
      </c>
    </row>
    <row r="3449" spans="1:4" x14ac:dyDescent="0.2">
      <c r="A3449" s="5">
        <v>3388</v>
      </c>
      <c r="B3449" s="138">
        <f>'Tax Sched 23'!F16</f>
        <v>69680</v>
      </c>
      <c r="C3449" s="2" t="s">
        <v>594</v>
      </c>
      <c r="D3449" s="2" t="str">
        <f t="shared" si="52"/>
        <v>Error?</v>
      </c>
    </row>
    <row r="3450" spans="1:4" x14ac:dyDescent="0.2">
      <c r="A3450" s="5">
        <v>3389</v>
      </c>
      <c r="B3450" s="138">
        <f>'Tax Sched 23'!E16</f>
        <v>146716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440936</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440936</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440936</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113359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113359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113359</v>
      </c>
      <c r="D3567" s="2" t="str">
        <f t="shared" si="54"/>
        <v>Error?</v>
      </c>
    </row>
    <row r="3568" spans="1:4" x14ac:dyDescent="0.2">
      <c r="A3568" s="5">
        <v>3507</v>
      </c>
      <c r="B3568" s="138">
        <f>'Assets-Liab 5-6'!K41</f>
        <v>113359</v>
      </c>
      <c r="C3568" s="2" t="s">
        <v>594</v>
      </c>
      <c r="D3568" s="2" t="str">
        <f t="shared" si="54"/>
        <v>Error?</v>
      </c>
    </row>
    <row r="3569" spans="1:4" x14ac:dyDescent="0.2">
      <c r="A3569" s="5">
        <v>3508</v>
      </c>
      <c r="B3569" s="138">
        <f>'Acct Summary 7-8'!K4</f>
        <v>1051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1051</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1051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1051</v>
      </c>
      <c r="C3588" s="2" t="s">
        <v>594</v>
      </c>
      <c r="D3588" s="2" t="str">
        <f t="shared" si="55"/>
        <v>Error?</v>
      </c>
    </row>
    <row r="3589" spans="1:4" x14ac:dyDescent="0.2">
      <c r="A3589" s="5">
        <v>3528</v>
      </c>
      <c r="B3589" s="138">
        <f>'Acct Summary 7-8'!K79</f>
        <v>112308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113359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1051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2886310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11061185</v>
      </c>
      <c r="C4122" s="2" t="s">
        <v>594</v>
      </c>
      <c r="D4122" s="2" t="str">
        <f t="shared" si="63"/>
        <v>Error?</v>
      </c>
    </row>
    <row r="4123" spans="1:4" x14ac:dyDescent="0.2">
      <c r="A4123" s="5">
        <v>4062</v>
      </c>
      <c r="B4123" s="138">
        <f>'Acct Summary 7-8'!D10</f>
        <v>1655146</v>
      </c>
      <c r="C4123" s="2" t="s">
        <v>594</v>
      </c>
      <c r="D4123" s="2" t="str">
        <f t="shared" si="63"/>
        <v>Error?</v>
      </c>
    </row>
    <row r="4124" spans="1:4" x14ac:dyDescent="0.2">
      <c r="A4124" s="5">
        <v>4063</v>
      </c>
      <c r="B4124" s="138">
        <f>'Acct Summary 7-8'!E10</f>
        <v>505617</v>
      </c>
      <c r="C4124" s="2" t="s">
        <v>594</v>
      </c>
      <c r="D4124" s="2" t="str">
        <f t="shared" si="63"/>
        <v>Error?</v>
      </c>
    </row>
    <row r="4125" spans="1:4" x14ac:dyDescent="0.2">
      <c r="A4125" s="5">
        <v>4064</v>
      </c>
      <c r="B4125" s="138">
        <f>'Acct Summary 7-8'!F10</f>
        <v>217100</v>
      </c>
      <c r="C4125" s="2" t="s">
        <v>594</v>
      </c>
      <c r="D4125" s="2" t="str">
        <f t="shared" si="63"/>
        <v>Error?</v>
      </c>
    </row>
    <row r="4126" spans="1:4" x14ac:dyDescent="0.2">
      <c r="A4126" s="5">
        <v>4065</v>
      </c>
      <c r="B4126" s="138">
        <f>'Acct Summary 7-8'!G10</f>
        <v>321435</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166604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1051</v>
      </c>
      <c r="C4130" s="2" t="s">
        <v>594</v>
      </c>
      <c r="D4130" s="2" t="str">
        <f t="shared" si="63"/>
        <v>Error?</v>
      </c>
    </row>
    <row r="4131" spans="1:4" x14ac:dyDescent="0.2">
      <c r="A4131" s="5">
        <v>4070</v>
      </c>
      <c r="B4131" s="138">
        <f>'Acct Summary 7-8'!C18</f>
        <v>2886310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10473903</v>
      </c>
      <c r="C4136" s="2" t="s">
        <v>594</v>
      </c>
      <c r="D4136" s="2" t="str">
        <f t="shared" si="63"/>
        <v>Error?</v>
      </c>
    </row>
    <row r="4137" spans="1:4" x14ac:dyDescent="0.2">
      <c r="A4137" s="5">
        <v>4076</v>
      </c>
      <c r="B4137" s="138">
        <f>'Acct Summary 7-8'!D19</f>
        <v>2002825</v>
      </c>
      <c r="C4137" s="2" t="s">
        <v>594</v>
      </c>
      <c r="D4137" s="2" t="str">
        <f t="shared" si="63"/>
        <v>Error?</v>
      </c>
    </row>
    <row r="4138" spans="1:4" x14ac:dyDescent="0.2">
      <c r="A4138" s="5">
        <v>4077</v>
      </c>
      <c r="B4138" s="138">
        <f>'Acct Summary 7-8'!E19</f>
        <v>509075</v>
      </c>
      <c r="C4138" s="2" t="s">
        <v>594</v>
      </c>
      <c r="D4138" s="2" t="str">
        <f t="shared" si="63"/>
        <v>Error?</v>
      </c>
    </row>
    <row r="4139" spans="1:4" x14ac:dyDescent="0.2">
      <c r="A4139" s="5">
        <v>4078</v>
      </c>
      <c r="B4139" s="138">
        <f>'Acct Summary 7-8'!F19</f>
        <v>448394</v>
      </c>
      <c r="C4139" s="2" t="s">
        <v>594</v>
      </c>
      <c r="D4139" s="2" t="str">
        <f t="shared" si="63"/>
        <v>Error?</v>
      </c>
    </row>
    <row r="4140" spans="1:4" x14ac:dyDescent="0.2">
      <c r="A4140" s="5">
        <v>4079</v>
      </c>
      <c r="B4140" s="138">
        <f>'Acct Summary 7-8'!G19</f>
        <v>246212</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5435000</v>
      </c>
      <c r="C4171" s="2" t="s">
        <v>594</v>
      </c>
      <c r="D4171" s="2" t="str">
        <f t="shared" si="64"/>
        <v>Error?</v>
      </c>
    </row>
    <row r="4172" spans="1:4" x14ac:dyDescent="0.2">
      <c r="A4172" s="5">
        <v>4111</v>
      </c>
      <c r="B4172" s="138">
        <f>'Short-Term Long-Term Debt 24'!J49</f>
        <v>4760056</v>
      </c>
      <c r="C4172" s="2" t="s">
        <v>594</v>
      </c>
      <c r="D4172" s="2" t="str">
        <f t="shared" si="64"/>
        <v>Error?</v>
      </c>
    </row>
    <row r="4173" spans="1:4" x14ac:dyDescent="0.2">
      <c r="A4173" s="5">
        <v>4112</v>
      </c>
      <c r="B4173" s="138">
        <f>'Short-Term Long-Term Debt 24'!H49</f>
        <v>280000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2123.6999999999998</v>
      </c>
      <c r="C4265" s="2" t="s">
        <v>594</v>
      </c>
      <c r="D4265" s="2" t="str">
        <f t="shared" si="65"/>
        <v>Error?</v>
      </c>
      <c r="E4265" s="128"/>
    </row>
    <row r="4266" spans="1:5" x14ac:dyDescent="0.2">
      <c r="A4266" s="12">
        <v>4205</v>
      </c>
      <c r="B4266" s="138">
        <f>('FP Info 3'!F10)*100000</f>
        <v>438.6</v>
      </c>
      <c r="C4266" s="2" t="s">
        <v>594</v>
      </c>
      <c r="D4266" s="2" t="str">
        <f t="shared" si="65"/>
        <v>Error?</v>
      </c>
      <c r="E4266" s="128"/>
    </row>
    <row r="4267" spans="1:5" x14ac:dyDescent="0.2">
      <c r="A4267" s="12">
        <v>4206</v>
      </c>
      <c r="B4267" s="138">
        <f>('FP Info 3'!H10)*100000</f>
        <v>0.79999999999999993</v>
      </c>
      <c r="C4267" s="2" t="s">
        <v>594</v>
      </c>
      <c r="D4267" s="2" t="str">
        <f t="shared" si="65"/>
        <v>Error?</v>
      </c>
      <c r="E4267" s="128"/>
    </row>
    <row r="4268" spans="1:5" x14ac:dyDescent="0.2">
      <c r="A4268" s="12">
        <v>4207</v>
      </c>
      <c r="B4268" s="138">
        <f>('FP Info 3'!J10)*100000</f>
        <v>2563</v>
      </c>
      <c r="C4268" s="2" t="s">
        <v>594</v>
      </c>
      <c r="D4268" s="2" t="str">
        <f t="shared" si="65"/>
        <v>Error?</v>
      </c>
    </row>
    <row r="4269" spans="1:5" x14ac:dyDescent="0.2">
      <c r="A4269" s="12">
        <v>4208</v>
      </c>
      <c r="B4269" s="138">
        <f>'FP Info 3'!J16</f>
        <v>12617501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-517</v>
      </c>
      <c r="D4300" s="2" t="str">
        <f t="shared" si="66"/>
        <v>Error?</v>
      </c>
    </row>
    <row r="4301" spans="1:4" x14ac:dyDescent="0.2">
      <c r="A4301" s="5">
        <v>4240</v>
      </c>
      <c r="B4301" s="138">
        <f>'Rest Tax Levies-Tort Im 25'!G37</f>
        <v>19505</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53022</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49926</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18605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69228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27609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47.4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316881629</v>
      </c>
      <c r="D4995" s="2" t="str">
        <f t="shared" si="77"/>
        <v>Error?</v>
      </c>
    </row>
    <row r="4996" spans="1:4" x14ac:dyDescent="0.2">
      <c r="A4996" s="12">
        <v>4935</v>
      </c>
      <c r="B4996" s="138">
        <f>'FP Info 3'!H31</f>
        <v>21864832.401000001</v>
      </c>
      <c r="D4996" s="2" t="str">
        <f t="shared" si="77"/>
        <v>Error?</v>
      </c>
    </row>
    <row r="4997" spans="1:4" x14ac:dyDescent="0.2">
      <c r="A4997" s="12">
        <v>4936</v>
      </c>
      <c r="B4997" s="138">
        <f>'FP Info 3'!H37</f>
        <v>5435000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6262335</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6262335</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210276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210276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259</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259</v>
      </c>
      <c r="C5087" s="2" t="s">
        <v>594</v>
      </c>
      <c r="D5087" s="2" t="str">
        <f t="shared" si="78"/>
        <v>Error?</v>
      </c>
    </row>
    <row r="5088" spans="1:4" x14ac:dyDescent="0.2">
      <c r="A5088" s="5">
        <v>5027</v>
      </c>
      <c r="B5088" s="138">
        <f>'Revenues 9-14'!C65</f>
        <v>69475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69475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26736</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10789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10789</v>
      </c>
      <c r="C5102" s="2" t="s">
        <v>594</v>
      </c>
      <c r="D5102" s="2" t="str">
        <f t="shared" si="78"/>
        <v>Error?</v>
      </c>
    </row>
    <row r="5103" spans="1:4" x14ac:dyDescent="0.2">
      <c r="A5103" s="5">
        <v>5042</v>
      </c>
      <c r="B5103" s="138">
        <f>'Revenues 9-14'!C84</f>
        <v>92526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92526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1050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63940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33324</v>
      </c>
      <c r="D5119" s="2" t="str">
        <f t="shared" ref="D5119:D5182" si="79">IF(ISBLANK(B5119),"OK",IF(A5119-B5119=0,"OK","Error?"))</f>
        <v>Error?</v>
      </c>
    </row>
    <row r="5120" spans="1:4" x14ac:dyDescent="0.2">
      <c r="A5120" s="5">
        <v>5059</v>
      </c>
      <c r="B5120" s="138">
        <f>'Revenues 9-14'!C108</f>
        <v>100174</v>
      </c>
      <c r="C5120" s="2" t="s">
        <v>594</v>
      </c>
      <c r="D5120" s="2" t="str">
        <f t="shared" si="79"/>
        <v>Error?</v>
      </c>
    </row>
    <row r="5121" spans="1:4" x14ac:dyDescent="0.2">
      <c r="A5121" s="5">
        <v>5060</v>
      </c>
      <c r="B5121" s="138">
        <f>'Revenues 9-14'!C109</f>
        <v>6772570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739099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739099</v>
      </c>
      <c r="C5132" s="2" t="s">
        <v>594</v>
      </c>
      <c r="D5132" s="2" t="str">
        <f t="shared" si="79"/>
        <v>Error?</v>
      </c>
    </row>
    <row r="5133" spans="1:4" x14ac:dyDescent="0.2">
      <c r="A5133" s="5">
        <v>5072</v>
      </c>
      <c r="B5133" s="138">
        <f>'Revenues 9-14'!C124</f>
        <v>10190</v>
      </c>
      <c r="D5133" s="2" t="str">
        <f t="shared" si="79"/>
        <v>Error?</v>
      </c>
    </row>
    <row r="5134" spans="1:4" x14ac:dyDescent="0.2">
      <c r="A5134" s="5">
        <v>5073</v>
      </c>
      <c r="B5134" s="138">
        <f>'Revenues 9-14'!C125</f>
        <v>43171</v>
      </c>
      <c r="D5134" s="2" t="str">
        <f t="shared" si="79"/>
        <v>Error?</v>
      </c>
    </row>
    <row r="5135" spans="1:4" x14ac:dyDescent="0.2">
      <c r="A5135" s="5">
        <v>5074</v>
      </c>
      <c r="B5135" s="138">
        <f>'Revenues 9-14'!C126</f>
        <v>109591</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689</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163641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16556</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16556</v>
      </c>
      <c r="C5165" s="2" t="s">
        <v>594</v>
      </c>
      <c r="D5165" s="2" t="str">
        <f t="shared" si="79"/>
        <v>Error?</v>
      </c>
    </row>
    <row r="5166" spans="1:4" x14ac:dyDescent="0.2">
      <c r="A5166" s="10">
        <v>5105</v>
      </c>
      <c r="D5166" s="2" t="str">
        <f t="shared" si="79"/>
        <v>OK</v>
      </c>
    </row>
    <row r="5167" spans="1:4" x14ac:dyDescent="0.2">
      <c r="A5167" s="5">
        <v>5106</v>
      </c>
      <c r="B5167" s="138">
        <f>'Revenues 9-14'!C145</f>
        <v>869</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181816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920915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68360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68360</v>
      </c>
      <c r="C5246" s="2" t="s">
        <v>594</v>
      </c>
      <c r="D5246" s="2" t="str">
        <f t="shared" si="80"/>
        <v>Error?</v>
      </c>
    </row>
    <row r="5247" spans="1:4" x14ac:dyDescent="0.2">
      <c r="A5247" s="5">
        <v>5186</v>
      </c>
      <c r="B5247" s="138">
        <f>'Revenues 9-14'!C203</f>
        <v>97385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97385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13346</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185349</v>
      </c>
      <c r="D5278" s="2" t="str">
        <f t="shared" si="81"/>
        <v>Error?</v>
      </c>
    </row>
    <row r="5279" spans="1:4" x14ac:dyDescent="0.2">
      <c r="A5279" s="5">
        <v>5218</v>
      </c>
      <c r="B5279" s="138">
        <f>'Revenues 9-14'!C221</f>
        <v>1508</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200203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481390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481390</v>
      </c>
      <c r="C5326" s="2" t="s">
        <v>594</v>
      </c>
      <c r="D5326" s="2" t="str">
        <f t="shared" si="82"/>
        <v>Error?</v>
      </c>
    </row>
    <row r="5327" spans="1:4" x14ac:dyDescent="0.2">
      <c r="A5327" s="5">
        <v>5266</v>
      </c>
      <c r="B5327" s="138">
        <f>'Revenues 9-14'!C275</f>
        <v>8174875</v>
      </c>
      <c r="C5327" s="2" t="s">
        <v>594</v>
      </c>
      <c r="D5327" s="2" t="str">
        <f t="shared" si="82"/>
        <v>Error?</v>
      </c>
    </row>
    <row r="5328" spans="1:4" x14ac:dyDescent="0.2">
      <c r="A5328" s="5">
        <v>5267</v>
      </c>
      <c r="B5328" s="138">
        <f>'Revenues 9-14'!D5</f>
        <v>1518905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1518905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70092</v>
      </c>
      <c r="D5337" s="2" t="str">
        <f t="shared" si="82"/>
        <v>Error?</v>
      </c>
    </row>
    <row r="5338" spans="1:4" x14ac:dyDescent="0.2">
      <c r="A5338" s="5">
        <v>5277</v>
      </c>
      <c r="B5338" s="138">
        <f>'Revenues 9-14'!D17</f>
        <v>0</v>
      </c>
      <c r="D5338" s="2" t="str">
        <f t="shared" si="82"/>
        <v>Error?</v>
      </c>
    </row>
    <row r="5339" spans="1:4" x14ac:dyDescent="0.2">
      <c r="A5339" s="5">
        <v>5278</v>
      </c>
      <c r="B5339" s="138">
        <f>'Revenues 9-14'!D18</f>
        <v>70092</v>
      </c>
      <c r="C5339" s="2" t="s">
        <v>594</v>
      </c>
      <c r="D5339" s="2" t="str">
        <f t="shared" si="82"/>
        <v>Error?</v>
      </c>
    </row>
    <row r="5340" spans="1:4" x14ac:dyDescent="0.2">
      <c r="A5340" s="5">
        <v>5279</v>
      </c>
      <c r="B5340" s="138">
        <f>'Revenues 9-14'!D65</f>
        <v>16351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16351</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49089</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709</v>
      </c>
      <c r="D5354" s="2" t="str">
        <f t="shared" si="82"/>
        <v>Error?</v>
      </c>
    </row>
    <row r="5355" spans="1:4" x14ac:dyDescent="0.2">
      <c r="A5355" s="5">
        <v>5294</v>
      </c>
      <c r="B5355" s="138">
        <f>'Revenues 9-14'!D108</f>
        <v>49798</v>
      </c>
      <c r="C5355" s="2" t="s">
        <v>594</v>
      </c>
      <c r="D5355" s="2" t="str">
        <f t="shared" si="82"/>
        <v>Error?</v>
      </c>
    </row>
    <row r="5356" spans="1:4" x14ac:dyDescent="0.2">
      <c r="A5356" s="5">
        <v>5295</v>
      </c>
      <c r="B5356" s="138">
        <f>'Revenues 9-14'!D109</f>
        <v>1655146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1655146</v>
      </c>
      <c r="C5508" s="2" t="s">
        <v>594</v>
      </c>
      <c r="D5508" s="2" t="str">
        <f t="shared" si="85"/>
        <v>Error?</v>
      </c>
    </row>
    <row r="5509" spans="1:4" x14ac:dyDescent="0.2">
      <c r="A5509" s="5">
        <v>5448</v>
      </c>
      <c r="B5509" s="138">
        <f>'Revenues 9-14'!E5</f>
        <v>499808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499808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5809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5809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505617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505617</v>
      </c>
      <c r="C5552" s="2" t="s">
        <v>594</v>
      </c>
      <c r="D5552" s="2" t="str">
        <f t="shared" si="85"/>
        <v>Error?</v>
      </c>
    </row>
    <row r="5553" spans="1:4" x14ac:dyDescent="0.2">
      <c r="A5553" s="5">
        <v>5492</v>
      </c>
      <c r="B5553" s="138">
        <f>'Revenues 9-14'!F5</f>
        <v>5317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5317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7193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7193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12510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115197</v>
      </c>
      <c r="D5615" s="2" t="str">
        <f t="shared" si="86"/>
        <v>Error?</v>
      </c>
    </row>
    <row r="5616" spans="1:4" x14ac:dyDescent="0.2">
      <c r="A5616" s="10">
        <v>5555</v>
      </c>
      <c r="D5616" s="2" t="str">
        <f t="shared" si="86"/>
        <v>OK</v>
      </c>
    </row>
    <row r="5617" spans="1:4" x14ac:dyDescent="0.2">
      <c r="A5617" s="5">
        <v>5556</v>
      </c>
      <c r="B5617" s="138">
        <f>'Revenues 9-14'!F152</f>
        <v>89393</v>
      </c>
      <c r="D5617" s="2" t="str">
        <f t="shared" si="86"/>
        <v>Error?</v>
      </c>
    </row>
    <row r="5618" spans="1:4" x14ac:dyDescent="0.2">
      <c r="A5618" s="5">
        <v>5557</v>
      </c>
      <c r="B5618" s="138">
        <f>'Revenues 9-14'!F154</f>
        <v>204590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204590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204590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217100</v>
      </c>
      <c r="C5720" s="2" t="s">
        <v>594</v>
      </c>
      <c r="D5720" s="2" t="str">
        <f t="shared" si="88"/>
        <v>Error?</v>
      </c>
    </row>
    <row r="5721" spans="1:4" x14ac:dyDescent="0.2">
      <c r="A5721" s="5">
        <v>5660</v>
      </c>
      <c r="B5721" s="138">
        <f>'Revenues 9-14'!G5</f>
        <v>147493</v>
      </c>
      <c r="D5721" s="2" t="str">
        <f t="shared" si="88"/>
        <v>Error?</v>
      </c>
    </row>
    <row r="5722" spans="1:4" x14ac:dyDescent="0.2">
      <c r="A5722" s="5">
        <v>5661</v>
      </c>
      <c r="B5722" s="138">
        <f>'Revenues 9-14'!G7</f>
        <v>0</v>
      </c>
      <c r="D5722" s="2" t="str">
        <f t="shared" si="88"/>
        <v>Error?</v>
      </c>
    </row>
    <row r="5723" spans="1:4" x14ac:dyDescent="0.2">
      <c r="A5723" s="5">
        <v>5662</v>
      </c>
      <c r="B5723" s="138">
        <f>'Revenues 9-14'!G8</f>
        <v>147493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294986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23803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23803</v>
      </c>
      <c r="C5730" s="2" t="s">
        <v>594</v>
      </c>
      <c r="D5730" s="2" t="str">
        <f t="shared" si="88"/>
        <v>Error?</v>
      </c>
    </row>
    <row r="5731" spans="1:4" x14ac:dyDescent="0.2">
      <c r="A5731" s="5">
        <v>5670</v>
      </c>
      <c r="B5731" s="138">
        <f>'Revenues 9-14'!G65</f>
        <v>2646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2646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321435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142454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142454</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24150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24150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166604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1051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1051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1051</v>
      </c>
      <c r="C6023" s="2" t="s">
        <v>594</v>
      </c>
      <c r="D6023" s="2" t="str">
        <f t="shared" si="93"/>
        <v>Error?</v>
      </c>
    </row>
    <row r="6024" spans="1:5" x14ac:dyDescent="0.2">
      <c r="A6024" s="5">
        <v>5963</v>
      </c>
      <c r="B6024" s="138">
        <f>'Revenues 9-14'!G109</f>
        <v>321435</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166604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1051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26736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8888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612.65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-309</v>
      </c>
      <c r="D6142" s="2" t="str">
        <f t="shared" si="94"/>
        <v>Error?</v>
      </c>
      <c r="E6142" s="2" t="s">
        <v>199</v>
      </c>
    </row>
    <row r="6143" spans="1:5" x14ac:dyDescent="0.2">
      <c r="A6143">
        <v>6082</v>
      </c>
      <c r="B6143" s="138">
        <f>'Assets-Liab 5-6'!D27</f>
        <v>5719</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587282</v>
      </c>
      <c r="D6267" s="2" t="str">
        <f t="shared" si="96"/>
        <v>Error?</v>
      </c>
      <c r="E6267" s="2" t="s">
        <v>199</v>
      </c>
    </row>
    <row r="6268" spans="1:5" x14ac:dyDescent="0.2">
      <c r="A6268">
        <v>6207</v>
      </c>
      <c r="B6268" s="138">
        <f>'Acct Summary 7-8'!D82</f>
        <v>-347679</v>
      </c>
      <c r="D6268" s="2" t="str">
        <f t="shared" si="96"/>
        <v>Error?</v>
      </c>
      <c r="E6268" s="2" t="s">
        <v>199</v>
      </c>
    </row>
    <row r="6269" spans="1:5" x14ac:dyDescent="0.2">
      <c r="A6269">
        <v>6208</v>
      </c>
      <c r="B6269" s="138">
        <f>'Acct Summary 7-8'!E82</f>
        <v>-3458</v>
      </c>
      <c r="D6269" s="2" t="str">
        <f t="shared" si="96"/>
        <v>Error?</v>
      </c>
      <c r="E6269" s="2" t="s">
        <v>199</v>
      </c>
    </row>
    <row r="6270" spans="1:5" x14ac:dyDescent="0.2">
      <c r="A6270">
        <v>6209</v>
      </c>
      <c r="B6270" s="138">
        <f>'Acct Summary 7-8'!F82</f>
        <v>-231294</v>
      </c>
      <c r="D6270" s="2" t="str">
        <f t="shared" si="96"/>
        <v>Error?</v>
      </c>
      <c r="E6270" s="2" t="s">
        <v>199</v>
      </c>
    </row>
    <row r="6271" spans="1:5" x14ac:dyDescent="0.2">
      <c r="A6271">
        <v>6210</v>
      </c>
      <c r="B6271" s="138">
        <f>'Acct Summary 7-8'!G82</f>
        <v>75223</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166604</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1051</v>
      </c>
      <c r="D6275" s="2" t="str">
        <f t="shared" si="97"/>
        <v>Error?</v>
      </c>
      <c r="E6275" s="2" t="s">
        <v>199</v>
      </c>
    </row>
    <row r="6276" spans="1:5" x14ac:dyDescent="0.2">
      <c r="A6276">
        <v>6215</v>
      </c>
      <c r="B6276" s="138">
        <f>'Acct Summary 7-8'!C83</f>
        <v>7.3867722036034422E-2</v>
      </c>
      <c r="D6276" s="2" t="str">
        <f t="shared" si="97"/>
        <v>Error?</v>
      </c>
      <c r="E6276" s="2" t="s">
        <v>199</v>
      </c>
    </row>
    <row r="6277" spans="1:5" x14ac:dyDescent="0.2">
      <c r="A6277">
        <v>6216</v>
      </c>
      <c r="B6277" s="138">
        <f>'Acct Summary 7-8'!D83</f>
        <v>-0.25651186245352886</v>
      </c>
      <c r="D6277" s="2" t="str">
        <f t="shared" si="97"/>
        <v>Error?</v>
      </c>
      <c r="E6277" s="2" t="s">
        <v>199</v>
      </c>
    </row>
    <row r="6278" spans="1:5" x14ac:dyDescent="0.2">
      <c r="A6278">
        <v>6217</v>
      </c>
      <c r="B6278" s="138">
        <f>'Acct Summary 7-8'!E83</f>
        <v>-5.1233880144130476E-3</v>
      </c>
      <c r="D6278" s="2" t="str">
        <f t="shared" si="97"/>
        <v>Error?</v>
      </c>
      <c r="E6278" s="2" t="s">
        <v>199</v>
      </c>
    </row>
    <row r="6279" spans="1:5" x14ac:dyDescent="0.2">
      <c r="A6279">
        <v>6218</v>
      </c>
      <c r="B6279" s="138">
        <f>'Acct Summary 7-8'!F83</f>
        <v>-0.36506463374212794</v>
      </c>
      <c r="D6279" s="2" t="str">
        <f t="shared" si="97"/>
        <v>Error?</v>
      </c>
      <c r="E6279" s="2" t="s">
        <v>199</v>
      </c>
    </row>
    <row r="6280" spans="1:5" x14ac:dyDescent="0.2">
      <c r="A6280">
        <v>6219</v>
      </c>
      <c r="B6280" s="138">
        <f>'Acct Summary 7-8'!G83</f>
        <v>0.21748482842166436</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6.2210588615287533E-2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9.2714297056254915E-3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1860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400579</v>
      </c>
      <c r="D6983" s="2" t="str">
        <f t="shared" si="108"/>
        <v>Error?</v>
      </c>
    </row>
    <row r="6984" spans="1:4" x14ac:dyDescent="0.2">
      <c r="A6984">
        <v>6923</v>
      </c>
      <c r="B6984" s="138">
        <f>'Expenditures 15-22'!K86</f>
        <v>400579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400579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478088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32040</v>
      </c>
      <c r="D7797" s="2" t="str">
        <f t="shared" si="127"/>
        <v>Error?</v>
      </c>
      <c r="E7797" s="4" t="s">
        <v>2019</v>
      </c>
    </row>
    <row r="7798" spans="1:5" x14ac:dyDescent="0.2">
      <c r="A7798">
        <v>7737</v>
      </c>
      <c r="B7798" s="138">
        <f>'Contracts Paid in CY 29'!F141</f>
        <v>25000</v>
      </c>
      <c r="D7798" s="2" t="str">
        <f t="shared" si="127"/>
        <v>Error?</v>
      </c>
      <c r="E7798" s="4" t="s">
        <v>2019</v>
      </c>
    </row>
    <row r="7799" spans="1:5" x14ac:dyDescent="0.2">
      <c r="A7799">
        <v>7738</v>
      </c>
      <c r="B7799" s="138">
        <f>'Contracts Paid in CY 29'!G141</f>
        <v>7040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Medinah SD 11</v>
      </c>
      <c r="B7" s="2403"/>
      <c r="C7" s="2403"/>
      <c r="D7" s="2440"/>
      <c r="E7" s="2441">
        <f>COVER!A13</f>
        <v>19022011002</v>
      </c>
      <c r="F7" s="2442"/>
      <c r="G7" s="2409" t="str">
        <f>COVER!T23</f>
        <v>060-0003973</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Evans, Marshall and Pease, PC</v>
      </c>
      <c r="H9" s="2416"/>
      <c r="I9" s="2416"/>
      <c r="J9" s="2416"/>
      <c r="K9" s="2416"/>
      <c r="L9" s="2417"/>
    </row>
    <row r="10" spans="1:29" ht="13.5" customHeight="1" x14ac:dyDescent="0.2">
      <c r="A10" s="2399">
        <f>COVER!A38</f>
        <v>0</v>
      </c>
      <c r="B10" s="2400"/>
      <c r="C10" s="2400"/>
      <c r="D10" s="2400"/>
      <c r="E10" s="2400"/>
      <c r="F10" s="2401"/>
      <c r="G10" s="2415" t="str">
        <f>COVER!T17</f>
        <v>1875 Hicks Road</v>
      </c>
      <c r="H10" s="2428"/>
      <c r="I10" s="2428"/>
      <c r="J10" s="2428"/>
      <c r="K10" s="2428"/>
      <c r="L10" s="2429"/>
    </row>
    <row r="11" spans="1:29" ht="13.5" customHeight="1" x14ac:dyDescent="0.2">
      <c r="A11" s="1185" t="s">
        <v>1599</v>
      </c>
      <c r="B11" s="1186"/>
      <c r="C11" s="1187"/>
      <c r="D11" s="1192"/>
      <c r="E11" s="1187"/>
      <c r="F11" s="1191"/>
      <c r="G11" s="2415" t="str">
        <f>COVER!T19</f>
        <v>Rolling Meadows</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Jeff@empcpa.com</v>
      </c>
      <c r="J13" s="2437"/>
      <c r="K13" s="2437"/>
      <c r="L13" s="2438"/>
    </row>
    <row r="14" spans="1:29" ht="13.5" customHeight="1" x14ac:dyDescent="0.2">
      <c r="A14" s="2415" t="str">
        <f>COVER!A19</f>
        <v>700 East Granville</v>
      </c>
      <c r="B14" s="2428"/>
      <c r="C14" s="2428"/>
      <c r="D14" s="2428"/>
      <c r="E14" s="2428"/>
      <c r="F14" s="2429"/>
      <c r="G14" s="1196" t="s">
        <v>1247</v>
      </c>
      <c r="H14" s="1194"/>
      <c r="I14" s="1194"/>
      <c r="J14" s="1194"/>
      <c r="K14" s="1194"/>
      <c r="L14" s="1195"/>
    </row>
    <row r="15" spans="1:29" ht="13.5" customHeight="1" x14ac:dyDescent="0.2">
      <c r="A15" s="2415" t="str">
        <f>COVER!A21</f>
        <v>Roselle</v>
      </c>
      <c r="B15" s="2428"/>
      <c r="C15" s="2428"/>
      <c r="D15" s="2428"/>
      <c r="E15" s="2428"/>
      <c r="F15" s="2429"/>
      <c r="G15" s="2425" t="str">
        <f>COVER!T15</f>
        <v>Jeffery M. Rollefson, CPA</v>
      </c>
      <c r="H15" s="2426"/>
      <c r="I15" s="2426"/>
      <c r="J15" s="2426"/>
      <c r="K15" s="2426"/>
      <c r="L15" s="2427"/>
    </row>
    <row r="16" spans="1:29" ht="12.2" customHeight="1" x14ac:dyDescent="0.2">
      <c r="A16" s="2405">
        <f>COVER!A25</f>
        <v>60172</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847-221-5700</v>
      </c>
      <c r="H18" s="2403"/>
      <c r="I18" s="2403"/>
      <c r="J18" s="2403"/>
      <c r="K18" s="2402" t="str">
        <f>COVER!X21</f>
        <v>847-221-5701</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Medinah SD 11</v>
      </c>
      <c r="B1" s="2439"/>
      <c r="C1" s="2439"/>
      <c r="D1" s="2439"/>
    </row>
    <row r="2" spans="1:11" s="1215" customFormat="1" ht="12.75" x14ac:dyDescent="0.2">
      <c r="A2" s="2444">
        <f>'Single Audit Cover'!E7</f>
        <v>19022011002</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Medinah SD 11</v>
      </c>
      <c r="B1" s="2447"/>
      <c r="C1" s="2447"/>
      <c r="D1" s="2447"/>
      <c r="E1" s="2447"/>
    </row>
    <row r="2" spans="1:5" x14ac:dyDescent="0.2">
      <c r="A2" s="2448">
        <f>'Single Audit Cover'!E7</f>
        <v>19022011002</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481390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8888</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-69228</v>
      </c>
    </row>
    <row r="19" spans="1:4" ht="13.5" thickBot="1" x14ac:dyDescent="0.25">
      <c r="A19" s="1265" t="s">
        <v>1297</v>
      </c>
      <c r="D19" s="1266">
        <f>SUM(D10:D17)</f>
        <v>421050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421050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421050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Medinah SD 11</v>
      </c>
      <c r="B1" s="2452"/>
      <c r="C1" s="2452"/>
      <c r="D1" s="2452"/>
      <c r="E1" s="2452"/>
      <c r="F1" s="2452"/>
    </row>
    <row r="2" spans="1:7" ht="13.5" customHeight="1" x14ac:dyDescent="0.2">
      <c r="A2" s="2453">
        <f>'Single Audit Cover'!E7</f>
        <v>19022011002</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1832</v>
      </c>
      <c r="B7" s="2451"/>
      <c r="C7" s="2451"/>
      <c r="D7" s="2451"/>
      <c r="E7" s="2451"/>
      <c r="F7" s="245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1" t="s">
        <v>1834</v>
      </c>
      <c r="B13" s="2451"/>
      <c r="C13" s="2451"/>
      <c r="D13" s="2451"/>
      <c r="E13" s="2451"/>
      <c r="F13" s="2451"/>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61">
        <f>+C33+C34</f>
        <v>0</v>
      </c>
      <c r="F34" s="246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Medinah SD 11</v>
      </c>
      <c r="C1" s="2464"/>
      <c r="D1" s="2464"/>
      <c r="E1" s="2464"/>
      <c r="F1" s="2464"/>
      <c r="G1" s="2464"/>
      <c r="H1" s="2464"/>
      <c r="I1" s="2464"/>
      <c r="J1" s="2464"/>
      <c r="K1" s="2464"/>
      <c r="L1" s="2464"/>
      <c r="M1" s="2464"/>
    </row>
    <row r="2" spans="2:14" ht="15" x14ac:dyDescent="0.2">
      <c r="B2" s="2453">
        <f>'Single Audit Cover'!E7</f>
        <v>19022011002</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33512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2103</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Medinah SD 11</v>
      </c>
      <c r="C1" s="2472"/>
      <c r="D1" s="2472"/>
      <c r="E1" s="2472"/>
      <c r="F1" s="2472"/>
      <c r="G1" s="2472"/>
      <c r="H1" s="2472"/>
      <c r="I1" s="2472"/>
      <c r="J1" s="1422"/>
    </row>
    <row r="2" spans="2:10" s="317" customFormat="1" ht="12.75" customHeight="1" x14ac:dyDescent="0.2">
      <c r="B2" s="2473">
        <f>'Single Audit Cover'!E7</f>
        <v>19022011002</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9" t="s">
        <v>1854</v>
      </c>
      <c r="D37" s="2480"/>
      <c r="E37" s="2480"/>
      <c r="F37" s="2481"/>
      <c r="G37" s="2479" t="s">
        <v>1674</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0</v>
      </c>
      <c r="H43" s="2488"/>
      <c r="I43" s="2488"/>
    </row>
    <row r="44" spans="2:9" ht="12.75" customHeight="1" x14ac:dyDescent="0.2"/>
    <row r="45" spans="2:9" ht="12.75" customHeight="1" x14ac:dyDescent="0.2">
      <c r="B45" s="1435" t="s">
        <v>1951</v>
      </c>
      <c r="D45" s="2489">
        <v>0</v>
      </c>
      <c r="E45" s="249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Medinah SD 11</v>
      </c>
      <c r="C1" s="2471"/>
      <c r="D1" s="2471"/>
      <c r="E1" s="2471"/>
      <c r="F1" s="2471"/>
      <c r="G1" s="2471"/>
      <c r="H1" s="2471"/>
      <c r="I1" s="2471"/>
      <c r="J1" s="2471"/>
      <c r="K1" s="2471"/>
      <c r="L1" s="1374"/>
      <c r="M1" s="1374"/>
    </row>
    <row r="2" spans="1:13" ht="12" customHeight="1" x14ac:dyDescent="0.2">
      <c r="B2" s="2473">
        <f>'Single Audit Cover'!E7</f>
        <v>19022011002</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Medinah SD 11</v>
      </c>
      <c r="C1" s="2498"/>
      <c r="D1" s="2498"/>
      <c r="E1" s="2498"/>
      <c r="F1" s="2498"/>
      <c r="G1" s="2498"/>
      <c r="H1" s="2498"/>
      <c r="I1" s="2498"/>
      <c r="J1" s="2498"/>
      <c r="K1" s="2498"/>
      <c r="L1" s="1465"/>
    </row>
    <row r="2" spans="1:12" ht="12.75" customHeight="1" x14ac:dyDescent="0.2">
      <c r="B2" s="2499">
        <f>'Single Audit Cover'!E7</f>
        <v>19022011002</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Medinah SD 11</v>
      </c>
      <c r="C1" s="2471"/>
      <c r="D1" s="2471"/>
      <c r="E1" s="1491"/>
    </row>
    <row r="2" spans="2:5" s="1282" customFormat="1" ht="12.75" customHeight="1" x14ac:dyDescent="0.2">
      <c r="B2" s="2473">
        <f>'Single Audit Cover'!E7</f>
        <v>19022011002</v>
      </c>
      <c r="C2" s="2473"/>
      <c r="D2" s="2473"/>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316881629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2.1236999999999999E-2</v>
      </c>
      <c r="E10" s="356" t="s">
        <v>1062</v>
      </c>
      <c r="F10" s="355">
        <v>4.3860000000000001E-3</v>
      </c>
      <c r="G10" s="356" t="s">
        <v>1062</v>
      </c>
      <c r="H10" s="355">
        <v>7.9999999999999996E-6</v>
      </c>
      <c r="I10" s="356" t="s">
        <v>1063</v>
      </c>
      <c r="J10" s="1754">
        <f>ROUND(D10+F10+H10,5)</f>
        <v>2.563E-2</v>
      </c>
      <c r="K10" s="222"/>
      <c r="L10" s="355">
        <v>4.7399999999999997E-4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10213725</v>
      </c>
      <c r="E16" s="356"/>
      <c r="F16" s="1755">
        <f>SUM('Acct Summary 7-8'!C17,'Acct Summary 7-8'!D17,'Acct Summary 7-8'!F17)</f>
        <v>10038812</v>
      </c>
      <c r="G16" s="356"/>
      <c r="H16" s="1755">
        <f>SUM(D16-F16)</f>
        <v>174913</v>
      </c>
      <c r="I16" s="222"/>
      <c r="J16" s="1755">
        <f>SUM('Acct Summary 7-8'!C81,'Acct Summary 7-8'!D81,'Acct Summary 7-8'!F81,'Acct Summary 7-8'!I81)</f>
        <v>12617501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21864832.401000001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5435000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Medinah SD 11</v>
      </c>
      <c r="E7" s="391"/>
      <c r="G7" s="252"/>
      <c r="H7" s="387"/>
      <c r="I7" s="387"/>
      <c r="J7" s="387"/>
      <c r="K7" s="387"/>
      <c r="L7" s="329"/>
      <c r="M7" s="329"/>
      <c r="N7" s="329"/>
      <c r="O7" s="329"/>
      <c r="P7" s="329"/>
    </row>
    <row r="8" spans="1:18" ht="12.75" x14ac:dyDescent="0.2">
      <c r="A8" s="329"/>
      <c r="B8" s="329"/>
      <c r="C8" s="389" t="s">
        <v>1187</v>
      </c>
      <c r="D8" s="392">
        <f>COVER!A13</f>
        <v>19022011002</v>
      </c>
      <c r="E8" s="393"/>
      <c r="G8" s="329"/>
      <c r="H8" s="329"/>
      <c r="I8" s="329"/>
      <c r="J8" s="329"/>
      <c r="K8" s="329"/>
      <c r="L8" s="329"/>
      <c r="M8" s="329"/>
      <c r="N8" s="329"/>
      <c r="O8" s="329"/>
      <c r="P8" s="329"/>
    </row>
    <row r="9" spans="1:18" ht="12.75" x14ac:dyDescent="0.2">
      <c r="A9" s="329"/>
      <c r="B9" s="329"/>
      <c r="C9" s="389" t="s">
        <v>737</v>
      </c>
      <c r="D9" s="394" t="str">
        <f>COVER!A15</f>
        <v xml:space="preserve">Dupage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12617501</v>
      </c>
      <c r="I12" s="404"/>
      <c r="J12" s="404"/>
      <c r="K12" s="405">
        <f>TRUNC((H12/H13*100000),5)/100000</f>
        <v>1.2353476326999999</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10213725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10038812</v>
      </c>
      <c r="I17" s="404"/>
      <c r="J17" s="416"/>
      <c r="K17" s="405">
        <f>TRUNC((H17/H18*100000),5)/100000</f>
        <v>0.98287471019999995</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10213725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12622911</v>
      </c>
      <c r="I24" s="422"/>
      <c r="J24" s="422"/>
      <c r="K24" s="423">
        <f>TRUNC(((H24/H25*100000)/100000),2)</f>
        <v>452.66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27885.588889999999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6903424.7285799999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5435000</v>
      </c>
      <c r="I32" s="420"/>
      <c r="J32" s="420"/>
      <c r="K32" s="423">
        <f>TRUNC(100-((((H32/H33*100))*100)/100),2)</f>
        <v>75.14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21864832.401000001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24" activePane="bottomLeft" state="frozen"/>
      <selection activeCell="A47" sqref="A47"/>
      <selection pane="bottomLeft" activeCell="M19" sqref="M1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7950146</v>
      </c>
      <c r="D4" s="466">
        <v>1361130</v>
      </c>
      <c r="E4" s="466">
        <v>674944</v>
      </c>
      <c r="F4" s="466">
        <v>633570</v>
      </c>
      <c r="G4" s="466">
        <v>345877</v>
      </c>
      <c r="H4" s="466"/>
      <c r="I4" s="466">
        <v>2678065</v>
      </c>
      <c r="J4" s="467"/>
      <c r="K4" s="466">
        <v>113359</v>
      </c>
      <c r="L4" s="466">
        <v>42152</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7950146</v>
      </c>
      <c r="D13" s="1759">
        <f t="shared" ref="D13:L13" si="0">SUM(D4:D12)</f>
        <v>1361130</v>
      </c>
      <c r="E13" s="1759">
        <f t="shared" si="0"/>
        <v>674944</v>
      </c>
      <c r="F13" s="1759">
        <f t="shared" si="0"/>
        <v>633570</v>
      </c>
      <c r="G13" s="1759">
        <f t="shared" si="0"/>
        <v>345877</v>
      </c>
      <c r="H13" s="1759">
        <f t="shared" si="0"/>
        <v>0</v>
      </c>
      <c r="I13" s="1759">
        <f t="shared" si="0"/>
        <v>2678065</v>
      </c>
      <c r="J13" s="1759">
        <f t="shared" si="0"/>
        <v>0</v>
      </c>
      <c r="K13" s="1759">
        <f t="shared" si="0"/>
        <v>113359</v>
      </c>
      <c r="L13" s="1759">
        <f t="shared" si="0"/>
        <v>42152</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535856</v>
      </c>
      <c r="N16" s="484"/>
    </row>
    <row r="17" spans="1:14" s="485" customFormat="1" ht="12.75" customHeight="1" x14ac:dyDescent="0.2">
      <c r="A17" s="482" t="s">
        <v>1470</v>
      </c>
      <c r="B17" s="483">
        <v>230</v>
      </c>
      <c r="C17" s="477"/>
      <c r="D17" s="477"/>
      <c r="E17" s="477"/>
      <c r="F17" s="477"/>
      <c r="G17" s="477"/>
      <c r="H17" s="477"/>
      <c r="I17" s="477"/>
      <c r="J17" s="477"/>
      <c r="K17" s="477"/>
      <c r="L17" s="477"/>
      <c r="M17" s="467">
        <v>10835019</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3243555</v>
      </c>
      <c r="N19" s="484"/>
    </row>
    <row r="20" spans="1:14" s="485" customFormat="1" ht="12.75" customHeight="1" x14ac:dyDescent="0.2">
      <c r="A20" s="482" t="s">
        <v>1473</v>
      </c>
      <c r="B20" s="483">
        <v>260</v>
      </c>
      <c r="C20" s="477"/>
      <c r="D20" s="477"/>
      <c r="E20" s="477"/>
      <c r="F20" s="477"/>
      <c r="G20" s="477"/>
      <c r="H20" s="477"/>
      <c r="I20" s="477"/>
      <c r="J20" s="477"/>
      <c r="K20" s="477"/>
      <c r="L20" s="477"/>
      <c r="M20" s="467">
        <v>440936</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674944</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4760056</v>
      </c>
    </row>
    <row r="23" spans="1:14" ht="13.5" customHeight="1" thickBot="1" x14ac:dyDescent="0.25">
      <c r="A23" s="1758" t="s">
        <v>664</v>
      </c>
      <c r="B23" s="1763"/>
      <c r="C23" s="468"/>
      <c r="D23" s="468"/>
      <c r="E23" s="468"/>
      <c r="F23" s="468"/>
      <c r="G23" s="468"/>
      <c r="H23" s="468"/>
      <c r="I23" s="468"/>
      <c r="J23" s="468"/>
      <c r="K23" s="468"/>
      <c r="L23" s="468"/>
      <c r="M23" s="1710">
        <f>SUM(M15:M22)</f>
        <v>15055366</v>
      </c>
      <c r="N23" s="1710">
        <f>SUM(N21:N22)</f>
        <v>5435000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-309</v>
      </c>
      <c r="D27" s="467">
        <v>5719</v>
      </c>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42152</v>
      </c>
      <c r="M33" s="468"/>
      <c r="N33" s="469"/>
    </row>
    <row r="34" spans="1:14" ht="13.5" customHeight="1" thickBot="1" x14ac:dyDescent="0.25">
      <c r="A34" s="1760" t="s">
        <v>675</v>
      </c>
      <c r="B34" s="1761"/>
      <c r="C34" s="1762">
        <f>SUM(C25:C33)</f>
        <v>-309</v>
      </c>
      <c r="D34" s="1762">
        <f t="shared" ref="D34:K34" si="1">SUM(D25:D33)</f>
        <v>5719</v>
      </c>
      <c r="E34" s="1762">
        <f t="shared" si="1"/>
        <v>0</v>
      </c>
      <c r="F34" s="1762">
        <f t="shared" si="1"/>
        <v>0</v>
      </c>
      <c r="G34" s="1762">
        <f t="shared" si="1"/>
        <v>0</v>
      </c>
      <c r="H34" s="1762">
        <f t="shared" si="1"/>
        <v>0</v>
      </c>
      <c r="I34" s="1762">
        <f t="shared" si="1"/>
        <v>0</v>
      </c>
      <c r="J34" s="1762">
        <f t="shared" si="1"/>
        <v>0</v>
      </c>
      <c r="K34" s="1762">
        <f t="shared" si="1"/>
        <v>0</v>
      </c>
      <c r="L34" s="1743">
        <f>SUM(L33)</f>
        <v>42152</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5435000</v>
      </c>
    </row>
    <row r="37" spans="1:14" ht="13.5" thickBot="1" x14ac:dyDescent="0.25">
      <c r="A37" s="1758" t="s">
        <v>674</v>
      </c>
      <c r="B37" s="1763"/>
      <c r="C37" s="477"/>
      <c r="D37" s="477"/>
      <c r="E37" s="477"/>
      <c r="F37" s="477"/>
      <c r="G37" s="477"/>
      <c r="H37" s="477"/>
      <c r="I37" s="477"/>
      <c r="J37" s="477"/>
      <c r="K37" s="477"/>
      <c r="L37" s="480"/>
      <c r="M37" s="468"/>
      <c r="N37" s="1710">
        <f>SUM(N36:N36)</f>
        <v>5435000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7950455</v>
      </c>
      <c r="D39" s="466">
        <v>1355411</v>
      </c>
      <c r="E39" s="466">
        <v>674944</v>
      </c>
      <c r="F39" s="466">
        <v>633570</v>
      </c>
      <c r="G39" s="466">
        <v>345877</v>
      </c>
      <c r="H39" s="466"/>
      <c r="I39" s="466">
        <v>2678065</v>
      </c>
      <c r="J39" s="467"/>
      <c r="K39" s="466">
        <v>113359</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15055366</v>
      </c>
      <c r="N40" s="497"/>
    </row>
    <row r="41" spans="1:14" ht="13.5" customHeight="1" thickBot="1" x14ac:dyDescent="0.25">
      <c r="A41" s="1758" t="s">
        <v>676</v>
      </c>
      <c r="B41" s="1728"/>
      <c r="C41" s="1710">
        <f>(SUM(C34,C37,C38,C39))</f>
        <v>7950146</v>
      </c>
      <c r="D41" s="1710">
        <f t="shared" ref="D41:L41" si="2">SUM(D34,D37,D38:D39)</f>
        <v>1361130</v>
      </c>
      <c r="E41" s="1710">
        <f t="shared" si="2"/>
        <v>674944</v>
      </c>
      <c r="F41" s="1710">
        <f t="shared" si="2"/>
        <v>633570</v>
      </c>
      <c r="G41" s="1710">
        <f t="shared" si="2"/>
        <v>345877</v>
      </c>
      <c r="H41" s="1710">
        <f t="shared" si="2"/>
        <v>0</v>
      </c>
      <c r="I41" s="1710">
        <f t="shared" si="2"/>
        <v>2678065</v>
      </c>
      <c r="J41" s="1710">
        <f t="shared" si="2"/>
        <v>0</v>
      </c>
      <c r="K41" s="1710">
        <f t="shared" si="2"/>
        <v>113359</v>
      </c>
      <c r="L41" s="1710">
        <f t="shared" si="2"/>
        <v>42152</v>
      </c>
      <c r="M41" s="1710">
        <f>SUM(M40)</f>
        <v>15055366</v>
      </c>
      <c r="N41" s="1710">
        <f>SUM(N37)</f>
        <v>5435000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D80" sqref="D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6772570</v>
      </c>
      <c r="D4" s="1764">
        <f>'Revenues 9-14'!D109</f>
        <v>1655146</v>
      </c>
      <c r="E4" s="1764">
        <f>'Revenues 9-14'!E109</f>
        <v>505617</v>
      </c>
      <c r="F4" s="1764">
        <f>'Revenues 9-14'!F109</f>
        <v>12510</v>
      </c>
      <c r="G4" s="1764">
        <f>'Revenues 9-14'!G109</f>
        <v>321435</v>
      </c>
      <c r="H4" s="1764">
        <f>'Revenues 9-14'!H109</f>
        <v>0</v>
      </c>
      <c r="I4" s="1764">
        <f>'Revenues 9-14'!I109</f>
        <v>166604</v>
      </c>
      <c r="J4" s="1764">
        <f>'Revenues 9-14'!J109</f>
        <v>0</v>
      </c>
      <c r="K4" s="1764">
        <f>'Revenues 9-14'!K109</f>
        <v>1051</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920915</v>
      </c>
      <c r="D6" s="1765">
        <f>'Revenues 9-14'!D173</f>
        <v>0</v>
      </c>
      <c r="E6" s="1765">
        <f>'Revenues 9-14'!E173</f>
        <v>0</v>
      </c>
      <c r="F6" s="1765">
        <f>'Revenues 9-14'!F173</f>
        <v>204590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481390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8174875</v>
      </c>
      <c r="D8" s="1710">
        <f t="shared" ref="D8:K8" si="0">SUM(D4:D7)</f>
        <v>1655146</v>
      </c>
      <c r="E8" s="1710">
        <f t="shared" si="0"/>
        <v>505617</v>
      </c>
      <c r="F8" s="1710">
        <f t="shared" si="0"/>
        <v>217100</v>
      </c>
      <c r="G8" s="1710">
        <f t="shared" si="0"/>
        <v>321435</v>
      </c>
      <c r="H8" s="1710">
        <f t="shared" si="0"/>
        <v>0</v>
      </c>
      <c r="I8" s="1710">
        <f t="shared" si="0"/>
        <v>166604</v>
      </c>
      <c r="J8" s="1710">
        <f t="shared" si="0"/>
        <v>0</v>
      </c>
      <c r="K8" s="1710">
        <f t="shared" si="0"/>
        <v>1051</v>
      </c>
      <c r="L8" s="347"/>
    </row>
    <row r="9" spans="1:13" ht="15.75" thickTop="1" x14ac:dyDescent="0.2">
      <c r="A9" s="514" t="s">
        <v>1752</v>
      </c>
      <c r="B9" s="515">
        <v>3998</v>
      </c>
      <c r="C9" s="481">
        <v>2886310</v>
      </c>
      <c r="D9" s="516"/>
      <c r="E9" s="481"/>
      <c r="F9" s="481"/>
      <c r="G9" s="517"/>
      <c r="H9" s="481"/>
      <c r="I9" s="509" t="s">
        <v>1231</v>
      </c>
      <c r="J9" s="478"/>
      <c r="K9" s="481"/>
      <c r="L9" s="347"/>
    </row>
    <row r="10" spans="1:13" s="519" customFormat="1" ht="13.5" thickBot="1" x14ac:dyDescent="0.25">
      <c r="A10" s="1758" t="s">
        <v>1235</v>
      </c>
      <c r="B10" s="1731"/>
      <c r="C10" s="1710">
        <f>SUM(C8:C9)</f>
        <v>11061185</v>
      </c>
      <c r="D10" s="1710">
        <f t="shared" ref="D10:K10" si="1">SUM(D8:D9)</f>
        <v>1655146</v>
      </c>
      <c r="E10" s="1710">
        <f t="shared" si="1"/>
        <v>505617</v>
      </c>
      <c r="F10" s="1710">
        <f t="shared" si="1"/>
        <v>217100</v>
      </c>
      <c r="G10" s="1710">
        <f t="shared" si="1"/>
        <v>321435</v>
      </c>
      <c r="H10" s="1710">
        <f t="shared" si="1"/>
        <v>0</v>
      </c>
      <c r="I10" s="1710">
        <f t="shared" si="1"/>
        <v>166604</v>
      </c>
      <c r="J10" s="1710">
        <f t="shared" si="1"/>
        <v>0</v>
      </c>
      <c r="K10" s="1710">
        <f t="shared" si="1"/>
        <v>1051</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4434825</v>
      </c>
      <c r="D12" s="520" t="s">
        <v>1231</v>
      </c>
      <c r="E12" s="468" t="s">
        <v>1231</v>
      </c>
      <c r="F12" s="468" t="s">
        <v>1231</v>
      </c>
      <c r="G12" s="1764">
        <f>'Expenditures 15-22'!K229</f>
        <v>91998</v>
      </c>
      <c r="H12" s="521"/>
      <c r="I12" s="468" t="s">
        <v>1231</v>
      </c>
      <c r="J12" s="468" t="s">
        <v>1231</v>
      </c>
      <c r="K12" s="521" t="s">
        <v>1231</v>
      </c>
      <c r="L12" s="347"/>
    </row>
    <row r="13" spans="1:13" ht="15.75" customHeight="1" x14ac:dyDescent="0.2">
      <c r="A13" s="1598" t="s">
        <v>477</v>
      </c>
      <c r="B13" s="1600">
        <v>2000</v>
      </c>
      <c r="C13" s="1765">
        <f>'Expenditures 15-22'!K74</f>
        <v>2640493</v>
      </c>
      <c r="D13" s="1765">
        <f>'Expenditures 15-22'!K129</f>
        <v>2002825</v>
      </c>
      <c r="E13" s="469" t="s">
        <v>1231</v>
      </c>
      <c r="F13" s="1765">
        <f>'Expenditures 15-22'!K184</f>
        <v>448394</v>
      </c>
      <c r="G13" s="1765">
        <f>'Expenditures 15-22'!K279</f>
        <v>154214</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512275</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509075</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7587593</v>
      </c>
      <c r="D17" s="1710">
        <f t="shared" si="2"/>
        <v>2002825</v>
      </c>
      <c r="E17" s="1710">
        <f t="shared" si="2"/>
        <v>509075</v>
      </c>
      <c r="F17" s="1710">
        <f t="shared" si="2"/>
        <v>448394</v>
      </c>
      <c r="G17" s="1710">
        <f t="shared" si="2"/>
        <v>246212</v>
      </c>
      <c r="H17" s="1710">
        <f t="shared" si="2"/>
        <v>0</v>
      </c>
      <c r="I17" s="468"/>
      <c r="J17" s="1710">
        <f>SUM(J12:J16)</f>
        <v>0</v>
      </c>
      <c r="K17" s="1710">
        <f>SUM(K12:K16)</f>
        <v>0</v>
      </c>
      <c r="L17" s="347"/>
    </row>
    <row r="18" spans="1:12" ht="15" customHeight="1" thickTop="1" x14ac:dyDescent="0.2">
      <c r="A18" s="1766" t="s">
        <v>1753</v>
      </c>
      <c r="B18" s="1767">
        <v>4180</v>
      </c>
      <c r="C18" s="1764">
        <f t="shared" ref="C18:H18" si="3">C9</f>
        <v>2886310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10473903</v>
      </c>
      <c r="D19" s="1710">
        <f t="shared" si="4"/>
        <v>2002825</v>
      </c>
      <c r="E19" s="1710">
        <f t="shared" si="4"/>
        <v>509075</v>
      </c>
      <c r="F19" s="1710">
        <f t="shared" si="4"/>
        <v>448394</v>
      </c>
      <c r="G19" s="1710">
        <f t="shared" si="4"/>
        <v>246212</v>
      </c>
      <c r="H19" s="1710">
        <f t="shared" si="4"/>
        <v>0</v>
      </c>
      <c r="I19" s="468"/>
      <c r="J19" s="1710">
        <f>SUM(J17:J18)</f>
        <v>0</v>
      </c>
      <c r="K19" s="1710">
        <f>SUM(K17:K18)</f>
        <v>0</v>
      </c>
      <c r="L19" s="347"/>
    </row>
    <row r="20" spans="1:12" ht="16.5" thickTop="1" thickBot="1" x14ac:dyDescent="0.25">
      <c r="A20" s="2144" t="s">
        <v>1754</v>
      </c>
      <c r="B20" s="2145"/>
      <c r="C20" s="1768">
        <f>C8-C17</f>
        <v>587282</v>
      </c>
      <c r="D20" s="1768">
        <f t="shared" ref="D20:K20" si="5">D8-D17</f>
        <v>-347679</v>
      </c>
      <c r="E20" s="1768">
        <f t="shared" si="5"/>
        <v>-3458</v>
      </c>
      <c r="F20" s="1768">
        <f t="shared" si="5"/>
        <v>-231294</v>
      </c>
      <c r="G20" s="1768">
        <f t="shared" si="5"/>
        <v>75223</v>
      </c>
      <c r="H20" s="1768">
        <f t="shared" si="5"/>
        <v>0</v>
      </c>
      <c r="I20" s="1768">
        <f t="shared" si="5"/>
        <v>166604</v>
      </c>
      <c r="J20" s="1768">
        <f t="shared" si="5"/>
        <v>0</v>
      </c>
      <c r="K20" s="1768">
        <f t="shared" si="5"/>
        <v>1051</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587282</v>
      </c>
      <c r="D78" s="1724">
        <f t="shared" si="9"/>
        <v>-347679</v>
      </c>
      <c r="E78" s="1724">
        <f t="shared" si="9"/>
        <v>-3458</v>
      </c>
      <c r="F78" s="1724">
        <f t="shared" si="9"/>
        <v>-231294</v>
      </c>
      <c r="G78" s="1724">
        <f t="shared" si="9"/>
        <v>75223</v>
      </c>
      <c r="H78" s="1724">
        <f t="shared" si="9"/>
        <v>0</v>
      </c>
      <c r="I78" s="1724">
        <f t="shared" si="9"/>
        <v>166604</v>
      </c>
      <c r="J78" s="1724">
        <f t="shared" si="9"/>
        <v>0</v>
      </c>
      <c r="K78" s="1724">
        <f t="shared" si="9"/>
        <v>1051</v>
      </c>
      <c r="L78" s="533"/>
    </row>
    <row r="79" spans="1:12" ht="13.5" thickTop="1" x14ac:dyDescent="0.2">
      <c r="A79" s="1516" t="s">
        <v>2071</v>
      </c>
      <c r="B79" s="534"/>
      <c r="C79" s="478">
        <v>7363173</v>
      </c>
      <c r="D79" s="535">
        <v>1703090</v>
      </c>
      <c r="E79" s="535">
        <v>678402</v>
      </c>
      <c r="F79" s="535">
        <v>864864</v>
      </c>
      <c r="G79" s="535">
        <v>270654</v>
      </c>
      <c r="H79" s="535"/>
      <c r="I79" s="535">
        <v>2511461</v>
      </c>
      <c r="J79" s="535"/>
      <c r="K79" s="535">
        <v>112308</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2072</v>
      </c>
      <c r="B81" s="2139"/>
      <c r="C81" s="1710">
        <f>(SUM(C78:C80))</f>
        <v>7950455</v>
      </c>
      <c r="D81" s="1710">
        <f>SUM(D78:D80)</f>
        <v>1355411</v>
      </c>
      <c r="E81" s="1710">
        <f t="shared" ref="E81:K81" si="10">SUM(E78:E80)</f>
        <v>674944</v>
      </c>
      <c r="F81" s="1710">
        <f t="shared" si="10"/>
        <v>633570</v>
      </c>
      <c r="G81" s="1710">
        <f t="shared" si="10"/>
        <v>345877</v>
      </c>
      <c r="H81" s="1710">
        <f t="shared" si="10"/>
        <v>0</v>
      </c>
      <c r="I81" s="1710">
        <f t="shared" si="10"/>
        <v>2678065</v>
      </c>
      <c r="J81" s="1710">
        <f t="shared" si="10"/>
        <v>0</v>
      </c>
      <c r="K81" s="1710">
        <f t="shared" si="10"/>
        <v>113359</v>
      </c>
      <c r="L81" s="347"/>
    </row>
    <row r="82" spans="1:12" ht="0.75" customHeight="1" thickTop="1" thickBot="1" x14ac:dyDescent="0.25">
      <c r="A82" s="536" t="s">
        <v>361</v>
      </c>
      <c r="B82" s="537"/>
      <c r="C82" s="538">
        <f>(C81-C79)</f>
        <v>587282</v>
      </c>
      <c r="D82" s="538">
        <f t="shared" ref="D82:K82" si="11">(D81-D79)</f>
        <v>-347679</v>
      </c>
      <c r="E82" s="538">
        <f t="shared" si="11"/>
        <v>-3458</v>
      </c>
      <c r="F82" s="538">
        <f t="shared" si="11"/>
        <v>-231294</v>
      </c>
      <c r="G82" s="538">
        <f t="shared" si="11"/>
        <v>75223</v>
      </c>
      <c r="H82" s="538">
        <f t="shared" si="11"/>
        <v>0</v>
      </c>
      <c r="I82" s="538">
        <f t="shared" si="11"/>
        <v>166604</v>
      </c>
      <c r="J82" s="538">
        <f t="shared" si="11"/>
        <v>0</v>
      </c>
      <c r="K82" s="538">
        <f t="shared" si="11"/>
        <v>1051</v>
      </c>
    </row>
    <row r="83" spans="1:12" ht="14.25" hidden="1" thickTop="1" thickBot="1" x14ac:dyDescent="0.25">
      <c r="A83" s="539" t="s">
        <v>362</v>
      </c>
      <c r="B83" s="464"/>
      <c r="C83" s="540">
        <f>C82/C81</f>
        <v>7.3867722036034422E-2</v>
      </c>
      <c r="D83" s="540">
        <f t="shared" ref="D83:K83" si="12">D82/D81</f>
        <v>-0.25651186245352886</v>
      </c>
      <c r="E83" s="540">
        <f t="shared" si="12"/>
        <v>-5.1233880144130476E-3</v>
      </c>
      <c r="F83" s="540">
        <f t="shared" si="12"/>
        <v>-0.36506463374212794</v>
      </c>
      <c r="G83" s="540">
        <f t="shared" si="12"/>
        <v>0.21748482842166436</v>
      </c>
      <c r="H83" s="540" t="e">
        <f t="shared" si="12"/>
        <v>#DIV/0!</v>
      </c>
      <c r="I83" s="540">
        <f t="shared" si="12"/>
        <v>6.2210588615287533E-2</v>
      </c>
      <c r="J83" s="540" t="e">
        <f t="shared" si="12"/>
        <v>#DIV/0!</v>
      </c>
      <c r="K83" s="540">
        <f t="shared" si="12"/>
        <v>9.2714297056254915E-3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6262335</v>
      </c>
      <c r="D5" s="481">
        <v>1518905</v>
      </c>
      <c r="E5" s="466">
        <v>499808</v>
      </c>
      <c r="F5" s="548">
        <v>5317</v>
      </c>
      <c r="G5" s="466">
        <v>147493</v>
      </c>
      <c r="H5" s="466"/>
      <c r="I5" s="466">
        <v>142454</v>
      </c>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v>147493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6262335</v>
      </c>
      <c r="D12" s="1729">
        <f t="shared" si="0"/>
        <v>1518905</v>
      </c>
      <c r="E12" s="1729">
        <f t="shared" si="0"/>
        <v>499808</v>
      </c>
      <c r="F12" s="1729">
        <f t="shared" si="0"/>
        <v>5317</v>
      </c>
      <c r="G12" s="1729">
        <f t="shared" si="0"/>
        <v>294986</v>
      </c>
      <c r="H12" s="1729">
        <f t="shared" si="0"/>
        <v>0</v>
      </c>
      <c r="I12" s="1729">
        <f t="shared" si="0"/>
        <v>142454</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210276</v>
      </c>
      <c r="D16" s="466">
        <v>70092</v>
      </c>
      <c r="E16" s="466"/>
      <c r="F16" s="466"/>
      <c r="G16" s="466">
        <v>23803</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210276</v>
      </c>
      <c r="D18" s="1732">
        <f t="shared" ref="D18:K18" si="1">SUM(D14:D17)</f>
        <v>70092</v>
      </c>
      <c r="E18" s="1732">
        <f t="shared" si="1"/>
        <v>0</v>
      </c>
      <c r="F18" s="1732">
        <f t="shared" si="1"/>
        <v>0</v>
      </c>
      <c r="G18" s="1732">
        <f t="shared" si="1"/>
        <v>23803</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259</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259</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69475</v>
      </c>
      <c r="D65" s="466">
        <v>16351</v>
      </c>
      <c r="E65" s="466">
        <v>5809</v>
      </c>
      <c r="F65" s="467">
        <v>7193</v>
      </c>
      <c r="G65" s="466">
        <v>2646</v>
      </c>
      <c r="H65" s="466"/>
      <c r="I65" s="466">
        <v>24150</v>
      </c>
      <c r="J65" s="467"/>
      <c r="K65" s="466">
        <v>1051</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69475</v>
      </c>
      <c r="D67" s="1710">
        <f t="shared" ref="D67:K67" si="2">SUM(D65:D66)</f>
        <v>16351</v>
      </c>
      <c r="E67" s="1710">
        <f t="shared" si="2"/>
        <v>5809</v>
      </c>
      <c r="F67" s="1710">
        <f t="shared" si="2"/>
        <v>7193</v>
      </c>
      <c r="G67" s="1710">
        <f t="shared" si="2"/>
        <v>2646</v>
      </c>
      <c r="H67" s="1710">
        <f t="shared" si="2"/>
        <v>0</v>
      </c>
      <c r="I67" s="1710">
        <f t="shared" si="2"/>
        <v>24150</v>
      </c>
      <c r="J67" s="1710">
        <f t="shared" si="2"/>
        <v>0</v>
      </c>
      <c r="K67" s="1710">
        <f t="shared" si="2"/>
        <v>1051</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26736</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26736</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10789</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10789</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92526</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92526</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1050</v>
      </c>
      <c r="D96" s="551">
        <v>49089</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63940</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v>1860</v>
      </c>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33324</v>
      </c>
      <c r="D107" s="466">
        <v>709</v>
      </c>
      <c r="E107" s="466"/>
      <c r="F107" s="466"/>
      <c r="G107" s="466"/>
      <c r="H107" s="466"/>
      <c r="I107" s="466"/>
      <c r="J107" s="467"/>
      <c r="K107" s="466"/>
    </row>
    <row r="108" spans="1:12" ht="12.75" customHeight="1" thickBot="1" x14ac:dyDescent="0.25">
      <c r="A108" s="1730" t="s">
        <v>508</v>
      </c>
      <c r="B108" s="1734"/>
      <c r="C108" s="1729">
        <f>SUM(C95:C107)</f>
        <v>100174</v>
      </c>
      <c r="D108" s="1729">
        <f t="shared" ref="D108:K108" si="3">SUM(D95:D107)</f>
        <v>49798</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6772570</v>
      </c>
      <c r="D109" s="1737">
        <f t="shared" si="4"/>
        <v>1655146</v>
      </c>
      <c r="E109" s="1737">
        <f t="shared" si="4"/>
        <v>505617</v>
      </c>
      <c r="F109" s="1737">
        <f t="shared" si="4"/>
        <v>12510</v>
      </c>
      <c r="G109" s="1737">
        <f t="shared" si="4"/>
        <v>321435</v>
      </c>
      <c r="H109" s="1737">
        <f t="shared" si="4"/>
        <v>0</v>
      </c>
      <c r="I109" s="1737">
        <f t="shared" si="4"/>
        <v>166604</v>
      </c>
      <c r="J109" s="1737">
        <f t="shared" si="4"/>
        <v>0</v>
      </c>
      <c r="K109" s="1724">
        <f t="shared" si="4"/>
        <v>1051</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739099</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739099</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10190</v>
      </c>
      <c r="D124" s="561"/>
      <c r="E124" s="468"/>
      <c r="F124" s="548"/>
      <c r="G124" s="468"/>
      <c r="H124" s="468"/>
      <c r="I124" s="468"/>
      <c r="J124" s="468"/>
      <c r="K124" s="468"/>
    </row>
    <row r="125" spans="1:11" ht="12.75" customHeight="1" x14ac:dyDescent="0.2">
      <c r="A125" s="463" t="s">
        <v>1521</v>
      </c>
      <c r="B125" s="562">
        <v>3105</v>
      </c>
      <c r="C125" s="466">
        <v>43171</v>
      </c>
      <c r="D125" s="561"/>
      <c r="E125" s="468"/>
      <c r="F125" s="466"/>
      <c r="G125" s="468"/>
      <c r="H125" s="468"/>
      <c r="I125" s="468"/>
      <c r="J125" s="468"/>
      <c r="K125" s="468"/>
    </row>
    <row r="126" spans="1:11" ht="12.75" customHeight="1" x14ac:dyDescent="0.2">
      <c r="A126" s="463" t="s">
        <v>922</v>
      </c>
      <c r="B126" s="562">
        <v>3110</v>
      </c>
      <c r="C126" s="551">
        <v>109591</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689</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163641</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16556</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16556</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869</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115197</v>
      </c>
      <c r="G151" s="467"/>
      <c r="H151" s="468"/>
      <c r="I151" s="468"/>
      <c r="J151" s="468"/>
      <c r="K151" s="468"/>
    </row>
    <row r="152" spans="1:11" ht="12.75" customHeight="1" x14ac:dyDescent="0.2">
      <c r="A152" s="463" t="s">
        <v>1117</v>
      </c>
      <c r="B152" s="562">
        <v>3510</v>
      </c>
      <c r="C152" s="551"/>
      <c r="D152" s="466"/>
      <c r="E152" s="561"/>
      <c r="F152" s="466">
        <v>89393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204590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750</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181816</v>
      </c>
      <c r="D172" s="1744">
        <f t="shared" si="6"/>
        <v>0</v>
      </c>
      <c r="E172" s="1744">
        <f t="shared" si="6"/>
        <v>0</v>
      </c>
      <c r="F172" s="1744">
        <f t="shared" si="6"/>
        <v>204590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920915</v>
      </c>
      <c r="D173" s="1737">
        <f>SUM(D121,D172)</f>
        <v>0</v>
      </c>
      <c r="E173" s="1737">
        <f>SUM(E121,E172)</f>
        <v>0</v>
      </c>
      <c r="F173" s="1737">
        <f t="shared" ref="F173:K173" si="7">SUM(F121,F172)</f>
        <v>204590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68360</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68360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97385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97385</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13346</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185349</v>
      </c>
      <c r="D220" s="466"/>
      <c r="E220" s="468"/>
      <c r="F220" s="466"/>
      <c r="G220" s="466"/>
      <c r="H220" s="468"/>
      <c r="I220" s="468"/>
      <c r="J220" s="468"/>
      <c r="K220" s="468"/>
    </row>
    <row r="221" spans="1:11" ht="12.75" customHeight="1" x14ac:dyDescent="0.2">
      <c r="A221" s="463" t="s">
        <v>1114</v>
      </c>
      <c r="B221" s="470">
        <v>4625</v>
      </c>
      <c r="C221" s="551">
        <v>1508</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200203</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27609</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18605</v>
      </c>
      <c r="D270" s="576"/>
      <c r="E270" s="468"/>
      <c r="F270" s="576"/>
      <c r="G270" s="576"/>
      <c r="H270" s="468"/>
      <c r="I270" s="468"/>
      <c r="J270" s="468"/>
      <c r="K270" s="468"/>
    </row>
    <row r="271" spans="1:11" ht="12.75" customHeight="1" thickTop="1" thickBot="1" x14ac:dyDescent="0.25">
      <c r="A271" s="463" t="s">
        <v>395</v>
      </c>
      <c r="B271" s="470">
        <v>4992</v>
      </c>
      <c r="C271" s="575">
        <v>69228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481390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481390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8174875</v>
      </c>
      <c r="D275" s="1737">
        <f t="shared" si="12"/>
        <v>1655146</v>
      </c>
      <c r="E275" s="1737">
        <f t="shared" si="12"/>
        <v>505617</v>
      </c>
      <c r="F275" s="1737">
        <f t="shared" si="12"/>
        <v>217100</v>
      </c>
      <c r="G275" s="1737">
        <f t="shared" si="12"/>
        <v>321435</v>
      </c>
      <c r="H275" s="1737">
        <f t="shared" si="12"/>
        <v>0</v>
      </c>
      <c r="I275" s="1737">
        <f t="shared" si="12"/>
        <v>166604</v>
      </c>
      <c r="J275" s="1737">
        <f t="shared" si="12"/>
        <v>0</v>
      </c>
      <c r="K275" s="1724">
        <f t="shared" si="12"/>
        <v>1051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42" activePane="bottomLeft" state="frozen"/>
      <selection activeCell="A47" sqref="A47"/>
      <selection pane="bottomLeft" activeCell="F64" sqref="F6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2703777</v>
      </c>
      <c r="D5" s="466">
        <v>404822</v>
      </c>
      <c r="E5" s="466">
        <v>18787</v>
      </c>
      <c r="F5" s="466">
        <v>269611</v>
      </c>
      <c r="G5" s="466">
        <v>79357</v>
      </c>
      <c r="H5" s="466"/>
      <c r="I5" s="467"/>
      <c r="J5" s="467"/>
      <c r="K5" s="1693">
        <f>SUM(C5:J5)</f>
        <v>3476354</v>
      </c>
      <c r="L5" s="466">
        <v>3585660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604177</v>
      </c>
      <c r="D8" s="466">
        <v>95386</v>
      </c>
      <c r="E8" s="466">
        <v>54177</v>
      </c>
      <c r="F8" s="466">
        <v>8498</v>
      </c>
      <c r="G8" s="466"/>
      <c r="H8" s="466">
        <v>9479</v>
      </c>
      <c r="I8" s="467"/>
      <c r="J8" s="467"/>
      <c r="K8" s="1693">
        <f t="shared" si="0"/>
        <v>771717</v>
      </c>
      <c r="L8" s="466">
        <v>760741</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59707</v>
      </c>
      <c r="D10" s="466">
        <v>6924</v>
      </c>
      <c r="E10" s="466">
        <v>7332</v>
      </c>
      <c r="F10" s="466">
        <v>5978</v>
      </c>
      <c r="G10" s="466"/>
      <c r="H10" s="466"/>
      <c r="I10" s="467"/>
      <c r="J10" s="467"/>
      <c r="K10" s="1693">
        <f t="shared" si="0"/>
        <v>79941</v>
      </c>
      <c r="L10" s="466">
        <v>75653</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3760</v>
      </c>
      <c r="D14" s="466">
        <v>32</v>
      </c>
      <c r="E14" s="466">
        <v>3430</v>
      </c>
      <c r="F14" s="466">
        <v>4420</v>
      </c>
      <c r="G14" s="466"/>
      <c r="H14" s="466">
        <v>995</v>
      </c>
      <c r="I14" s="467"/>
      <c r="J14" s="467"/>
      <c r="K14" s="1693">
        <f t="shared" si="0"/>
        <v>12637</v>
      </c>
      <c r="L14" s="466">
        <v>12755</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v>43422</v>
      </c>
      <c r="D18" s="466">
        <v>639</v>
      </c>
      <c r="E18" s="466"/>
      <c r="F18" s="466"/>
      <c r="G18" s="466"/>
      <c r="H18" s="466"/>
      <c r="I18" s="467"/>
      <c r="J18" s="467"/>
      <c r="K18" s="1693">
        <f t="shared" si="0"/>
        <v>44061</v>
      </c>
      <c r="L18" s="466">
        <v>44062</v>
      </c>
    </row>
    <row r="19" spans="1:12" x14ac:dyDescent="0.2">
      <c r="A19" s="1526" t="s">
        <v>136</v>
      </c>
      <c r="B19" s="615">
        <v>1900</v>
      </c>
      <c r="C19" s="466"/>
      <c r="D19" s="466"/>
      <c r="E19" s="466">
        <v>50115</v>
      </c>
      <c r="F19" s="466"/>
      <c r="G19" s="466"/>
      <c r="H19" s="466"/>
      <c r="I19" s="467"/>
      <c r="J19" s="467"/>
      <c r="K19" s="1693">
        <f t="shared" si="0"/>
        <v>50115</v>
      </c>
      <c r="L19" s="466">
        <v>40000</v>
      </c>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3414843</v>
      </c>
      <c r="D33" s="1692">
        <f t="shared" ref="D33:L33" si="1">SUM(D5:D32)</f>
        <v>507803</v>
      </c>
      <c r="E33" s="1692">
        <f t="shared" si="1"/>
        <v>133841</v>
      </c>
      <c r="F33" s="1692">
        <f t="shared" si="1"/>
        <v>288507</v>
      </c>
      <c r="G33" s="1692">
        <f t="shared" si="1"/>
        <v>79357</v>
      </c>
      <c r="H33" s="1692">
        <f t="shared" si="1"/>
        <v>10474</v>
      </c>
      <c r="I33" s="1692">
        <f t="shared" si="1"/>
        <v>0</v>
      </c>
      <c r="J33" s="1692">
        <f t="shared" si="1"/>
        <v>0</v>
      </c>
      <c r="K33" s="1692">
        <f t="shared" si="1"/>
        <v>4434825</v>
      </c>
      <c r="L33" s="1692">
        <f t="shared" si="1"/>
        <v>4518871</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143916</v>
      </c>
      <c r="D36" s="481">
        <v>2396</v>
      </c>
      <c r="E36" s="481"/>
      <c r="F36" s="481"/>
      <c r="G36" s="481"/>
      <c r="H36" s="481"/>
      <c r="I36" s="467"/>
      <c r="J36" s="467"/>
      <c r="K36" s="1693">
        <f t="shared" ref="K36:K41" si="2">SUM(C36:J36)</f>
        <v>146312</v>
      </c>
      <c r="L36" s="466">
        <v>146314</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74004</v>
      </c>
      <c r="D38" s="466">
        <v>26512</v>
      </c>
      <c r="E38" s="466">
        <v>6472</v>
      </c>
      <c r="F38" s="466">
        <v>1365</v>
      </c>
      <c r="G38" s="466"/>
      <c r="H38" s="466"/>
      <c r="I38" s="467"/>
      <c r="J38" s="467"/>
      <c r="K38" s="1693">
        <f t="shared" si="2"/>
        <v>108353</v>
      </c>
      <c r="L38" s="466">
        <v>108898</v>
      </c>
    </row>
    <row r="39" spans="1:14" x14ac:dyDescent="0.2">
      <c r="A39" s="1526" t="s">
        <v>208</v>
      </c>
      <c r="B39" s="615">
        <v>2140</v>
      </c>
      <c r="C39" s="466">
        <v>61496</v>
      </c>
      <c r="D39" s="466">
        <v>996</v>
      </c>
      <c r="E39" s="466"/>
      <c r="F39" s="466"/>
      <c r="G39" s="466"/>
      <c r="H39" s="466"/>
      <c r="I39" s="467"/>
      <c r="J39" s="467"/>
      <c r="K39" s="1693">
        <f t="shared" si="2"/>
        <v>62492</v>
      </c>
      <c r="L39" s="466">
        <v>62492</v>
      </c>
    </row>
    <row r="40" spans="1:14" x14ac:dyDescent="0.2">
      <c r="A40" s="1526" t="s">
        <v>209</v>
      </c>
      <c r="B40" s="615">
        <v>2150</v>
      </c>
      <c r="C40" s="466">
        <v>126070</v>
      </c>
      <c r="D40" s="466">
        <v>6960</v>
      </c>
      <c r="E40" s="466"/>
      <c r="F40" s="466"/>
      <c r="G40" s="466"/>
      <c r="H40" s="466"/>
      <c r="I40" s="467"/>
      <c r="J40" s="467"/>
      <c r="K40" s="1693">
        <f t="shared" si="2"/>
        <v>133030</v>
      </c>
      <c r="L40" s="466">
        <v>133032</v>
      </c>
    </row>
    <row r="41" spans="1:14" x14ac:dyDescent="0.2">
      <c r="A41" s="1526" t="s">
        <v>1768</v>
      </c>
      <c r="B41" s="615">
        <v>2190</v>
      </c>
      <c r="C41" s="466">
        <v>17472</v>
      </c>
      <c r="D41" s="466"/>
      <c r="E41" s="466"/>
      <c r="F41" s="466">
        <v>2247</v>
      </c>
      <c r="G41" s="466"/>
      <c r="H41" s="466"/>
      <c r="I41" s="467"/>
      <c r="J41" s="467"/>
      <c r="K41" s="1693">
        <f t="shared" si="2"/>
        <v>19719</v>
      </c>
      <c r="L41" s="466">
        <v>19060</v>
      </c>
    </row>
    <row r="42" spans="1:14" ht="12.75" customHeight="1" thickBot="1" x14ac:dyDescent="0.25">
      <c r="A42" s="1690" t="s">
        <v>581</v>
      </c>
      <c r="B42" s="1691" t="s">
        <v>740</v>
      </c>
      <c r="C42" s="1692">
        <f>SUM(C36:C41)</f>
        <v>422958</v>
      </c>
      <c r="D42" s="1692">
        <f t="shared" ref="D42:L42" si="3">SUM(D36:D41)</f>
        <v>36864</v>
      </c>
      <c r="E42" s="1692">
        <f t="shared" si="3"/>
        <v>6472</v>
      </c>
      <c r="F42" s="1692">
        <f t="shared" si="3"/>
        <v>3612</v>
      </c>
      <c r="G42" s="1692">
        <f t="shared" si="3"/>
        <v>0</v>
      </c>
      <c r="H42" s="1692">
        <f t="shared" si="3"/>
        <v>0</v>
      </c>
      <c r="I42" s="1692">
        <f t="shared" si="3"/>
        <v>0</v>
      </c>
      <c r="J42" s="1692">
        <f t="shared" si="3"/>
        <v>0</v>
      </c>
      <c r="K42" s="1692">
        <f t="shared" si="3"/>
        <v>469906</v>
      </c>
      <c r="L42" s="1692">
        <f t="shared" si="3"/>
        <v>469796</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214936</v>
      </c>
      <c r="D44" s="481">
        <v>31440</v>
      </c>
      <c r="E44" s="481">
        <v>7940</v>
      </c>
      <c r="F44" s="481">
        <v>2221</v>
      </c>
      <c r="G44" s="481"/>
      <c r="H44" s="481">
        <v>118</v>
      </c>
      <c r="I44" s="467"/>
      <c r="J44" s="467"/>
      <c r="K44" s="1694">
        <f>SUM(C44:J44)</f>
        <v>256655</v>
      </c>
      <c r="L44" s="481">
        <v>252768</v>
      </c>
    </row>
    <row r="45" spans="1:14" x14ac:dyDescent="0.2">
      <c r="A45" s="1526" t="s">
        <v>869</v>
      </c>
      <c r="B45" s="615">
        <v>2220</v>
      </c>
      <c r="C45" s="466">
        <v>168925</v>
      </c>
      <c r="D45" s="466">
        <v>32832</v>
      </c>
      <c r="E45" s="466">
        <v>1172</v>
      </c>
      <c r="F45" s="466">
        <v>20634</v>
      </c>
      <c r="G45" s="466"/>
      <c r="H45" s="466"/>
      <c r="I45" s="467"/>
      <c r="J45" s="467"/>
      <c r="K45" s="1694">
        <f>SUM(C45:J45)</f>
        <v>223563</v>
      </c>
      <c r="L45" s="466">
        <v>223630</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383861</v>
      </c>
      <c r="D47" s="1692">
        <f t="shared" ref="D47:K47" si="4">SUM(D44:D46)</f>
        <v>64272</v>
      </c>
      <c r="E47" s="1692">
        <f t="shared" si="4"/>
        <v>9112</v>
      </c>
      <c r="F47" s="1692">
        <f t="shared" si="4"/>
        <v>22855</v>
      </c>
      <c r="G47" s="1692">
        <f t="shared" si="4"/>
        <v>0</v>
      </c>
      <c r="H47" s="1692">
        <f t="shared" si="4"/>
        <v>118</v>
      </c>
      <c r="I47" s="1692">
        <f t="shared" si="4"/>
        <v>0</v>
      </c>
      <c r="J47" s="1692">
        <f t="shared" si="4"/>
        <v>0</v>
      </c>
      <c r="K47" s="1692">
        <f t="shared" si="4"/>
        <v>480218</v>
      </c>
      <c r="L47" s="1692">
        <f>SUM(L44:L46)</f>
        <v>476398</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1800</v>
      </c>
      <c r="D49" s="481"/>
      <c r="E49" s="481">
        <v>151168</v>
      </c>
      <c r="F49" s="481">
        <v>10443</v>
      </c>
      <c r="G49" s="481"/>
      <c r="H49" s="481">
        <v>9991</v>
      </c>
      <c r="I49" s="467"/>
      <c r="J49" s="467"/>
      <c r="K49" s="1694">
        <f>SUM(C49:J49)</f>
        <v>173402</v>
      </c>
      <c r="L49" s="481">
        <v>178412</v>
      </c>
    </row>
    <row r="50" spans="1:14" x14ac:dyDescent="0.2">
      <c r="A50" s="1526" t="s">
        <v>872</v>
      </c>
      <c r="B50" s="615">
        <v>2320</v>
      </c>
      <c r="C50" s="466">
        <v>152909</v>
      </c>
      <c r="D50" s="466">
        <v>40194</v>
      </c>
      <c r="E50" s="466">
        <v>129504</v>
      </c>
      <c r="F50" s="466">
        <v>12741</v>
      </c>
      <c r="G50" s="466"/>
      <c r="H50" s="466">
        <v>12944</v>
      </c>
      <c r="I50" s="467"/>
      <c r="J50" s="467"/>
      <c r="K50" s="1694">
        <f>SUM(C50:J50)</f>
        <v>348292</v>
      </c>
      <c r="L50" s="466">
        <v>336369</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154709</v>
      </c>
      <c r="D53" s="1692">
        <f t="shared" ref="D53:L53" si="5">SUM(D49:D52)</f>
        <v>40194</v>
      </c>
      <c r="E53" s="1692">
        <f t="shared" si="5"/>
        <v>280672</v>
      </c>
      <c r="F53" s="1692">
        <f t="shared" si="5"/>
        <v>23184</v>
      </c>
      <c r="G53" s="1692">
        <f t="shared" si="5"/>
        <v>0</v>
      </c>
      <c r="H53" s="1692">
        <f t="shared" si="5"/>
        <v>22935</v>
      </c>
      <c r="I53" s="1692">
        <f t="shared" si="5"/>
        <v>0</v>
      </c>
      <c r="J53" s="1692">
        <f t="shared" si="5"/>
        <v>0</v>
      </c>
      <c r="K53" s="1692">
        <f t="shared" si="5"/>
        <v>521694</v>
      </c>
      <c r="L53" s="1692">
        <f t="shared" si="5"/>
        <v>514781</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443626</v>
      </c>
      <c r="D55" s="481">
        <v>174724</v>
      </c>
      <c r="E55" s="481">
        <v>1529</v>
      </c>
      <c r="F55" s="481"/>
      <c r="G55" s="481"/>
      <c r="H55" s="481"/>
      <c r="I55" s="467"/>
      <c r="J55" s="467"/>
      <c r="K55" s="1694">
        <f>SUM(C55:J55)</f>
        <v>619879</v>
      </c>
      <c r="L55" s="481">
        <v>615842</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443626</v>
      </c>
      <c r="D57" s="1696">
        <f t="shared" ref="D57:K57" si="6">SUM(D55:D56)</f>
        <v>174724</v>
      </c>
      <c r="E57" s="1696">
        <f t="shared" si="6"/>
        <v>1529</v>
      </c>
      <c r="F57" s="1696">
        <f t="shared" si="6"/>
        <v>0</v>
      </c>
      <c r="G57" s="1696">
        <f t="shared" si="6"/>
        <v>0</v>
      </c>
      <c r="H57" s="1696">
        <f t="shared" si="6"/>
        <v>0</v>
      </c>
      <c r="I57" s="1696">
        <f t="shared" si="6"/>
        <v>0</v>
      </c>
      <c r="J57" s="1696">
        <f t="shared" si="6"/>
        <v>0</v>
      </c>
      <c r="K57" s="1696">
        <f t="shared" si="6"/>
        <v>619879</v>
      </c>
      <c r="L57" s="1692">
        <f>SUM(L55:L56)</f>
        <v>615842</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115203</v>
      </c>
      <c r="D60" s="466">
        <v>58287</v>
      </c>
      <c r="E60" s="466"/>
      <c r="F60" s="466"/>
      <c r="G60" s="466"/>
      <c r="H60" s="466"/>
      <c r="I60" s="467"/>
      <c r="J60" s="467"/>
      <c r="K60" s="1694">
        <f t="shared" si="7"/>
        <v>173490</v>
      </c>
      <c r="L60" s="466">
        <v>166616</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110386</v>
      </c>
      <c r="D63" s="466">
        <v>922</v>
      </c>
      <c r="E63" s="466">
        <v>1116</v>
      </c>
      <c r="F63" s="466">
        <f>122717-8888</f>
        <v>113829</v>
      </c>
      <c r="G63" s="466"/>
      <c r="H63" s="466"/>
      <c r="I63" s="467"/>
      <c r="J63" s="467"/>
      <c r="K63" s="1694">
        <f t="shared" si="7"/>
        <v>226253</v>
      </c>
      <c r="L63" s="466">
        <v>223546</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225589</v>
      </c>
      <c r="D65" s="1692">
        <f t="shared" ref="D65:L65" si="8">SUM(D59:D64)</f>
        <v>59209</v>
      </c>
      <c r="E65" s="1692">
        <f t="shared" si="8"/>
        <v>1116</v>
      </c>
      <c r="F65" s="1692">
        <f t="shared" si="8"/>
        <v>113829</v>
      </c>
      <c r="G65" s="1692">
        <f t="shared" si="8"/>
        <v>0</v>
      </c>
      <c r="H65" s="1692">
        <f t="shared" si="8"/>
        <v>0</v>
      </c>
      <c r="I65" s="1692">
        <f t="shared" si="8"/>
        <v>0</v>
      </c>
      <c r="J65" s="1692">
        <f t="shared" si="8"/>
        <v>0</v>
      </c>
      <c r="K65" s="1692">
        <f t="shared" si="8"/>
        <v>399743</v>
      </c>
      <c r="L65" s="1692">
        <f t="shared" si="8"/>
        <v>390162</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v>139139</v>
      </c>
      <c r="D71" s="466">
        <v>9914</v>
      </c>
      <c r="E71" s="466"/>
      <c r="F71" s="466"/>
      <c r="G71" s="466"/>
      <c r="H71" s="466"/>
      <c r="I71" s="467"/>
      <c r="J71" s="467"/>
      <c r="K71" s="1694">
        <f>SUM(C71:J71)</f>
        <v>149053</v>
      </c>
      <c r="L71" s="466">
        <v>149053</v>
      </c>
      <c r="M71" s="610"/>
      <c r="N71" s="610"/>
    </row>
    <row r="72" spans="1:14" s="343" customFormat="1" ht="12.75" customHeight="1" thickBot="1" x14ac:dyDescent="0.25">
      <c r="A72" s="1690" t="s">
        <v>37</v>
      </c>
      <c r="B72" s="1697" t="s">
        <v>36</v>
      </c>
      <c r="C72" s="1692">
        <f>SUM(C67:C71)</f>
        <v>139139</v>
      </c>
      <c r="D72" s="1692">
        <f t="shared" ref="D72:K72" si="9">SUM(D67:D71)</f>
        <v>9914</v>
      </c>
      <c r="E72" s="1692">
        <f t="shared" si="9"/>
        <v>0</v>
      </c>
      <c r="F72" s="1692">
        <f t="shared" si="9"/>
        <v>0</v>
      </c>
      <c r="G72" s="1692">
        <f t="shared" si="9"/>
        <v>0</v>
      </c>
      <c r="H72" s="1692">
        <f t="shared" si="9"/>
        <v>0</v>
      </c>
      <c r="I72" s="1692">
        <f t="shared" si="9"/>
        <v>0</v>
      </c>
      <c r="J72" s="1692">
        <f t="shared" si="9"/>
        <v>0</v>
      </c>
      <c r="K72" s="1692">
        <f t="shared" si="9"/>
        <v>149053</v>
      </c>
      <c r="L72" s="1692">
        <f>SUM(L67:L71)</f>
        <v>149053</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1769882</v>
      </c>
      <c r="D74" s="1699">
        <f t="shared" ref="D74:K74" si="10">SUM(D42,D47,D53,D57,D65,D72,D73)</f>
        <v>385177</v>
      </c>
      <c r="E74" s="1699">
        <f t="shared" si="10"/>
        <v>298901</v>
      </c>
      <c r="F74" s="1699">
        <f t="shared" si="10"/>
        <v>163480</v>
      </c>
      <c r="G74" s="1699">
        <f t="shared" si="10"/>
        <v>0</v>
      </c>
      <c r="H74" s="1699">
        <f t="shared" si="10"/>
        <v>23053</v>
      </c>
      <c r="I74" s="1699">
        <f t="shared" si="10"/>
        <v>0</v>
      </c>
      <c r="J74" s="1699">
        <f t="shared" si="10"/>
        <v>0</v>
      </c>
      <c r="K74" s="1699">
        <f t="shared" si="10"/>
        <v>2640493</v>
      </c>
      <c r="L74" s="1699">
        <f>SUM(L42,L47,L53,L57,L65,L72,L73)</f>
        <v>2616032</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111696</v>
      </c>
      <c r="F79" s="617"/>
      <c r="G79" s="617"/>
      <c r="H79" s="466"/>
      <c r="I79" s="477"/>
      <c r="J79" s="477"/>
      <c r="K79" s="1693">
        <f t="shared" si="11"/>
        <v>111696</v>
      </c>
      <c r="L79" s="466">
        <v>110000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111696</v>
      </c>
      <c r="F84" s="617"/>
      <c r="G84" s="617"/>
      <c r="H84" s="1692">
        <f>SUM(H78:H83)</f>
        <v>0</v>
      </c>
      <c r="I84" s="477"/>
      <c r="J84" s="477"/>
      <c r="K84" s="1692">
        <f>SUM(K78:K83)</f>
        <v>111696</v>
      </c>
      <c r="L84" s="1692">
        <f>SUM(L78:L83)</f>
        <v>110000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400579</v>
      </c>
      <c r="I86" s="477"/>
      <c r="J86" s="477"/>
      <c r="K86" s="1699">
        <f t="shared" ref="K86:K98" si="12">H86</f>
        <v>400579</v>
      </c>
      <c r="L86" s="530">
        <v>400000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400579</v>
      </c>
      <c r="I92" s="477"/>
      <c r="J92" s="477"/>
      <c r="K92" s="1699">
        <f t="shared" si="12"/>
        <v>400579</v>
      </c>
      <c r="L92" s="1692">
        <f>SUM(L85:L91)</f>
        <v>400000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111696</v>
      </c>
      <c r="F102" s="617"/>
      <c r="G102" s="617"/>
      <c r="H102" s="1699">
        <f>SUM(H84,H92,H100,H101)</f>
        <v>400579</v>
      </c>
      <c r="I102" s="477"/>
      <c r="J102" s="477"/>
      <c r="K102" s="1699">
        <f>SUM(K84,K92,K100,K101)</f>
        <v>512275</v>
      </c>
      <c r="L102" s="1699">
        <f>SUM(L84,L92,L100,L101)</f>
        <v>510000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5184725</v>
      </c>
      <c r="D114" s="1692">
        <f t="shared" ref="D114:K114" si="13">SUM(D33,D74,D75,D102,D112,D113)</f>
        <v>892980</v>
      </c>
      <c r="E114" s="1692">
        <f t="shared" si="13"/>
        <v>544438</v>
      </c>
      <c r="F114" s="1692">
        <f t="shared" si="13"/>
        <v>451987</v>
      </c>
      <c r="G114" s="1692">
        <f t="shared" si="13"/>
        <v>79357</v>
      </c>
      <c r="H114" s="1692">
        <f>SUM(H33,H74,H75,H102,H112,H113)</f>
        <v>434106</v>
      </c>
      <c r="I114" s="1692">
        <f t="shared" si="13"/>
        <v>0</v>
      </c>
      <c r="J114" s="1692">
        <f t="shared" si="13"/>
        <v>0</v>
      </c>
      <c r="K114" s="1692">
        <f t="shared" si="13"/>
        <v>7587593</v>
      </c>
      <c r="L114" s="1692">
        <f>SUM(L33,L74,L75,L102,L112,L113)</f>
        <v>7644903</v>
      </c>
    </row>
    <row r="115" spans="1:14" ht="13.5" thickTop="1" x14ac:dyDescent="0.2">
      <c r="A115" s="2174" t="s">
        <v>1053</v>
      </c>
      <c r="B115" s="2175"/>
      <c r="C115" s="619"/>
      <c r="D115" s="619"/>
      <c r="E115" s="619"/>
      <c r="F115" s="619"/>
      <c r="G115" s="619"/>
      <c r="H115" s="619"/>
      <c r="I115" s="619"/>
      <c r="J115" s="619"/>
      <c r="K115" s="1706">
        <f>'Revenues 9-14'!C275-'Expenditures 15-22'!K114</f>
        <v>587282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96323</v>
      </c>
      <c r="D124" s="466">
        <v>27106</v>
      </c>
      <c r="E124" s="466">
        <v>735815</v>
      </c>
      <c r="F124" s="466">
        <v>282182</v>
      </c>
      <c r="G124" s="466">
        <v>861399</v>
      </c>
      <c r="H124" s="466"/>
      <c r="I124" s="467"/>
      <c r="J124" s="467"/>
      <c r="K124" s="1692">
        <f>SUM(C124:J124)</f>
        <v>2002825</v>
      </c>
      <c r="L124" s="466">
        <v>1846718</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96323</v>
      </c>
      <c r="D127" s="1692">
        <f t="shared" ref="D127:L127" si="14">SUM(D122:D126)</f>
        <v>27106</v>
      </c>
      <c r="E127" s="1692">
        <f t="shared" si="14"/>
        <v>735815</v>
      </c>
      <c r="F127" s="1692">
        <f t="shared" si="14"/>
        <v>282182</v>
      </c>
      <c r="G127" s="1692">
        <f t="shared" si="14"/>
        <v>861399</v>
      </c>
      <c r="H127" s="1692">
        <f t="shared" si="14"/>
        <v>0</v>
      </c>
      <c r="I127" s="1692">
        <f t="shared" si="14"/>
        <v>0</v>
      </c>
      <c r="J127" s="1692">
        <f t="shared" si="14"/>
        <v>0</v>
      </c>
      <c r="K127" s="1692">
        <f t="shared" si="14"/>
        <v>2002825</v>
      </c>
      <c r="L127" s="1692">
        <f t="shared" si="14"/>
        <v>1846718</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96323</v>
      </c>
      <c r="D129" s="1699">
        <f t="shared" ref="D129:L129" si="15">SUM(D120,D127,D128)</f>
        <v>27106</v>
      </c>
      <c r="E129" s="1699">
        <f t="shared" si="15"/>
        <v>735815</v>
      </c>
      <c r="F129" s="1699">
        <f t="shared" si="15"/>
        <v>282182</v>
      </c>
      <c r="G129" s="1699">
        <f t="shared" si="15"/>
        <v>861399</v>
      </c>
      <c r="H129" s="1699">
        <f t="shared" si="15"/>
        <v>0</v>
      </c>
      <c r="I129" s="1699">
        <f t="shared" si="15"/>
        <v>0</v>
      </c>
      <c r="J129" s="1699">
        <f t="shared" si="15"/>
        <v>0</v>
      </c>
      <c r="K129" s="1699">
        <f t="shared" si="15"/>
        <v>2002825</v>
      </c>
      <c r="L129" s="1699">
        <f t="shared" si="15"/>
        <v>1846718</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2">
        <f>SUM(C129,C130,C139,C149,C150)</f>
        <v>96323</v>
      </c>
      <c r="D151" s="1692">
        <f t="shared" ref="D151:K151" si="16">SUM(D129,D130,D139,D149,D150)</f>
        <v>27106</v>
      </c>
      <c r="E151" s="1692">
        <f t="shared" si="16"/>
        <v>735815</v>
      </c>
      <c r="F151" s="1692">
        <f t="shared" si="16"/>
        <v>282182</v>
      </c>
      <c r="G151" s="1692">
        <f t="shared" si="16"/>
        <v>861399</v>
      </c>
      <c r="H151" s="1692">
        <f t="shared" si="16"/>
        <v>0</v>
      </c>
      <c r="I151" s="1692">
        <f t="shared" si="16"/>
        <v>0</v>
      </c>
      <c r="J151" s="1692">
        <f t="shared" si="16"/>
        <v>0</v>
      </c>
      <c r="K151" s="1692">
        <f t="shared" si="16"/>
        <v>2002825</v>
      </c>
      <c r="L151" s="1692">
        <f>SUM(L129,L130,L139,L149,L150)</f>
        <v>1846718</v>
      </c>
    </row>
    <row r="152" spans="1:14" ht="12.75" customHeight="1" thickTop="1" x14ac:dyDescent="0.2">
      <c r="A152" s="2194" t="s">
        <v>1240</v>
      </c>
      <c r="B152" s="2195"/>
      <c r="C152" s="619"/>
      <c r="D152" s="619"/>
      <c r="E152" s="619"/>
      <c r="F152" s="619"/>
      <c r="G152" s="619"/>
      <c r="H152" s="619"/>
      <c r="I152" s="619"/>
      <c r="J152" s="617"/>
      <c r="K152" s="1706">
        <f>'Revenues 9-14'!D275-'Expenditures 15-22'!K151</f>
        <v>-347679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228600</v>
      </c>
      <c r="I169" s="617"/>
      <c r="J169" s="617"/>
      <c r="K169" s="1693">
        <f>SUM(C169:H169)</f>
        <v>228600</v>
      </c>
      <c r="L169" s="657">
        <v>228600</v>
      </c>
    </row>
    <row r="170" spans="1:14" ht="33.75" customHeight="1" x14ac:dyDescent="0.2">
      <c r="A170" s="670" t="s">
        <v>1769</v>
      </c>
      <c r="B170" s="672" t="s">
        <v>31</v>
      </c>
      <c r="C170" s="617"/>
      <c r="D170" s="617"/>
      <c r="E170" s="617"/>
      <c r="F170" s="617"/>
      <c r="G170" s="617"/>
      <c r="H170" s="569">
        <v>280000</v>
      </c>
      <c r="I170" s="617"/>
      <c r="J170" s="617"/>
      <c r="K170" s="1693">
        <f>SUM(C170:J170)</f>
        <v>280000</v>
      </c>
      <c r="L170" s="569">
        <v>280000</v>
      </c>
    </row>
    <row r="171" spans="1:14" ht="15.75" customHeight="1" x14ac:dyDescent="0.2">
      <c r="A171" s="622" t="s">
        <v>790</v>
      </c>
      <c r="B171" s="673" t="s">
        <v>86</v>
      </c>
      <c r="C171" s="617"/>
      <c r="D171" s="617"/>
      <c r="E171" s="466"/>
      <c r="F171" s="617"/>
      <c r="G171" s="617"/>
      <c r="H171" s="569">
        <v>475</v>
      </c>
      <c r="I171" s="477"/>
      <c r="J171" s="617"/>
      <c r="K171" s="1693">
        <f>SUM(C171:J171)</f>
        <v>475</v>
      </c>
      <c r="L171" s="569">
        <v>475</v>
      </c>
    </row>
    <row r="172" spans="1:14" ht="12.75" customHeight="1" thickBot="1" x14ac:dyDescent="0.25">
      <c r="A172" s="1690" t="s">
        <v>659</v>
      </c>
      <c r="B172" s="1691" t="s">
        <v>513</v>
      </c>
      <c r="C172" s="617"/>
      <c r="D172" s="617"/>
      <c r="E172" s="1699">
        <f>SUM(E168,E169,E170,E171)</f>
        <v>0</v>
      </c>
      <c r="F172" s="617"/>
      <c r="G172" s="617"/>
      <c r="H172" s="1699">
        <f>SUM(H168,H169,H170,H171)</f>
        <v>509075</v>
      </c>
      <c r="I172" s="639"/>
      <c r="J172" s="617"/>
      <c r="K172" s="1699">
        <f>SUM(K168,K169,K170,K171)</f>
        <v>509075</v>
      </c>
      <c r="L172" s="1699">
        <f>SUM(L168,L169,L170,L171)</f>
        <v>509075</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509075</v>
      </c>
      <c r="I174" s="639"/>
      <c r="J174" s="617"/>
      <c r="K174" s="1699">
        <f>SUM(K160,K172,K173)</f>
        <v>509075</v>
      </c>
      <c r="L174" s="1699">
        <f>SUM(L160,L172,L173)</f>
        <v>509075</v>
      </c>
    </row>
    <row r="175" spans="1:14" ht="13.5" thickTop="1" x14ac:dyDescent="0.2">
      <c r="A175" s="2174" t="s">
        <v>1053</v>
      </c>
      <c r="B175" s="2175"/>
      <c r="C175" s="617"/>
      <c r="D175" s="617"/>
      <c r="E175" s="617"/>
      <c r="F175" s="617"/>
      <c r="G175" s="617"/>
      <c r="H175" s="619"/>
      <c r="I175" s="617"/>
      <c r="J175" s="617"/>
      <c r="K175" s="1706">
        <f>'Revenues 9-14'!E275-'Expenditures 15-22'!K174</f>
        <v>-3458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11443</v>
      </c>
      <c r="D182" s="466"/>
      <c r="E182" s="466">
        <v>436951</v>
      </c>
      <c r="F182" s="466"/>
      <c r="G182" s="466"/>
      <c r="H182" s="466"/>
      <c r="I182" s="467"/>
      <c r="J182" s="467"/>
      <c r="K182" s="1693">
        <f>SUM(C182:J182)</f>
        <v>448394</v>
      </c>
      <c r="L182" s="466">
        <v>452193</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11443</v>
      </c>
      <c r="D184" s="1699">
        <f t="shared" ref="D184:J184" si="17">SUM(D180,D182,D183)</f>
        <v>0</v>
      </c>
      <c r="E184" s="1699">
        <f t="shared" si="17"/>
        <v>436951</v>
      </c>
      <c r="F184" s="1699">
        <f t="shared" si="17"/>
        <v>0</v>
      </c>
      <c r="G184" s="1699">
        <f t="shared" si="17"/>
        <v>0</v>
      </c>
      <c r="H184" s="1699">
        <f t="shared" si="17"/>
        <v>0</v>
      </c>
      <c r="I184" s="1699">
        <f t="shared" si="17"/>
        <v>0</v>
      </c>
      <c r="J184" s="1699">
        <f t="shared" si="17"/>
        <v>0</v>
      </c>
      <c r="K184" s="1699">
        <f>SUM(K180,K182,K183)</f>
        <v>448394</v>
      </c>
      <c r="L184" s="1699">
        <f>SUM(L180, L182:L183)</f>
        <v>452193</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11443</v>
      </c>
      <c r="D210" s="1692">
        <f>SUM(D184,D185)</f>
        <v>0</v>
      </c>
      <c r="E210" s="1692">
        <f>SUM(E184,E185,E196)</f>
        <v>436951</v>
      </c>
      <c r="F210" s="1692">
        <f>SUM(F184,F185)</f>
        <v>0</v>
      </c>
      <c r="G210" s="1692">
        <f>SUM(G184,G185)</f>
        <v>0</v>
      </c>
      <c r="H210" s="1692">
        <f>SUM(H184,H185,H196,H208,H209)</f>
        <v>0</v>
      </c>
      <c r="I210" s="1692">
        <f>SUM(I184,I185)</f>
        <v>0</v>
      </c>
      <c r="J210" s="1692">
        <f>SUM(J184,J185)</f>
        <v>0</v>
      </c>
      <c r="K210" s="1693">
        <f>SUM(K184,K185,K196,K208,K209)</f>
        <v>448394</v>
      </c>
      <c r="L210" s="1692">
        <f>SUM(L184,L185,L196,L208,L209)</f>
        <v>452193</v>
      </c>
    </row>
    <row r="211" spans="1:14" ht="13.5" thickTop="1" x14ac:dyDescent="0.2">
      <c r="A211" s="2174" t="s">
        <v>1053</v>
      </c>
      <c r="B211" s="2175"/>
      <c r="C211" s="619"/>
      <c r="D211" s="619"/>
      <c r="E211" s="619"/>
      <c r="F211" s="619"/>
      <c r="G211" s="619"/>
      <c r="H211" s="619"/>
      <c r="I211" s="617"/>
      <c r="J211" s="617"/>
      <c r="K211" s="1706">
        <f>'Revenues 9-14'!F275-'Expenditures 15-22'!K210</f>
        <v>-231294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44655</v>
      </c>
      <c r="E215" s="617"/>
      <c r="F215" s="617"/>
      <c r="G215" s="617"/>
      <c r="H215" s="617"/>
      <c r="I215" s="617"/>
      <c r="J215" s="617"/>
      <c r="K215" s="1693">
        <f>D215</f>
        <v>44655</v>
      </c>
      <c r="L215" s="466">
        <v>44400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35394</v>
      </c>
      <c r="E217" s="617"/>
      <c r="F217" s="617"/>
      <c r="G217" s="617"/>
      <c r="H217" s="617"/>
      <c r="I217" s="617"/>
      <c r="J217" s="617"/>
      <c r="K217" s="1693">
        <f t="shared" si="19"/>
        <v>35394</v>
      </c>
      <c r="L217" s="466">
        <v>35570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10989</v>
      </c>
      <c r="E219" s="617"/>
      <c r="F219" s="617"/>
      <c r="G219" s="617"/>
      <c r="H219" s="617"/>
      <c r="I219" s="617"/>
      <c r="J219" s="617"/>
      <c r="K219" s="1693">
        <f t="shared" si="19"/>
        <v>10989</v>
      </c>
      <c r="L219" s="466">
        <v>11030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330</v>
      </c>
      <c r="E223" s="617"/>
      <c r="F223" s="617"/>
      <c r="G223" s="617"/>
      <c r="H223" s="617"/>
      <c r="I223" s="617"/>
      <c r="J223" s="617"/>
      <c r="K223" s="1693">
        <f t="shared" si="19"/>
        <v>330</v>
      </c>
      <c r="L223" s="466">
        <v>320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v>630</v>
      </c>
      <c r="E227" s="617"/>
      <c r="F227" s="617"/>
      <c r="G227" s="617"/>
      <c r="H227" s="617"/>
      <c r="I227" s="617"/>
      <c r="J227" s="617"/>
      <c r="K227" s="1693">
        <f t="shared" si="19"/>
        <v>630</v>
      </c>
      <c r="L227" s="466">
        <v>630</v>
      </c>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91998</v>
      </c>
      <c r="E229" s="617"/>
      <c r="F229" s="617"/>
      <c r="G229" s="617"/>
      <c r="H229" s="617"/>
      <c r="I229" s="617"/>
      <c r="J229" s="617"/>
      <c r="K229" s="1692">
        <f>SUM(K215:K228)</f>
        <v>91998</v>
      </c>
      <c r="L229" s="1692">
        <f>SUM(L215:L228)</f>
        <v>91950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2087</v>
      </c>
      <c r="E232" s="617"/>
      <c r="F232" s="617"/>
      <c r="G232" s="617"/>
      <c r="H232" s="617"/>
      <c r="I232" s="617"/>
      <c r="J232" s="617"/>
      <c r="K232" s="1693">
        <f t="shared" ref="K232:K237" si="20">D232</f>
        <v>2087</v>
      </c>
      <c r="L232" s="466">
        <v>2086</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4996</v>
      </c>
      <c r="E234" s="617"/>
      <c r="F234" s="617"/>
      <c r="G234" s="617"/>
      <c r="H234" s="617"/>
      <c r="I234" s="617"/>
      <c r="J234" s="617"/>
      <c r="K234" s="1693">
        <f t="shared" si="20"/>
        <v>4996</v>
      </c>
      <c r="L234" s="466">
        <v>4998</v>
      </c>
    </row>
    <row r="235" spans="1:12" x14ac:dyDescent="0.2">
      <c r="A235" s="1526" t="s">
        <v>208</v>
      </c>
      <c r="B235" s="615">
        <v>2140</v>
      </c>
      <c r="C235" s="617"/>
      <c r="D235" s="466">
        <v>892</v>
      </c>
      <c r="E235" s="617"/>
      <c r="F235" s="617"/>
      <c r="G235" s="617"/>
      <c r="H235" s="617"/>
      <c r="I235" s="617"/>
      <c r="J235" s="617"/>
      <c r="K235" s="1693">
        <f t="shared" si="20"/>
        <v>892</v>
      </c>
      <c r="L235" s="466">
        <v>892</v>
      </c>
    </row>
    <row r="236" spans="1:12" x14ac:dyDescent="0.2">
      <c r="A236" s="1526" t="s">
        <v>209</v>
      </c>
      <c r="B236" s="615">
        <v>2150</v>
      </c>
      <c r="C236" s="617"/>
      <c r="D236" s="466">
        <v>1828</v>
      </c>
      <c r="E236" s="617"/>
      <c r="F236" s="617"/>
      <c r="G236" s="617"/>
      <c r="H236" s="617"/>
      <c r="I236" s="617"/>
      <c r="J236" s="617"/>
      <c r="K236" s="1693">
        <f t="shared" si="20"/>
        <v>1828</v>
      </c>
      <c r="L236" s="466">
        <v>1829</v>
      </c>
    </row>
    <row r="237" spans="1:12" x14ac:dyDescent="0.2">
      <c r="A237" s="1526" t="s">
        <v>167</v>
      </c>
      <c r="B237" s="615">
        <v>2190</v>
      </c>
      <c r="C237" s="617"/>
      <c r="D237" s="466">
        <v>2821</v>
      </c>
      <c r="E237" s="617"/>
      <c r="F237" s="617"/>
      <c r="G237" s="617"/>
      <c r="H237" s="617"/>
      <c r="I237" s="617"/>
      <c r="J237" s="617"/>
      <c r="K237" s="1693">
        <f t="shared" si="20"/>
        <v>2821</v>
      </c>
      <c r="L237" s="466">
        <v>2850</v>
      </c>
    </row>
    <row r="238" spans="1:12" ht="12.75" customHeight="1" thickBot="1" x14ac:dyDescent="0.25">
      <c r="A238" s="1690" t="s">
        <v>581</v>
      </c>
      <c r="B238" s="1697" t="s">
        <v>740</v>
      </c>
      <c r="C238" s="617"/>
      <c r="D238" s="1692">
        <f>SUM(D232:D237)</f>
        <v>12624</v>
      </c>
      <c r="E238" s="617"/>
      <c r="F238" s="617"/>
      <c r="G238" s="617"/>
      <c r="H238" s="617"/>
      <c r="I238" s="617"/>
      <c r="J238" s="617"/>
      <c r="K238" s="1692">
        <f>SUM(K232:K237)</f>
        <v>12624</v>
      </c>
      <c r="L238" s="1692">
        <f>SUM(L232:L237)</f>
        <v>12655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8577</v>
      </c>
      <c r="E240" s="617"/>
      <c r="F240" s="617"/>
      <c r="G240" s="617"/>
      <c r="H240" s="617"/>
      <c r="I240" s="617"/>
      <c r="J240" s="617"/>
      <c r="K240" s="1694">
        <f>D240</f>
        <v>8577</v>
      </c>
      <c r="L240" s="481">
        <v>8276</v>
      </c>
    </row>
    <row r="241" spans="1:12" x14ac:dyDescent="0.2">
      <c r="A241" s="1526" t="s">
        <v>869</v>
      </c>
      <c r="B241" s="615">
        <v>2220</v>
      </c>
      <c r="C241" s="617"/>
      <c r="D241" s="466">
        <v>10558</v>
      </c>
      <c r="E241" s="617"/>
      <c r="F241" s="617"/>
      <c r="G241" s="617"/>
      <c r="H241" s="617"/>
      <c r="I241" s="617"/>
      <c r="J241" s="617"/>
      <c r="K241" s="1694">
        <f>D241</f>
        <v>10558</v>
      </c>
      <c r="L241" s="466">
        <v>10634</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19135</v>
      </c>
      <c r="E243" s="617"/>
      <c r="F243" s="617"/>
      <c r="G243" s="617"/>
      <c r="H243" s="617"/>
      <c r="I243" s="617"/>
      <c r="J243" s="617"/>
      <c r="K243" s="1692">
        <f>SUM(K240:K242)</f>
        <v>19135</v>
      </c>
      <c r="L243" s="1692">
        <f>SUM(L240:L242)</f>
        <v>18910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13337</v>
      </c>
      <c r="E246" s="617"/>
      <c r="F246" s="617"/>
      <c r="G246" s="617"/>
      <c r="H246" s="617"/>
      <c r="I246" s="617"/>
      <c r="J246" s="617"/>
      <c r="K246" s="1694">
        <f t="shared" ref="K246:K256" si="21">D246</f>
        <v>13337</v>
      </c>
      <c r="L246" s="466">
        <v>13377</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13337</v>
      </c>
      <c r="E257" s="617"/>
      <c r="F257" s="617"/>
      <c r="G257" s="617"/>
      <c r="H257" s="617"/>
      <c r="I257" s="617"/>
      <c r="J257" s="617"/>
      <c r="K257" s="1692">
        <f>SUM(K245:K256)</f>
        <v>13337</v>
      </c>
      <c r="L257" s="1692">
        <f>SUM(L245:L256)</f>
        <v>13377</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33186</v>
      </c>
      <c r="E259" s="617"/>
      <c r="F259" s="617"/>
      <c r="G259" s="617"/>
      <c r="H259" s="617"/>
      <c r="I259" s="617"/>
      <c r="J259" s="617"/>
      <c r="K259" s="1694">
        <f>D259</f>
        <v>33186</v>
      </c>
      <c r="L259" s="481">
        <v>33212</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33186</v>
      </c>
      <c r="E261" s="617"/>
      <c r="F261" s="617"/>
      <c r="G261" s="617"/>
      <c r="H261" s="617"/>
      <c r="I261" s="617"/>
      <c r="J261" s="617"/>
      <c r="K261" s="1692">
        <f>SUM(K259:K260)</f>
        <v>33186</v>
      </c>
      <c r="L261" s="1692">
        <f>SUM(L259:L260)</f>
        <v>33212</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21478</v>
      </c>
      <c r="E264" s="617"/>
      <c r="F264" s="617"/>
      <c r="G264" s="617"/>
      <c r="H264" s="617"/>
      <c r="I264" s="617"/>
      <c r="J264" s="617"/>
      <c r="K264" s="1694">
        <f t="shared" ref="K264:K269" si="22">D264</f>
        <v>21478</v>
      </c>
      <c r="L264" s="466">
        <v>20220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16131</v>
      </c>
      <c r="E266" s="617"/>
      <c r="F266" s="617"/>
      <c r="G266" s="617"/>
      <c r="H266" s="617"/>
      <c r="I266" s="617"/>
      <c r="J266" s="617"/>
      <c r="K266" s="1694">
        <f t="shared" si="22"/>
        <v>16131</v>
      </c>
      <c r="L266" s="466">
        <v>15986</v>
      </c>
    </row>
    <row r="267" spans="1:14" x14ac:dyDescent="0.2">
      <c r="A267" s="1526" t="s">
        <v>1010</v>
      </c>
      <c r="B267" s="615">
        <v>2550</v>
      </c>
      <c r="C267" s="617"/>
      <c r="D267" s="466">
        <v>2188</v>
      </c>
      <c r="E267" s="617"/>
      <c r="F267" s="617"/>
      <c r="G267" s="617"/>
      <c r="H267" s="617"/>
      <c r="I267" s="617"/>
      <c r="J267" s="617"/>
      <c r="K267" s="1694">
        <f t="shared" si="22"/>
        <v>2188</v>
      </c>
      <c r="L267" s="466">
        <v>2187</v>
      </c>
    </row>
    <row r="268" spans="1:14" x14ac:dyDescent="0.2">
      <c r="A268" s="1526" t="s">
        <v>102</v>
      </c>
      <c r="B268" s="615">
        <v>2560</v>
      </c>
      <c r="C268" s="617"/>
      <c r="D268" s="466">
        <v>12438</v>
      </c>
      <c r="E268" s="617"/>
      <c r="F268" s="617"/>
      <c r="G268" s="617"/>
      <c r="H268" s="617"/>
      <c r="I268" s="617"/>
      <c r="J268" s="617"/>
      <c r="K268" s="1694">
        <f t="shared" si="22"/>
        <v>12438</v>
      </c>
      <c r="L268" s="466">
        <v>12252</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52235</v>
      </c>
      <c r="E270" s="617"/>
      <c r="F270" s="617"/>
      <c r="G270" s="617"/>
      <c r="H270" s="617"/>
      <c r="I270" s="617"/>
      <c r="J270" s="617"/>
      <c r="K270" s="1692">
        <f>SUM(K263:K269)</f>
        <v>52235</v>
      </c>
      <c r="L270" s="1692">
        <f>SUM(L263:L269)</f>
        <v>50645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v>23697</v>
      </c>
      <c r="E276" s="617"/>
      <c r="F276" s="617"/>
      <c r="G276" s="617"/>
      <c r="H276" s="617"/>
      <c r="I276" s="617"/>
      <c r="J276" s="617"/>
      <c r="K276" s="1694">
        <f>D276</f>
        <v>23697</v>
      </c>
      <c r="L276" s="466">
        <v>23696</v>
      </c>
    </row>
    <row r="277" spans="1:12" ht="12.75" customHeight="1" thickBot="1" x14ac:dyDescent="0.25">
      <c r="A277" s="1713" t="s">
        <v>37</v>
      </c>
      <c r="B277" s="1691" t="s">
        <v>36</v>
      </c>
      <c r="C277" s="617"/>
      <c r="D277" s="1692">
        <f>SUM(D272:D276)</f>
        <v>23697</v>
      </c>
      <c r="E277" s="617"/>
      <c r="F277" s="617"/>
      <c r="G277" s="617"/>
      <c r="H277" s="617"/>
      <c r="I277" s="617"/>
      <c r="J277" s="617"/>
      <c r="K277" s="1692">
        <f>SUM(K272:K276)</f>
        <v>23697</v>
      </c>
      <c r="L277" s="1692">
        <f>SUM(L272:L276)</f>
        <v>23696</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154214</v>
      </c>
      <c r="E279" s="617"/>
      <c r="F279" s="617"/>
      <c r="G279" s="617"/>
      <c r="H279" s="617"/>
      <c r="I279" s="617"/>
      <c r="J279" s="617"/>
      <c r="K279" s="1699">
        <f>SUM(K238,K243,K257,K261,K270,K277,K278)</f>
        <v>154214</v>
      </c>
      <c r="L279" s="1699">
        <f>SUM(L238,L243,L257,L261,L270,L277,L278)</f>
        <v>152495</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246212</v>
      </c>
      <c r="E295" s="617"/>
      <c r="F295" s="617"/>
      <c r="G295" s="617"/>
      <c r="H295" s="1692">
        <f>H293</f>
        <v>0</v>
      </c>
      <c r="I295" s="617"/>
      <c r="J295" s="617"/>
      <c r="K295" s="1692">
        <f>SUM(K229,K279,K280,K285,K293,K294)</f>
        <v>246212</v>
      </c>
      <c r="L295" s="1692">
        <f>SUM(L229,L279,L280,L285,L293,L294)</f>
        <v>244445</v>
      </c>
    </row>
    <row r="296" spans="1:14" ht="13.5" thickTop="1" x14ac:dyDescent="0.2">
      <c r="A296" s="2174" t="s">
        <v>1053</v>
      </c>
      <c r="B296" s="2175"/>
      <c r="C296" s="617"/>
      <c r="D296" s="619"/>
      <c r="E296" s="617"/>
      <c r="F296" s="617"/>
      <c r="G296" s="617"/>
      <c r="H296" s="688"/>
      <c r="I296" s="617"/>
      <c r="J296" s="617"/>
      <c r="K296" s="1706">
        <f>'Revenues 9-14'!G275-'Expenditures 15-22'!K295</f>
        <v>75223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7" t="s">
        <v>1053</v>
      </c>
      <c r="B343" s="2188"/>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4" t="s">
        <v>1053</v>
      </c>
      <c r="B368" s="2175"/>
      <c r="C368" s="655"/>
      <c r="D368" s="655"/>
      <c r="E368" s="627"/>
      <c r="F368" s="627"/>
      <c r="G368" s="627"/>
      <c r="H368" s="627"/>
      <c r="I368" s="627"/>
      <c r="J368" s="624"/>
      <c r="K368" s="1693">
        <f>'Revenues 9-14'!K275-'Expenditures 15-22'!K367</f>
        <v>1051</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schemas.microsoft.com/office/2006/metadata/properties"/>
    <ds:schemaRef ds:uri="http://purl.org/dc/terms/"/>
    <ds:schemaRef ds:uri="http://purl.org/dc/dcmitype/"/>
    <ds:schemaRef ds:uri="http://schemas.microsoft.com/office/infopath/2007/PartnerControls"/>
    <ds:schemaRef ds:uri="http://purl.org/dc/elements/1.1/"/>
    <ds:schemaRef ds:uri="http://schemas.microsoft.com/office/2006/documentManagement/types"/>
    <ds:schemaRef ds:uri="6ce3111e-7420-4802-b50a-75d4e9a0b980"/>
    <ds:schemaRef ds:uri="http://schemas.openxmlformats.org/package/2006/metadata/core-properties"/>
    <ds:schemaRef ds:uri="4d435f69-8686-490b-bd6d-b153bf22ab50"/>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2018-10-01T21:43:05Z</cp:lastPrinted>
  <dcterms:created xsi:type="dcterms:W3CDTF">2003-10-29T19:06:34Z</dcterms:created>
  <dcterms:modified xsi:type="dcterms:W3CDTF">2018-12-07T14:20:37Z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vt:lpwstr>
  </property>
  <property fmtid="{D5CDD505-2E9C-101B-9397-08002B2CF9AE}" pid="4" name="Refresh">
    <vt:bool>true</vt:bool>
  </property>
  <property fmtid="{D5CDD505-2E9C-101B-9397-08002B2CF9AE}" pid="5" name="Refresh97">
    <vt:bool>false</vt:bool>
  </property>
  <property fmtid="{D5CDD505-2E9C-101B-9397-08002B2CF9AE}" pid="6" name="tabName">
    <vt:lpwstr>AFR</vt:lpwstr>
  </property>
  <property fmtid="{D5CDD505-2E9C-101B-9397-08002B2CF9AE}" pid="7" name="tabIndex">
    <vt:lpwstr>135</vt:lpwstr>
  </property>
  <property fmtid="{D5CDD505-2E9C-101B-9397-08002B2CF9AE}" pid="8" name="workpaperIndex">
    <vt:lpwstr>
    </vt:lpwstr>
  </property>
</Properties>
</file>