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018" sheetId="184" r:id="rId30"/>
    <sheet name="SF&amp;QC Sec-1" sheetId="174" r:id="rId31"/>
    <sheet name="SF&amp;QC Sec-2" sheetId="175" r:id="rId32"/>
    <sheet name="SF&amp;QC Sec-3" sheetId="176" r:id="rId33"/>
    <sheet name="SSPAF" sheetId="177" r:id="rId34"/>
  </sheets>
  <definedNames>
    <definedName name="\a" localSheetId="29">'SEFA 2018'!#REF!</definedName>
    <definedName name="\a">#REF!</definedName>
    <definedName name="\b" localSheetId="29">'SEFA 2018'!#REF!</definedName>
    <definedName name="\b">#REF!</definedName>
    <definedName name="\c" localSheetId="29">'SEFA 2018'!#REF!</definedName>
    <definedName name="\c">#REF!</definedName>
    <definedName name="\d" localSheetId="29">'SEFA 2018'!#REF!</definedName>
    <definedName name="\d">#REF!</definedName>
    <definedName name="\e" localSheetId="29">'SEFA 2018'!#REF!</definedName>
    <definedName name="\e">#REF!</definedName>
    <definedName name="\f" localSheetId="29">'SEFA 2018'!#REF!</definedName>
    <definedName name="\f">#REF!</definedName>
    <definedName name="\g" localSheetId="29">'SEFA 2018'!#REF!</definedName>
    <definedName name="\g">#REF!</definedName>
    <definedName name="\h" localSheetId="29">'SEFA 2018'!#REF!</definedName>
    <definedName name="\h">#REF!</definedName>
    <definedName name="\i" localSheetId="29">'SEFA 2018'!#REF!</definedName>
    <definedName name="\i">#REF!</definedName>
    <definedName name="\j" localSheetId="29">'SEFA 2018'!#REF!</definedName>
    <definedName name="\j">#REF!</definedName>
    <definedName name="\k" localSheetId="29">'SEFA 2018'!#REF!</definedName>
    <definedName name="\k">#REF!</definedName>
    <definedName name="\l" localSheetId="29">'SEFA 2018'!#REF!</definedName>
    <definedName name="\l">#REF!</definedName>
    <definedName name="\m" localSheetId="29">'SEFA 2018'!#REF!</definedName>
    <definedName name="\m">#REF!</definedName>
    <definedName name="\n" localSheetId="29">'SEFA 2018'!#REF!</definedName>
    <definedName name="\n">#REF!</definedName>
    <definedName name="\p" localSheetId="29">'SEFA 2018'!#REF!</definedName>
    <definedName name="\p">#REF!</definedName>
    <definedName name="\s" localSheetId="29">'SEFA 2018'!#REF!</definedName>
    <definedName name="\s">#REF!</definedName>
    <definedName name="\t" localSheetId="29">'SEFA 2018'!#REF!</definedName>
    <definedName name="\t">#REF!</definedName>
    <definedName name="\v" localSheetId="29">'SEFA 2018'!#REF!</definedName>
    <definedName name="\v">#REF!</definedName>
    <definedName name="\z" localSheetId="29">'SEFA 2018'!#REF!</definedName>
    <definedName name="\z">#REF!</definedName>
    <definedName name="_Regression_Int" localSheetId="29" hidden="1">1</definedName>
    <definedName name="A" localSheetId="29">'SEFA 2018'!#REF!</definedName>
    <definedName name="A">#REF!</definedName>
    <definedName name="A_1" localSheetId="29">'SEFA 2018'!#REF!</definedName>
    <definedName name="A_1">#REF!</definedName>
    <definedName name="A_10" localSheetId="29">'SEFA 2018'!#REF!</definedName>
    <definedName name="A_10">#REF!</definedName>
    <definedName name="A_2" localSheetId="29">'SEFA 2018'!#REF!</definedName>
    <definedName name="A_2">#REF!</definedName>
    <definedName name="A_3" localSheetId="29">'SEFA 2018'!#REF!</definedName>
    <definedName name="A_3">#REF!</definedName>
    <definedName name="A_4" localSheetId="29">'SEFA 2018'!#REF!</definedName>
    <definedName name="A_4">#REF!</definedName>
    <definedName name="A_5" localSheetId="29">'SEFA 2018'!#REF!</definedName>
    <definedName name="A_5">#REF!</definedName>
    <definedName name="A_6" localSheetId="29">'SEFA 2018'!#REF!</definedName>
    <definedName name="A_6">#REF!</definedName>
    <definedName name="A_7" localSheetId="29">'SEFA 2018'!#REF!</definedName>
    <definedName name="A_7">#REF!</definedName>
    <definedName name="A_8" localSheetId="29">'SEFA 2018'!#REF!</definedName>
    <definedName name="A_8">#REF!</definedName>
    <definedName name="A_9" localSheetId="29">'SEFA 2018'!#REF!</definedName>
    <definedName name="A_9">#REF!</definedName>
    <definedName name="AA_1" localSheetId="29">'SEFA 2018'!#REF!</definedName>
    <definedName name="AA_1">#REF!</definedName>
    <definedName name="AA_2" localSheetId="29">'SEFA 2018'!#REF!</definedName>
    <definedName name="AA_2">#REF!</definedName>
    <definedName name="ACCTS" localSheetId="29">'SEFA 2018'!#REF!</definedName>
    <definedName name="ACCTS">#REF!</definedName>
    <definedName name="AJES" localSheetId="29">'SEFA 2018'!#REF!</definedName>
    <definedName name="AJES">#REF!</definedName>
    <definedName name="B_1" localSheetId="29">'SEFA 2018'!#REF!</definedName>
    <definedName name="B_1">#REF!</definedName>
    <definedName name="B_1_1" localSheetId="29">'SEFA 2018'!#REF!</definedName>
    <definedName name="B_1_1">#REF!</definedName>
    <definedName name="BOND" localSheetId="29">'SEFA 2018'!#REF!</definedName>
    <definedName name="BOND">#REF!</definedName>
    <definedName name="CASH" localSheetId="29">'SEFA 2018'!#REF!</definedName>
    <definedName name="CASH">#REF!</definedName>
    <definedName name="CC_1" localSheetId="29">'SEFA 2018'!#REF!</definedName>
    <definedName name="CC_1">#REF!</definedName>
    <definedName name="CC_2" localSheetId="29">'SEFA 2018'!#REF!</definedName>
    <definedName name="CC_2">#REF!</definedName>
    <definedName name="CC_3" localSheetId="29">'SEFA 2018'!#REF!</definedName>
    <definedName name="CC_3">#REF!</definedName>
    <definedName name="COMBOS" localSheetId="29">'SEFA 2018'!#REF!</definedName>
    <definedName name="COMBOS">#REF!</definedName>
    <definedName name="D_1" localSheetId="29">'SEFA 2018'!#REF!</definedName>
    <definedName name="D_1">#REF!</definedName>
    <definedName name="E_1" localSheetId="29">'SEFA 2018'!#REF!</definedName>
    <definedName name="E_1">#REF!</definedName>
    <definedName name="FA" localSheetId="29">'SEFA 2018'!#REF!</definedName>
    <definedName name="FA">#REF!</definedName>
    <definedName name="FED" localSheetId="29">'SEFA 2018'!#REF!</definedName>
    <definedName name="FED">#REF!</definedName>
    <definedName name="GP_22" localSheetId="29">'SEFA 2018'!#REF!</definedName>
    <definedName name="GP_22">#REF!</definedName>
    <definedName name="GP_4" localSheetId="29">'SEFA 2018'!#REF!</definedName>
    <definedName name="GP_4">#REF!</definedName>
    <definedName name="GP_9" localSheetId="29">'SEFA 2018'!#REF!</definedName>
    <definedName name="GP_9">#REF!</definedName>
    <definedName name="I_1" localSheetId="29">'SEFA 2018'!#REF!</definedName>
    <definedName name="I_1">#REF!</definedName>
    <definedName name="I_1A" localSheetId="29">'SEFA 2018'!#REF!</definedName>
    <definedName name="I_1A">#REF!</definedName>
    <definedName name="I_2" localSheetId="29">'SEFA 2018'!#REF!</definedName>
    <definedName name="I_2">#REF!</definedName>
    <definedName name="I_3" localSheetId="29">'SEFA 2018'!#REF!</definedName>
    <definedName name="I_3">#REF!</definedName>
    <definedName name="JJ_1" localSheetId="29">'SEFA 2018'!#REF!</definedName>
    <definedName name="JJ_1">#REF!</definedName>
    <definedName name="JJ_2" localSheetId="29">'SEFA 2018'!#REF!</definedName>
    <definedName name="JJ_2">#REF!</definedName>
    <definedName name="K" localSheetId="29">'SEFA 2018'!#REF!</definedName>
    <definedName name="K">#REF!</definedName>
    <definedName name="K_1" localSheetId="29">'SEFA 2018'!#REF!</definedName>
    <definedName name="K_1">#REF!</definedName>
    <definedName name="LIAB" localSheetId="29">'SEFA 2018'!#REF!</definedName>
    <definedName name="LIAB">#REF!</definedName>
    <definedName name="PERCAP" localSheetId="29">'SEFA 2018'!#REF!</definedName>
    <definedName name="PERCAP">#REF!</definedName>
    <definedName name="PRINT" localSheetId="29">'SEFA 2018'!$A$14:$N$121</definedName>
    <definedName name="PRINT">#REF!</definedName>
    <definedName name="_xlnm.Print_Area" localSheetId="28">' SEFA'!$B$1:$M$46</definedName>
    <definedName name="_xlnm.Print_Area" localSheetId="29">'SEFA 2018'!$A$1:$N$124</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Print_Area_MI" localSheetId="29">'SEFA 2018'!$A$6:$N$121</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 2018'!$1:$4</definedName>
    <definedName name="_xlnm.Print_Titles" localSheetId="16">'Shared Outsourced Services 31'!$5:$5</definedName>
    <definedName name="_xlnm.Print_Titles" localSheetId="25">'Single Audit Checklist'!$1:$4</definedName>
    <definedName name="Print_Titles_MI" localSheetId="29">'SEFA 2018'!$1:$4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9">'SEFA 2018'!#REF!</definedName>
    <definedName name="STAT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9">'SEFA 2018'!#REF!</definedName>
    <definedName name="TR">#REF!</definedName>
    <definedName name="TRIAL" localSheetId="29">'SEFA 2018'!#REF!</definedName>
    <definedName name="TRIAL">#REF!</definedName>
    <definedName name="V_1" localSheetId="29">'SEFA 2018'!#REF!</definedName>
    <definedName name="V_1">#REF!</definedName>
    <definedName name="V_1_1" localSheetId="29">'SEFA 2018'!#REF!</definedName>
    <definedName name="V_1_1">#REF!</definedName>
    <definedName name="WAGE" localSheetId="29">'SEFA 2018'!#REF!</definedName>
    <definedName name="WAGE">#REF!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3" i="184" l="1"/>
  <c r="L115" i="184" s="1"/>
  <c r="J113" i="184"/>
  <c r="J115" i="184" s="1"/>
  <c r="H113" i="184"/>
  <c r="H115" i="184" s="1"/>
  <c r="G113" i="184"/>
  <c r="G115" i="184" s="1"/>
  <c r="F113" i="184"/>
  <c r="F115" i="184" s="1"/>
  <c r="M112" i="184"/>
  <c r="M110" i="184"/>
  <c r="L104" i="184"/>
  <c r="J104" i="184"/>
  <c r="H104" i="184"/>
  <c r="G104" i="184"/>
  <c r="F104" i="184"/>
  <c r="M103" i="184"/>
  <c r="M101" i="184"/>
  <c r="L99" i="184"/>
  <c r="J99" i="184"/>
  <c r="H99" i="184"/>
  <c r="G99" i="184"/>
  <c r="F99" i="184"/>
  <c r="M98" i="184"/>
  <c r="M96" i="184"/>
  <c r="L93" i="184"/>
  <c r="L94" i="184" s="1"/>
  <c r="J93" i="184"/>
  <c r="H93" i="184"/>
  <c r="H94" i="184" s="1"/>
  <c r="G93" i="184"/>
  <c r="G94" i="184" s="1"/>
  <c r="F93" i="184"/>
  <c r="F94" i="184" s="1"/>
  <c r="M92" i="184"/>
  <c r="M90" i="184"/>
  <c r="M88" i="184"/>
  <c r="M86" i="184"/>
  <c r="M84" i="184"/>
  <c r="M82" i="184"/>
  <c r="L53" i="184"/>
  <c r="J53" i="184"/>
  <c r="H53" i="184"/>
  <c r="G53" i="184"/>
  <c r="F53" i="184"/>
  <c r="M52" i="184"/>
  <c r="M50" i="184"/>
  <c r="L48" i="184"/>
  <c r="J48" i="184"/>
  <c r="H48" i="184"/>
  <c r="G48" i="184"/>
  <c r="F48" i="184"/>
  <c r="M45" i="184"/>
  <c r="M43" i="184"/>
  <c r="L41" i="184"/>
  <c r="J41" i="184"/>
  <c r="G41" i="184"/>
  <c r="M40" i="184"/>
  <c r="L37" i="184"/>
  <c r="H37" i="184"/>
  <c r="H41" i="184" s="1"/>
  <c r="F37" i="184"/>
  <c r="F41" i="184" s="1"/>
  <c r="M36" i="184"/>
  <c r="M34" i="184"/>
  <c r="M32" i="184"/>
  <c r="M30" i="184"/>
  <c r="M28" i="184"/>
  <c r="M26" i="184"/>
  <c r="L24" i="184"/>
  <c r="J24" i="184"/>
  <c r="H24" i="184"/>
  <c r="G24" i="184"/>
  <c r="F24" i="184"/>
  <c r="M23" i="184"/>
  <c r="M21" i="184"/>
  <c r="L19" i="184"/>
  <c r="J19" i="184"/>
  <c r="H19" i="184"/>
  <c r="G19" i="184"/>
  <c r="F19" i="184"/>
  <c r="M18" i="184"/>
  <c r="M16" i="184"/>
  <c r="M48" i="184" l="1"/>
  <c r="M99" i="184"/>
  <c r="J55" i="184"/>
  <c r="M19" i="184"/>
  <c r="L55" i="184"/>
  <c r="L106" i="184"/>
  <c r="M104" i="184"/>
  <c r="H55" i="184"/>
  <c r="M113" i="184"/>
  <c r="M115" i="184" s="1"/>
  <c r="F55" i="184"/>
  <c r="G55" i="184"/>
  <c r="M53" i="184"/>
  <c r="F106" i="184"/>
  <c r="J94" i="184"/>
  <c r="J106" i="184" s="1"/>
  <c r="J117" i="184" s="1"/>
  <c r="G106" i="184"/>
  <c r="M41" i="184"/>
  <c r="H106" i="184"/>
  <c r="M93" i="184"/>
  <c r="H117" i="184" l="1"/>
  <c r="M106" i="184"/>
  <c r="F117" i="184"/>
  <c r="L117" i="184"/>
  <c r="M55" i="184"/>
  <c r="M117" i="184" s="1"/>
  <c r="G117" i="184"/>
  <c r="D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J23" i="12" s="1"/>
  <c r="B7729" i="106"/>
  <c r="D7729" i="106" s="1"/>
  <c r="B7734" i="106"/>
  <c r="D7734" i="106" s="1"/>
  <c r="B7726" i="106"/>
  <c r="D76" i="3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D127" i="106"/>
  <c r="D128" i="106"/>
  <c r="D132" i="106"/>
  <c r="D133" i="106"/>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26" i="106"/>
  <c r="D726" i="106" s="1"/>
  <c r="D744" i="106"/>
  <c r="D750" i="106"/>
  <c r="D752" i="106"/>
  <c r="D758" i="106"/>
  <c r="D759" i="106"/>
  <c r="D760" i="106"/>
  <c r="D761" i="106"/>
  <c r="D762" i="106"/>
  <c r="D765" i="106"/>
  <c r="D766" i="106"/>
  <c r="D767" i="106"/>
  <c r="D768" i="106"/>
  <c r="D769" i="106"/>
  <c r="D771" i="106"/>
  <c r="D772" i="106"/>
  <c r="D773" i="106"/>
  <c r="B784" i="106"/>
  <c r="D784" i="106" s="1"/>
  <c r="D802" i="106"/>
  <c r="D808" i="106"/>
  <c r="D810" i="106"/>
  <c r="D816" i="106"/>
  <c r="D817" i="106"/>
  <c r="D818" i="106"/>
  <c r="D819" i="106"/>
  <c r="D820" i="106"/>
  <c r="D823" i="106"/>
  <c r="D824" i="106"/>
  <c r="D825" i="106"/>
  <c r="D826" i="106"/>
  <c r="D827" i="106"/>
  <c r="D829" i="106"/>
  <c r="D830" i="106"/>
  <c r="D831" i="106"/>
  <c r="B842" i="106"/>
  <c r="D842" i="106" s="1"/>
  <c r="D860" i="106"/>
  <c r="D866" i="106"/>
  <c r="D868" i="106"/>
  <c r="D874" i="106"/>
  <c r="D875" i="106"/>
  <c r="D876" i="106"/>
  <c r="D877" i="106"/>
  <c r="D878" i="106"/>
  <c r="D881" i="106"/>
  <c r="D882" i="106"/>
  <c r="D883" i="106"/>
  <c r="D884" i="106"/>
  <c r="D885" i="106"/>
  <c r="D887" i="106"/>
  <c r="D888" i="106"/>
  <c r="D889" i="106"/>
  <c r="B895" i="106"/>
  <c r="D895" i="106" s="1"/>
  <c r="B900" i="106"/>
  <c r="D900" i="106" s="1"/>
  <c r="B913" i="106"/>
  <c r="D913" i="106" s="1"/>
  <c r="B915" i="106"/>
  <c r="D915" i="106" s="1"/>
  <c r="D918" i="106"/>
  <c r="D924" i="106"/>
  <c r="D926" i="106"/>
  <c r="D932" i="106"/>
  <c r="D933" i="106"/>
  <c r="D934" i="106"/>
  <c r="D935" i="106"/>
  <c r="D936" i="106"/>
  <c r="D939" i="106"/>
  <c r="D940" i="106"/>
  <c r="D941" i="106"/>
  <c r="D942" i="106"/>
  <c r="D943" i="106"/>
  <c r="D945" i="106"/>
  <c r="D946" i="106"/>
  <c r="D947" i="106"/>
  <c r="B958" i="106"/>
  <c r="D958" i="106" s="1"/>
  <c r="D976" i="106"/>
  <c r="D982" i="106"/>
  <c r="D984" i="106"/>
  <c r="D990" i="106"/>
  <c r="D991" i="106"/>
  <c r="D992" i="106"/>
  <c r="D993" i="106"/>
  <c r="D994" i="106"/>
  <c r="D997" i="106"/>
  <c r="D998" i="106"/>
  <c r="D999" i="106"/>
  <c r="D1000" i="106"/>
  <c r="D1001" i="106"/>
  <c r="D1003" i="106"/>
  <c r="D1004" i="106"/>
  <c r="D1005" i="106"/>
  <c r="B1016" i="106"/>
  <c r="D1016" i="106" s="1"/>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K41" i="29"/>
  <c r="B1114" i="106" s="1"/>
  <c r="D1114" i="106" s="1"/>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B1341" i="106"/>
  <c r="D1341" i="106" s="1"/>
  <c r="D1342" i="106"/>
  <c r="D1343" i="106"/>
  <c r="D1348" i="106"/>
  <c r="D1349" i="106"/>
  <c r="D1355" i="106"/>
  <c r="D1356" i="106"/>
  <c r="D1361" i="106"/>
  <c r="D1362" i="106"/>
  <c r="D1367" i="106"/>
  <c r="D1368" i="106"/>
  <c r="D1374" i="106"/>
  <c r="D1378" i="106"/>
  <c r="D1379" i="106"/>
  <c r="D1386" i="106"/>
  <c r="K207" i="29"/>
  <c r="D1390" i="106"/>
  <c r="D1391" i="106"/>
  <c r="D1392" i="106"/>
  <c r="D1393" i="106"/>
  <c r="D1394" i="106"/>
  <c r="D1395" i="106"/>
  <c r="D1397" i="106"/>
  <c r="D1398" i="106"/>
  <c r="D1399" i="106"/>
  <c r="D1400" i="106"/>
  <c r="D1401" i="106"/>
  <c r="D1403" i="106"/>
  <c r="D1404" i="106"/>
  <c r="D1405" i="106"/>
  <c r="B1407" i="106"/>
  <c r="D1407" i="106" s="1"/>
  <c r="D1435" i="106"/>
  <c r="D1441" i="106"/>
  <c r="D1443" i="106"/>
  <c r="D1453" i="106"/>
  <c r="D1455" i="106"/>
  <c r="D1456" i="106"/>
  <c r="D1457" i="106"/>
  <c r="D1458" i="106"/>
  <c r="D1459" i="106"/>
  <c r="D1461" i="106"/>
  <c r="D1462" i="106"/>
  <c r="D1463" i="106"/>
  <c r="D1464" i="106"/>
  <c r="D1465" i="106"/>
  <c r="D1467" i="106"/>
  <c r="D1468" i="106"/>
  <c r="D1469" i="106"/>
  <c r="K222" i="29"/>
  <c r="B1471" i="106" s="1"/>
  <c r="D1471" i="106" s="1"/>
  <c r="K216" i="29"/>
  <c r="B7074" i="106" s="1"/>
  <c r="D7074" i="106" s="1"/>
  <c r="K218" i="29"/>
  <c r="F68" i="34" s="1"/>
  <c r="K226" i="29"/>
  <c r="D1499" i="106"/>
  <c r="D1505" i="106"/>
  <c r="D1507" i="106"/>
  <c r="D1516" i="106"/>
  <c r="D1520" i="106"/>
  <c r="D1521" i="106"/>
  <c r="B1522" i="106"/>
  <c r="D1522" i="106" s="1"/>
  <c r="D1526" i="106"/>
  <c r="D1527" i="106"/>
  <c r="B1528" i="106"/>
  <c r="D1528" i="106" s="1"/>
  <c r="D1532" i="106"/>
  <c r="D1533" i="106"/>
  <c r="B1534" i="106"/>
  <c r="D1534" i="106" s="1"/>
  <c r="D1538" i="106"/>
  <c r="D1539" i="106"/>
  <c r="B1540" i="106"/>
  <c r="D1540" i="106" s="1"/>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B2989" i="106"/>
  <c r="D2989" i="106" s="1"/>
  <c r="B2990" i="106"/>
  <c r="D2990" i="106" s="1"/>
  <c r="B2991" i="106"/>
  <c r="D2991" i="106" s="1"/>
  <c r="B2994" i="106"/>
  <c r="D2994"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7" i="106"/>
  <c r="D3567"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70" i="106"/>
  <c r="D5070" i="106" s="1"/>
  <c r="B5099" i="106"/>
  <c r="D509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B5247" i="106"/>
  <c r="D5247" i="106" s="1"/>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B5317" i="106"/>
  <c r="D5317" i="106" s="1"/>
  <c r="D5318" i="106"/>
  <c r="D5319" i="106"/>
  <c r="D5321" i="106"/>
  <c r="D5322" i="106"/>
  <c r="D5323" i="106"/>
  <c r="D5324" i="106"/>
  <c r="D5325" i="106"/>
  <c r="B5328" i="106"/>
  <c r="D5328" i="106" s="1"/>
  <c r="D5329" i="106"/>
  <c r="B5345" i="106"/>
  <c r="D5345"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24" i="106"/>
  <c r="D6224" i="106" s="1"/>
  <c r="J18" i="4"/>
  <c r="B6228" i="106" s="1"/>
  <c r="D6228" i="106" s="1"/>
  <c r="B6251" i="106"/>
  <c r="D6251" i="106" s="1"/>
  <c r="B6265" i="106"/>
  <c r="D626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914" i="106"/>
  <c r="D6914" i="106" s="1"/>
  <c r="B6915" i="106"/>
  <c r="D6915" i="106" s="1"/>
  <c r="B6983" i="106"/>
  <c r="D6983" i="106" s="1"/>
  <c r="K86" i="29"/>
  <c r="B6984" i="106" s="1"/>
  <c r="D6984" i="106" s="1"/>
  <c r="B7053" i="106"/>
  <c r="D7053" i="106" s="1"/>
  <c r="D7056" i="106"/>
  <c r="B7069" i="106"/>
  <c r="D7069" i="106" s="1"/>
  <c r="B7070" i="106"/>
  <c r="D7070" i="106" s="1"/>
  <c r="B7073" i="106"/>
  <c r="D7073" i="106" s="1"/>
  <c r="B7075" i="106"/>
  <c r="D7075" i="106" s="1"/>
  <c r="B7079" i="106"/>
  <c r="D7079" i="106" s="1"/>
  <c r="B7080" i="106"/>
  <c r="D7080" i="106" s="1"/>
  <c r="A7245" i="106"/>
  <c r="A7246" i="106" s="1"/>
  <c r="A7247" i="106" s="1"/>
  <c r="A7248" i="106" s="1"/>
  <c r="A7249" i="106" s="1"/>
  <c r="B7254"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79" i="36"/>
  <c r="B63" i="127"/>
  <c r="B6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4" i="7"/>
  <c r="B1744" i="106" s="1"/>
  <c r="D1744" i="106" s="1"/>
  <c r="B5" i="7"/>
  <c r="B1745" i="106" s="1"/>
  <c r="D1745"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194" i="29"/>
  <c r="L196" i="29" s="1"/>
  <c r="D7" i="118"/>
  <c r="D8" i="118"/>
  <c r="D9" i="118"/>
  <c r="B7685" i="106" l="1"/>
  <c r="D7685" i="106" s="1"/>
  <c r="K24" i="12"/>
  <c r="B7076" i="106"/>
  <c r="D7076" i="106" s="1"/>
  <c r="B2734" i="106"/>
  <c r="D2734" i="106" s="1"/>
  <c r="J22" i="37"/>
  <c r="N22" i="3"/>
  <c r="B283" i="106" s="1"/>
  <c r="D283" i="106" s="1"/>
  <c r="D22" i="37"/>
  <c r="D24" i="37"/>
  <c r="B4270" i="106" s="1"/>
  <c r="D4270" i="106" s="1"/>
  <c r="F67" i="34"/>
  <c r="D31" i="36"/>
  <c r="D11" i="37"/>
  <c r="H29" i="118"/>
  <c r="L13" i="11"/>
  <c r="B2060" i="106" s="1"/>
  <c r="D2060" i="106" s="1"/>
  <c r="B7727" i="106"/>
  <c r="D7727" i="106" s="1"/>
  <c r="H33" i="118"/>
  <c r="D5" i="7"/>
  <c r="B1761" i="106" s="1"/>
  <c r="D1761"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4" i="7"/>
  <c r="B1760" i="106" s="1"/>
  <c r="D1760" i="106" s="1"/>
  <c r="H28" i="118"/>
  <c r="F19" i="7"/>
  <c r="B1807" i="106" s="1"/>
  <c r="D1807" i="106" s="1"/>
  <c r="F21" i="8"/>
  <c r="L15" i="11"/>
  <c r="B3459" i="106" s="1"/>
  <c r="D3459" i="106" s="1"/>
  <c r="I24" i="12"/>
  <c r="J90" i="28"/>
  <c r="B79" i="36"/>
  <c r="B77" i="36"/>
  <c r="F16" i="1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7733" i="106" l="1"/>
  <c r="D7733" i="106" s="1"/>
  <c r="K26" i="12"/>
  <c r="B7743" i="106" s="1"/>
  <c r="D7743" i="106" s="1"/>
  <c r="L16" i="11"/>
  <c r="B2061" i="106" s="1"/>
  <c r="D2061" i="106" s="1"/>
  <c r="K28" i="118"/>
  <c r="O27" i="118" s="1"/>
  <c r="O29" i="118" s="1"/>
  <c r="M23" i="3"/>
  <c r="B6297" i="106"/>
  <c r="D6297" i="106" s="1"/>
  <c r="D7254" i="106"/>
  <c r="B2031" i="106"/>
  <c r="D2031" i="106" s="1"/>
  <c r="B1879" i="106"/>
  <c r="D1879" i="106" s="1"/>
  <c r="H22" i="37"/>
  <c r="B1996" i="106"/>
  <c r="D1996" i="106" s="1"/>
  <c r="I26" i="12"/>
  <c r="B7741" i="106" s="1"/>
  <c r="D7741" i="106" s="1"/>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B279" i="106"/>
  <c r="D279" i="106" s="1"/>
  <c r="M40" i="3"/>
  <c r="A7259" i="106"/>
  <c r="H37" i="37"/>
  <c r="B285" i="106"/>
  <c r="D285" i="106" s="1"/>
  <c r="N37" i="3"/>
  <c r="B280" i="106" l="1"/>
  <c r="D280" i="106" s="1"/>
  <c r="M41" i="3"/>
  <c r="N41" i="3"/>
  <c r="B287" i="106"/>
  <c r="D287" i="106" s="1"/>
  <c r="B4997" i="106"/>
  <c r="D4997" i="106" s="1"/>
  <c r="H32" i="118"/>
  <c r="K32" i="118" s="1"/>
  <c r="O31" i="118" s="1"/>
  <c r="O33" i="118" s="1"/>
  <c r="A7260" i="106"/>
  <c r="K190" i="29" l="1"/>
  <c r="B3009" i="106" s="1"/>
  <c r="D3009" i="106" s="1"/>
  <c r="K188" i="29"/>
  <c r="B3007" i="106" s="1"/>
  <c r="D3007" i="106" s="1"/>
  <c r="K302" i="29"/>
  <c r="B1558" i="106" s="1"/>
  <c r="D1558" i="106" s="1"/>
  <c r="L204" i="29"/>
  <c r="L208" i="29" s="1"/>
  <c r="F42" i="29"/>
  <c r="B901" i="106" s="1"/>
  <c r="D901" i="106" s="1"/>
  <c r="K189" i="29"/>
  <c r="B3008" i="106" s="1"/>
  <c r="D3008" i="106" s="1"/>
  <c r="E194" i="29"/>
  <c r="K193" i="29"/>
  <c r="B3012" i="106" s="1"/>
  <c r="D3012" i="106" s="1"/>
  <c r="C211" i="5"/>
  <c r="F169" i="34"/>
  <c r="C12" i="5"/>
  <c r="B5066" i="106" s="1"/>
  <c r="D5066" i="106" s="1"/>
  <c r="D12" i="5"/>
  <c r="C13" i="3"/>
  <c r="B77" i="106" s="1"/>
  <c r="D77" i="106" s="1"/>
  <c r="B6189" i="106"/>
  <c r="D6189" i="106" s="1"/>
  <c r="K8" i="29"/>
  <c r="B3380" i="106" s="1"/>
  <c r="D3380" i="106" s="1"/>
  <c r="B3366" i="106"/>
  <c r="D3366" i="106" s="1"/>
  <c r="F121" i="34"/>
  <c r="B4915" i="106"/>
  <c r="D4915" i="106" s="1"/>
  <c r="B1254" i="106"/>
  <c r="D1254" i="106" s="1"/>
  <c r="K126" i="29"/>
  <c r="B1277" i="106" s="1"/>
  <c r="D1277" i="106" s="1"/>
  <c r="B2952" i="106"/>
  <c r="D2952" i="106" s="1"/>
  <c r="K81" i="29"/>
  <c r="B2976" i="106" s="1"/>
  <c r="D2976" i="106" s="1"/>
  <c r="B5139" i="106"/>
  <c r="D5139" i="106" s="1"/>
  <c r="B4217" i="106"/>
  <c r="D4217" i="106" s="1"/>
  <c r="B4082" i="106"/>
  <c r="D4082" i="106" s="1"/>
  <c r="D184" i="29"/>
  <c r="B3058" i="106"/>
  <c r="D3058" i="106" s="1"/>
  <c r="B5921" i="106"/>
  <c r="D5921" i="106" s="1"/>
  <c r="I47" i="4"/>
  <c r="B7748" i="106"/>
  <c r="D7748" i="106" s="1"/>
  <c r="C44" i="4"/>
  <c r="B6258" i="106"/>
  <c r="D6258" i="106" s="1"/>
  <c r="B5153" i="106"/>
  <c r="D5153" i="106" s="1"/>
  <c r="B6112" i="106"/>
  <c r="D6112" i="106" s="1"/>
  <c r="B7026" i="106"/>
  <c r="D7026" i="106" s="1"/>
  <c r="B2829" i="106"/>
  <c r="D2829" i="106" s="1"/>
  <c r="B5705" i="106"/>
  <c r="D5705" i="106" s="1"/>
  <c r="B6159" i="106"/>
  <c r="D6159" i="106" s="1"/>
  <c r="B6150" i="106"/>
  <c r="D6150" i="106" s="1"/>
  <c r="K282" i="29"/>
  <c r="B7784" i="106" s="1"/>
  <c r="D7784" i="106" s="1"/>
  <c r="D285" i="29"/>
  <c r="B3722" i="106" s="1"/>
  <c r="D3722" i="106" s="1"/>
  <c r="B7783" i="106"/>
  <c r="D7783" i="106" s="1"/>
  <c r="B6090" i="106"/>
  <c r="D6090" i="106" s="1"/>
  <c r="B5691" i="106"/>
  <c r="D5691" i="106" s="1"/>
  <c r="F224" i="5"/>
  <c r="B5703" i="106" s="1"/>
  <c r="D5703" i="106" s="1"/>
  <c r="B3530" i="106"/>
  <c r="D3530" i="106" s="1"/>
  <c r="B6722" i="106"/>
  <c r="D6722" i="106" s="1"/>
  <c r="L53" i="29"/>
  <c r="B7659" i="106"/>
  <c r="D7659" i="106" s="1"/>
  <c r="B917" i="106"/>
  <c r="D917" i="106" s="1"/>
  <c r="B1037" i="106"/>
  <c r="D1037" i="106" s="1"/>
  <c r="L168" i="29"/>
  <c r="L172" i="29" s="1"/>
  <c r="B6671" i="106"/>
  <c r="D6671" i="106" s="1"/>
  <c r="B6845" i="106"/>
  <c r="D6845" i="106" s="1"/>
  <c r="J33" i="29"/>
  <c r="B6903" i="106" s="1"/>
  <c r="D6903" i="106" s="1"/>
  <c r="B1029" i="106"/>
  <c r="D1029" i="106" s="1"/>
  <c r="B906" i="106"/>
  <c r="D906" i="106" s="1"/>
  <c r="F53" i="29"/>
  <c r="B908" i="106" s="1"/>
  <c r="D908" i="106" s="1"/>
  <c r="B6304" i="106"/>
  <c r="D6304" i="106" s="1"/>
  <c r="E84" i="29"/>
  <c r="K78" i="29"/>
  <c r="B2973" i="106" s="1"/>
  <c r="D2973" i="106" s="1"/>
  <c r="B2949" i="106"/>
  <c r="D2949" i="106" s="1"/>
  <c r="B6361" i="106"/>
  <c r="D6361" i="106" s="1"/>
  <c r="B4446" i="106"/>
  <c r="D4446" i="106" s="1"/>
  <c r="B6815" i="106"/>
  <c r="D6815" i="106" s="1"/>
  <c r="B1344" i="106"/>
  <c r="D1344" i="106" s="1"/>
  <c r="B152" i="106"/>
  <c r="D152" i="106" s="1"/>
  <c r="L100" i="29"/>
  <c r="B5692" i="106"/>
  <c r="D5692" i="106" s="1"/>
  <c r="B6712" i="106"/>
  <c r="D6712" i="106" s="1"/>
  <c r="F147" i="34"/>
  <c r="H41" i="4"/>
  <c r="B6250" i="106"/>
  <c r="D6250" i="106" s="1"/>
  <c r="B6864" i="106"/>
  <c r="D6864" i="106" s="1"/>
  <c r="B4354" i="106"/>
  <c r="D4354" i="106" s="1"/>
  <c r="K172" i="5"/>
  <c r="B5000" i="106" s="1"/>
  <c r="D5000" i="106" s="1"/>
  <c r="B6374" i="106"/>
  <c r="D6374" i="106" s="1"/>
  <c r="L238" i="29"/>
  <c r="B4381" i="106"/>
  <c r="D4381" i="106" s="1"/>
  <c r="B4380" i="106"/>
  <c r="D4380" i="106" s="1"/>
  <c r="B4190" i="106"/>
  <c r="D4190" i="106" s="1"/>
  <c r="B6703" i="106"/>
  <c r="D6703" i="106" s="1"/>
  <c r="B6693" i="106"/>
  <c r="D6693" i="106" s="1"/>
  <c r="B5763" i="106"/>
  <c r="D5763" i="106" s="1"/>
  <c r="B6930" i="106"/>
  <c r="D6930" i="106" s="1"/>
  <c r="C228" i="5"/>
  <c r="B5301" i="106"/>
  <c r="D5301" i="106" s="1"/>
  <c r="B6001" i="106"/>
  <c r="D6001" i="106" s="1"/>
  <c r="B1019" i="106"/>
  <c r="D1019" i="106" s="1"/>
  <c r="B5064" i="106"/>
  <c r="D5064" i="106" s="1"/>
  <c r="B17" i="7"/>
  <c r="B4102" i="106" s="1"/>
  <c r="D4102" i="106" s="1"/>
  <c r="B751" i="106"/>
  <c r="D751" i="106" s="1"/>
  <c r="K71" i="29"/>
  <c r="D37" i="108" s="1"/>
  <c r="B6789" i="106"/>
  <c r="D6789" i="106" s="1"/>
  <c r="B1237" i="106"/>
  <c r="D1237" i="106" s="1"/>
  <c r="B4316" i="106"/>
  <c r="D4316" i="106" s="1"/>
  <c r="K264" i="29"/>
  <c r="B1493" i="106" s="1"/>
  <c r="D1493" i="106" s="1"/>
  <c r="B1429" i="106"/>
  <c r="D1429" i="106" s="1"/>
  <c r="B5519" i="106"/>
  <c r="D5519" i="106" s="1"/>
  <c r="E67" i="5"/>
  <c r="B5521" i="106" s="1"/>
  <c r="D5521" i="106" s="1"/>
  <c r="B6863" i="106"/>
  <c r="D6863" i="106" s="1"/>
  <c r="B6679" i="106"/>
  <c r="D6679" i="106" s="1"/>
  <c r="B6365" i="106"/>
  <c r="D6365" i="106" s="1"/>
  <c r="B718" i="106"/>
  <c r="D718" i="106" s="1"/>
  <c r="K14" i="29"/>
  <c r="B1106" i="106" s="1"/>
  <c r="D1106" i="106" s="1"/>
  <c r="B6379" i="106"/>
  <c r="D6379" i="106" s="1"/>
  <c r="B1412" i="106"/>
  <c r="D1412" i="106" s="1"/>
  <c r="K233" i="29"/>
  <c r="B1476" i="106" s="1"/>
  <c r="D1476" i="106" s="1"/>
  <c r="F165" i="34"/>
  <c r="B5312" i="106"/>
  <c r="D5312" i="106" s="1"/>
  <c r="F47" i="29"/>
  <c r="B905" i="106" s="1"/>
  <c r="D905" i="106" s="1"/>
  <c r="B902" i="106"/>
  <c r="D902" i="106" s="1"/>
  <c r="B6648" i="106"/>
  <c r="D6648" i="106" s="1"/>
  <c r="B4356" i="106"/>
  <c r="D4356" i="106" s="1"/>
  <c r="B7178" i="106"/>
  <c r="D7178" i="106" s="1"/>
  <c r="B6689" i="106"/>
  <c r="D6689" i="106" s="1"/>
  <c r="B5529" i="106"/>
  <c r="D5529" i="106" s="1"/>
  <c r="B5079" i="106"/>
  <c r="D5079" i="106" s="1"/>
  <c r="B6136" i="106"/>
  <c r="D6136" i="106" s="1"/>
  <c r="B620" i="106"/>
  <c r="D620" i="106" s="1"/>
  <c r="B6295" i="106"/>
  <c r="D6295" i="106" s="1"/>
  <c r="C201" i="5"/>
  <c r="B6401" i="106"/>
  <c r="D6401" i="106" s="1"/>
  <c r="B4811" i="106"/>
  <c r="D4811" i="106" s="1"/>
  <c r="B6092" i="106"/>
  <c r="D6092" i="106" s="1"/>
  <c r="L72" i="29"/>
  <c r="B7636" i="106"/>
  <c r="B7668" i="106"/>
  <c r="D7668" i="106" s="1"/>
  <c r="B4341" i="106"/>
  <c r="D4341" i="106" s="1"/>
  <c r="B5877" i="106"/>
  <c r="D5877" i="106" s="1"/>
  <c r="B3627" i="106"/>
  <c r="D3627" i="106" s="1"/>
  <c r="K80" i="29"/>
  <c r="B2975" i="106" s="1"/>
  <c r="D2975" i="106" s="1"/>
  <c r="B2951" i="106"/>
  <c r="D2951" i="106" s="1"/>
  <c r="B1229" i="106"/>
  <c r="D1229" i="106" s="1"/>
  <c r="B892" i="106"/>
  <c r="D892" i="106" s="1"/>
  <c r="K136" i="29"/>
  <c r="B2988" i="106" s="1"/>
  <c r="D2988" i="106" s="1"/>
  <c r="B4201" i="106"/>
  <c r="D4201" i="106" s="1"/>
  <c r="B6823" i="106"/>
  <c r="D6823" i="106" s="1"/>
  <c r="B788" i="106"/>
  <c r="D788" i="106" s="1"/>
  <c r="B7028" i="106"/>
  <c r="D7028" i="106" s="1"/>
  <c r="B2797" i="106"/>
  <c r="D2797" i="106" s="1"/>
  <c r="K130" i="29"/>
  <c r="B1032" i="106"/>
  <c r="D1032" i="106" s="1"/>
  <c r="B2997" i="106"/>
  <c r="D2997" i="106" s="1"/>
  <c r="B6710" i="106"/>
  <c r="D6710" i="106" s="1"/>
  <c r="B822" i="106"/>
  <c r="D822" i="106" s="1"/>
  <c r="B6726" i="106"/>
  <c r="D6726" i="106" s="1"/>
  <c r="D57" i="29"/>
  <c r="B795" i="106" s="1"/>
  <c r="D795" i="106" s="1"/>
  <c r="B793" i="106"/>
  <c r="D793" i="106" s="1"/>
  <c r="B4876" i="106"/>
  <c r="D4876" i="106" s="1"/>
  <c r="B1552" i="106"/>
  <c r="D1552" i="106" s="1"/>
  <c r="B5391" i="106"/>
  <c r="D5391" i="106" s="1"/>
  <c r="D154" i="5"/>
  <c r="B5394" i="106" s="1"/>
  <c r="D5394" i="106" s="1"/>
  <c r="B955" i="106"/>
  <c r="D955" i="106" s="1"/>
  <c r="B324" i="106"/>
  <c r="D324" i="106" s="1"/>
  <c r="B5757" i="106"/>
  <c r="D5757" i="106" s="1"/>
  <c r="I72" i="29"/>
  <c r="B6973" i="106" s="1"/>
  <c r="D6973" i="106" s="1"/>
  <c r="B6963" i="106"/>
  <c r="D6963" i="106" s="1"/>
  <c r="B5337" i="106"/>
  <c r="D5337" i="106" s="1"/>
  <c r="B4918" i="106"/>
  <c r="D4918" i="106" s="1"/>
  <c r="B7232" i="106"/>
  <c r="D7232" i="106" s="1"/>
  <c r="B6683" i="106"/>
  <c r="D6683" i="106" s="1"/>
  <c r="B7262" i="106"/>
  <c r="B6751" i="106"/>
  <c r="D6751" i="106" s="1"/>
  <c r="B7023" i="106"/>
  <c r="D7023" i="106" s="1"/>
  <c r="B774" i="106"/>
  <c r="D774" i="106" s="1"/>
  <c r="K101" i="29"/>
  <c r="B7015" i="106" s="1"/>
  <c r="D7015" i="106" s="1"/>
  <c r="B2947" i="106"/>
  <c r="D2947" i="106" s="1"/>
  <c r="B5672" i="106"/>
  <c r="D5672" i="106" s="1"/>
  <c r="B198" i="106"/>
  <c r="D198" i="106" s="1"/>
  <c r="B6315" i="106"/>
  <c r="D6315" i="106" s="1"/>
  <c r="F28" i="34"/>
  <c r="B5422" i="106"/>
  <c r="D5422" i="106" s="1"/>
  <c r="D178" i="5"/>
  <c r="B5423" i="106" s="1"/>
  <c r="D5423" i="106" s="1"/>
  <c r="D191" i="5"/>
  <c r="B4396" i="106" s="1"/>
  <c r="D4396" i="106" s="1"/>
  <c r="B5426" i="106"/>
  <c r="D5426" i="106" s="1"/>
  <c r="B3084" i="106"/>
  <c r="D3084" i="106" s="1"/>
  <c r="B2769" i="106"/>
  <c r="D2769" i="106" s="1"/>
  <c r="B1012" i="106"/>
  <c r="D1012" i="106" s="1"/>
  <c r="B6651" i="106"/>
  <c r="D6651" i="106" s="1"/>
  <c r="B6691" i="106"/>
  <c r="D6691" i="106" s="1"/>
  <c r="B5387" i="106"/>
  <c r="D5387" i="106" s="1"/>
  <c r="I67" i="5"/>
  <c r="B5926" i="106" s="1"/>
  <c r="D5926" i="106" s="1"/>
  <c r="B5924" i="106"/>
  <c r="D5924" i="106" s="1"/>
  <c r="F172" i="34"/>
  <c r="B4358" i="106"/>
  <c r="D4358" i="106" s="1"/>
  <c r="B3417" i="106"/>
  <c r="D3417" i="106" s="1"/>
  <c r="D36" i="36"/>
  <c r="E13" i="3"/>
  <c r="B131" i="106" s="1"/>
  <c r="D131" i="106" s="1"/>
  <c r="B7228" i="106"/>
  <c r="D7228" i="106" s="1"/>
  <c r="B5591" i="106"/>
  <c r="D5591" i="106" s="1"/>
  <c r="K291" i="29"/>
  <c r="B2846" i="106" s="1"/>
  <c r="D2846" i="106" s="1"/>
  <c r="B2844" i="106"/>
  <c r="D2844" i="106" s="1"/>
  <c r="B6339" i="106"/>
  <c r="D6339" i="106" s="1"/>
  <c r="L277" i="29"/>
  <c r="B3259" i="106"/>
  <c r="D3259" i="106" s="1"/>
  <c r="G76" i="4"/>
  <c r="B3260" i="106" s="1"/>
  <c r="D3260" i="106" s="1"/>
  <c r="B97" i="106"/>
  <c r="D97" i="106" s="1"/>
  <c r="B6089" i="106"/>
  <c r="D6089" i="106" s="1"/>
  <c r="B7662" i="106"/>
  <c r="D7662" i="106" s="1"/>
  <c r="B6411" i="106"/>
  <c r="D6411" i="106" s="1"/>
  <c r="B6171" i="106"/>
  <c r="D6171" i="106" s="1"/>
  <c r="B1413" i="106"/>
  <c r="D1413" i="106" s="1"/>
  <c r="K234" i="29"/>
  <c r="B1477" i="106" s="1"/>
  <c r="D1477" i="106" s="1"/>
  <c r="B7229" i="106"/>
  <c r="D7229" i="106" s="1"/>
  <c r="B1415" i="106"/>
  <c r="D1415" i="106" s="1"/>
  <c r="K236" i="29"/>
  <c r="B1479" i="106" s="1"/>
  <c r="D1479" i="106" s="1"/>
  <c r="B6624" i="106"/>
  <c r="D6624" i="106" s="1"/>
  <c r="B781" i="106"/>
  <c r="D781" i="106" s="1"/>
  <c r="B6935" i="106"/>
  <c r="D6935" i="106" s="1"/>
  <c r="B6138" i="106"/>
  <c r="D6138" i="106" s="1"/>
  <c r="B7750" i="106"/>
  <c r="D7750" i="106" s="1"/>
  <c r="B5876" i="106"/>
  <c r="D5876" i="106" s="1"/>
  <c r="B2885" i="106"/>
  <c r="D2885" i="106" s="1"/>
  <c r="B6817" i="106"/>
  <c r="D6817" i="106" s="1"/>
  <c r="F159" i="34"/>
  <c r="E42" i="29"/>
  <c r="B843" i="106" s="1"/>
  <c r="D843" i="106" s="1"/>
  <c r="B837" i="106"/>
  <c r="D837" i="106" s="1"/>
  <c r="B5336" i="106"/>
  <c r="D5336" i="106" s="1"/>
  <c r="B5516" i="106"/>
  <c r="D5516" i="106" s="1"/>
  <c r="B5791" i="106"/>
  <c r="D5791" i="106" s="1"/>
  <c r="B6799" i="106"/>
  <c r="D6799" i="106" s="1"/>
  <c r="B4322" i="106"/>
  <c r="D4322" i="106" s="1"/>
  <c r="B6310" i="106"/>
  <c r="D6310" i="106" s="1"/>
  <c r="B6147" i="106"/>
  <c r="D6147" i="106" s="1"/>
  <c r="B6333" i="106"/>
  <c r="D6333" i="106" s="1"/>
  <c r="B4886" i="106"/>
  <c r="D4886" i="106" s="1"/>
  <c r="B840" i="106"/>
  <c r="D840" i="106" s="1"/>
  <c r="B6309" i="106"/>
  <c r="D6309" i="106" s="1"/>
  <c r="B6371" i="106"/>
  <c r="D6371" i="106" s="1"/>
  <c r="H172" i="5"/>
  <c r="B5899" i="106" s="1"/>
  <c r="D5899" i="106" s="1"/>
  <c r="B4410" i="106"/>
  <c r="D4410" i="106" s="1"/>
  <c r="L293" i="29"/>
  <c r="K252" i="29"/>
  <c r="B7090" i="106" s="1"/>
  <c r="D7090" i="106" s="1"/>
  <c r="B7089" i="106"/>
  <c r="D7089" i="106" s="1"/>
  <c r="B5654" i="106"/>
  <c r="D5654" i="106" s="1"/>
  <c r="F178" i="5"/>
  <c r="B5655" i="106" s="1"/>
  <c r="D5655" i="106" s="1"/>
  <c r="B6245" i="106"/>
  <c r="D6245" i="106" s="1"/>
  <c r="B6377" i="106"/>
  <c r="D6377" i="106" s="1"/>
  <c r="B6637" i="106"/>
  <c r="D6637" i="106" s="1"/>
  <c r="B7752" i="106"/>
  <c r="D7752" i="106" s="1"/>
  <c r="G44" i="4"/>
  <c r="B3258" i="106" s="1"/>
  <c r="D3258" i="106" s="1"/>
  <c r="B5107" i="106"/>
  <c r="D5107" i="106" s="1"/>
  <c r="F98" i="34"/>
  <c r="B6386" i="106"/>
  <c r="D6386" i="106" s="1"/>
  <c r="B1437" i="106"/>
  <c r="D1437" i="106" s="1"/>
  <c r="D277" i="29"/>
  <c r="B1444" i="106" s="1"/>
  <c r="D1444" i="106" s="1"/>
  <c r="K272" i="29"/>
  <c r="B6704" i="106"/>
  <c r="D6704" i="106" s="1"/>
  <c r="B5346" i="106"/>
  <c r="D5346" i="106" s="1"/>
  <c r="B7261" i="106"/>
  <c r="B2999" i="106"/>
  <c r="D2999" i="106" s="1"/>
  <c r="B6719" i="106"/>
  <c r="D6719" i="106" s="1"/>
  <c r="B4310" i="106"/>
  <c r="D4310" i="106" s="1"/>
  <c r="B7121" i="106"/>
  <c r="D7121" i="106" s="1"/>
  <c r="F330" i="29"/>
  <c r="B954" i="106"/>
  <c r="D954" i="106" s="1"/>
  <c r="B5880" i="106"/>
  <c r="D5880" i="106" s="1"/>
  <c r="B6235" i="106"/>
  <c r="D6235" i="106" s="1"/>
  <c r="B7680" i="106"/>
  <c r="D7680" i="106" s="1"/>
  <c r="F12" i="5"/>
  <c r="B5553" i="106"/>
  <c r="D5553" i="106" s="1"/>
  <c r="B7" i="7"/>
  <c r="B6362" i="106"/>
  <c r="D6362" i="106" s="1"/>
  <c r="I13" i="3"/>
  <c r="B2888" i="106" s="1"/>
  <c r="D2888" i="106" s="1"/>
  <c r="B3427" i="106"/>
  <c r="D3427" i="106" s="1"/>
  <c r="D40" i="36"/>
  <c r="B1245" i="106"/>
  <c r="D1245" i="106" s="1"/>
  <c r="B5068" i="106"/>
  <c r="D5068" i="106" s="1"/>
  <c r="B6123" i="106"/>
  <c r="D6123" i="106" s="1"/>
  <c r="B5496" i="106"/>
  <c r="D5496" i="106" s="1"/>
  <c r="B2981" i="106"/>
  <c r="D2981" i="106" s="1"/>
  <c r="B7754" i="106"/>
  <c r="D7754" i="106" s="1"/>
  <c r="J44" i="4"/>
  <c r="B7695" i="106"/>
  <c r="D7695" i="106" s="1"/>
  <c r="B6966" i="106"/>
  <c r="D6966" i="106" s="1"/>
  <c r="B2843" i="106"/>
  <c r="D2843" i="106" s="1"/>
  <c r="K290" i="29"/>
  <c r="B2845" i="106" s="1"/>
  <c r="D2845" i="106" s="1"/>
  <c r="B6323" i="106"/>
  <c r="D6323" i="106" s="1"/>
  <c r="B3483" i="106"/>
  <c r="D3483" i="106" s="1"/>
  <c r="B6094" i="106"/>
  <c r="D6094" i="106" s="1"/>
  <c r="B5732" i="106"/>
  <c r="D5732" i="106" s="1"/>
  <c r="B6337" i="106"/>
  <c r="D6337" i="106" s="1"/>
  <c r="J47" i="29"/>
  <c r="B6925" i="106" s="1"/>
  <c r="D6925" i="106" s="1"/>
  <c r="B6919" i="106"/>
  <c r="D6919" i="106" s="1"/>
  <c r="B5118" i="106"/>
  <c r="D5118" i="106" s="1"/>
  <c r="F104" i="34"/>
  <c r="F100" i="34"/>
  <c r="B5111" i="106"/>
  <c r="D5111" i="106" s="1"/>
  <c r="B6705" i="106"/>
  <c r="D6705" i="106" s="1"/>
  <c r="B6119" i="106"/>
  <c r="D6119" i="106" s="1"/>
  <c r="B6322" i="106"/>
  <c r="D6322" i="106" s="1"/>
  <c r="B6820" i="106"/>
  <c r="D6820" i="106" s="1"/>
  <c r="B3534" i="106"/>
  <c r="D3534" i="106" s="1"/>
  <c r="B4313" i="106"/>
  <c r="D4313" i="106" s="1"/>
  <c r="F30" i="34"/>
  <c r="C76" i="4"/>
  <c r="B3231" i="106" s="1"/>
  <c r="D3231" i="106" s="1"/>
  <c r="B5022" i="106"/>
  <c r="D5022" i="106" s="1"/>
  <c r="B6623" i="106"/>
  <c r="D6623" i="106" s="1"/>
  <c r="D257" i="29"/>
  <c r="B1424" i="106" s="1"/>
  <c r="D1424" i="106" s="1"/>
  <c r="B1422" i="106"/>
  <c r="D1422" i="106" s="1"/>
  <c r="K245" i="29"/>
  <c r="B105" i="106"/>
  <c r="D105" i="106" s="1"/>
  <c r="B7066" i="106"/>
  <c r="D7066" i="106" s="1"/>
  <c r="B6615" i="106"/>
  <c r="D6615" i="106" s="1"/>
  <c r="D259" i="5"/>
  <c r="B6834" i="106" s="1"/>
  <c r="D6834" i="106" s="1"/>
  <c r="B898" i="106"/>
  <c r="D898" i="106" s="1"/>
  <c r="F96" i="34"/>
  <c r="C93" i="5"/>
  <c r="B5112" i="106" s="1"/>
  <c r="D5112" i="106" s="1"/>
  <c r="B5103" i="106"/>
  <c r="D5103" i="106" s="1"/>
  <c r="B6381" i="106"/>
  <c r="D6381" i="106" s="1"/>
  <c r="B179" i="106"/>
  <c r="D179" i="106" s="1"/>
  <c r="B3484" i="106"/>
  <c r="D3484" i="106" s="1"/>
  <c r="B5358" i="106"/>
  <c r="D5358" i="106" s="1"/>
  <c r="B6152" i="106"/>
  <c r="D6152" i="106" s="1"/>
  <c r="B3618" i="106"/>
  <c r="D3618" i="106" s="1"/>
  <c r="K349" i="29"/>
  <c r="B3669" i="106" s="1"/>
  <c r="D3669" i="106" s="1"/>
  <c r="B6175" i="106"/>
  <c r="D6175" i="106" s="1"/>
  <c r="B5593" i="106"/>
  <c r="D5593" i="106" s="1"/>
  <c r="F121" i="5"/>
  <c r="B5599" i="106" s="1"/>
  <c r="D5599" i="106" s="1"/>
  <c r="B6932" i="106"/>
  <c r="D6932" i="106" s="1"/>
  <c r="K52" i="29"/>
  <c r="B6940" i="106" s="1"/>
  <c r="D6940" i="106" s="1"/>
  <c r="B7675" i="106"/>
  <c r="D7675" i="106" s="1"/>
  <c r="L110" i="29"/>
  <c r="L112" i="29" s="1"/>
  <c r="B6754" i="106"/>
  <c r="D6754" i="106" s="1"/>
  <c r="B6653" i="106"/>
  <c r="D6653" i="106" s="1"/>
  <c r="B6715" i="106"/>
  <c r="D6715" i="106" s="1"/>
  <c r="B1224" i="106"/>
  <c r="D1224" i="106" s="1"/>
  <c r="K128" i="29"/>
  <c r="B1280" i="106" s="1"/>
  <c r="D1280" i="106" s="1"/>
  <c r="B7130" i="106"/>
  <c r="D7130" i="106" s="1"/>
  <c r="B6181" i="106"/>
  <c r="D6181" i="106" s="1"/>
  <c r="B3376" i="106"/>
  <c r="D3376" i="106" s="1"/>
  <c r="B7703" i="106"/>
  <c r="D7703" i="106" s="1"/>
  <c r="K68" i="29"/>
  <c r="B747" i="106"/>
  <c r="D747" i="106" s="1"/>
  <c r="B5671" i="106"/>
  <c r="D5671" i="106" s="1"/>
  <c r="B6233" i="106"/>
  <c r="D6233" i="106" s="1"/>
  <c r="B4332" i="106"/>
  <c r="D4332" i="106" s="1"/>
  <c r="D140" i="5"/>
  <c r="B5383" i="106" s="1"/>
  <c r="D5383" i="106" s="1"/>
  <c r="B5370" i="106"/>
  <c r="D5370" i="106" s="1"/>
  <c r="E350" i="29"/>
  <c r="B3631" i="106"/>
  <c r="D3631" i="106" s="1"/>
  <c r="B5581" i="106"/>
  <c r="D5581" i="106" s="1"/>
  <c r="B6788" i="106"/>
  <c r="D6788" i="106" s="1"/>
  <c r="B5351" i="106"/>
  <c r="D5351" i="106" s="1"/>
  <c r="B5177" i="106"/>
  <c r="D5177" i="106" s="1"/>
  <c r="B6979" i="106"/>
  <c r="D6979" i="106" s="1"/>
  <c r="B5590" i="106"/>
  <c r="D5590" i="106" s="1"/>
  <c r="B6778" i="106"/>
  <c r="D6778" i="106" s="1"/>
  <c r="K355" i="29"/>
  <c r="B7237" i="106"/>
  <c r="D7237" i="106" s="1"/>
  <c r="B7793" i="106"/>
  <c r="D7793" i="106" s="1"/>
  <c r="B156" i="106"/>
  <c r="D156" i="106" s="1"/>
  <c r="B4192" i="106"/>
  <c r="D4192" i="106" s="1"/>
  <c r="B6785" i="106"/>
  <c r="D6785" i="106" s="1"/>
  <c r="K44" i="4"/>
  <c r="B3584" i="106" s="1"/>
  <c r="D3584" i="106" s="1"/>
  <c r="B7755" i="106"/>
  <c r="D7755" i="106" s="1"/>
  <c r="F135" i="34"/>
  <c r="B4340" i="106"/>
  <c r="D4340" i="106" s="1"/>
  <c r="B5583" i="106"/>
  <c r="D5583" i="106" s="1"/>
  <c r="F108" i="5"/>
  <c r="B5587" i="106" s="1"/>
  <c r="D5587" i="106" s="1"/>
  <c r="L285" i="29"/>
  <c r="B1244" i="106"/>
  <c r="D1244" i="106" s="1"/>
  <c r="B6827" i="106"/>
  <c r="D6827" i="106" s="1"/>
  <c r="B4235" i="106"/>
  <c r="D4235" i="106" s="1"/>
  <c r="B5279" i="106"/>
  <c r="D5279" i="106" s="1"/>
  <c r="F133" i="34"/>
  <c r="B4369" i="106"/>
  <c r="D4369" i="106" s="1"/>
  <c r="B6164" i="106"/>
  <c r="D6164" i="106" s="1"/>
  <c r="B6792" i="106"/>
  <c r="D6792" i="106" s="1"/>
  <c r="K165" i="29"/>
  <c r="B2818" i="106" s="1"/>
  <c r="D2818" i="106" s="1"/>
  <c r="B2812" i="106"/>
  <c r="D2812" i="106" s="1"/>
  <c r="B923" i="106"/>
  <c r="D923" i="106" s="1"/>
  <c r="B2762" i="106"/>
  <c r="D2762" i="106" s="1"/>
  <c r="K18" i="5"/>
  <c r="B5992" i="106" s="1"/>
  <c r="D5992" i="106" s="1"/>
  <c r="B5988" i="106"/>
  <c r="D5988" i="106" s="1"/>
  <c r="B5171" i="106"/>
  <c r="D5171" i="106" s="1"/>
  <c r="F124" i="34"/>
  <c r="B4329" i="106"/>
  <c r="D4329" i="106" s="1"/>
  <c r="B2826" i="106"/>
  <c r="D2826" i="106" s="1"/>
  <c r="B6690" i="106"/>
  <c r="D6690" i="106" s="1"/>
  <c r="F146" i="34"/>
  <c r="B3698" i="106"/>
  <c r="D3698" i="106" s="1"/>
  <c r="K52" i="4"/>
  <c r="F211" i="5"/>
  <c r="B5677" i="106" s="1"/>
  <c r="D5677" i="106" s="1"/>
  <c r="B5664" i="106"/>
  <c r="D5664" i="106" s="1"/>
  <c r="B7029" i="106"/>
  <c r="D7029" i="106" s="1"/>
  <c r="B886" i="106"/>
  <c r="D886" i="106" s="1"/>
  <c r="B6708" i="106"/>
  <c r="D6708" i="106" s="1"/>
  <c r="B7046" i="106"/>
  <c r="D7046" i="106" s="1"/>
  <c r="B6346" i="106"/>
  <c r="D6346" i="106" s="1"/>
  <c r="B5925" i="106"/>
  <c r="D5925" i="106" s="1"/>
  <c r="B5350" i="106"/>
  <c r="D5350" i="106" s="1"/>
  <c r="B1030" i="106"/>
  <c r="D1030" i="106" s="1"/>
  <c r="B7137" i="106"/>
  <c r="D7137" i="106" s="1"/>
  <c r="K217" i="29"/>
  <c r="B3391" i="106" s="1"/>
  <c r="D3391" i="106" s="1"/>
  <c r="B3388" i="106"/>
  <c r="D3388" i="106" s="1"/>
  <c r="B6316" i="106"/>
  <c r="D6316" i="106" s="1"/>
  <c r="J67" i="5"/>
  <c r="B6318" i="106" s="1"/>
  <c r="D6318" i="106" s="1"/>
  <c r="B4361" i="106"/>
  <c r="D4361" i="106" s="1"/>
  <c r="B5091" i="106"/>
  <c r="D5091" i="106" s="1"/>
  <c r="B3490" i="106"/>
  <c r="D3490" i="106" s="1"/>
  <c r="B7106" i="106"/>
  <c r="D7106" i="106" s="1"/>
  <c r="H310" i="29"/>
  <c r="B7115" i="106" s="1"/>
  <c r="D7115" i="106" s="1"/>
  <c r="H184" i="29"/>
  <c r="B1370" i="106" s="1"/>
  <c r="D1370" i="106" s="1"/>
  <c r="B4086" i="106"/>
  <c r="D4086" i="106" s="1"/>
  <c r="L334" i="29"/>
  <c r="B72" i="106"/>
  <c r="D72" i="106" s="1"/>
  <c r="B7035" i="106"/>
  <c r="D7035" i="106" s="1"/>
  <c r="B6732" i="106"/>
  <c r="D6732" i="106" s="1"/>
  <c r="B208" i="106"/>
  <c r="D208" i="106" s="1"/>
  <c r="B6110" i="106"/>
  <c r="D6110" i="106" s="1"/>
  <c r="B6355" i="106"/>
  <c r="D6355" i="106" s="1"/>
  <c r="F109" i="34"/>
  <c r="B4351" i="106"/>
  <c r="D4351" i="106" s="1"/>
  <c r="B809" i="106"/>
  <c r="D809" i="106" s="1"/>
  <c r="B5627" i="106"/>
  <c r="D5627" i="106" s="1"/>
  <c r="B6161" i="106"/>
  <c r="D6161" i="106" s="1"/>
  <c r="B7123" i="106"/>
  <c r="D7123" i="106" s="1"/>
  <c r="H330" i="29"/>
  <c r="B1221" i="106"/>
  <c r="D1221" i="106" s="1"/>
  <c r="K124" i="29"/>
  <c r="B1276" i="106" s="1"/>
  <c r="D1276" i="106" s="1"/>
  <c r="E39" i="4"/>
  <c r="B6287" i="106" s="1"/>
  <c r="D6287" i="106" s="1"/>
  <c r="B6246" i="106"/>
  <c r="D6246" i="106" s="1"/>
  <c r="K235" i="29"/>
  <c r="B1478" i="106" s="1"/>
  <c r="D1478" i="106" s="1"/>
  <c r="B1414" i="106"/>
  <c r="D1414" i="106" s="1"/>
  <c r="B6718" i="106"/>
  <c r="D6718" i="106" s="1"/>
  <c r="B6626" i="106"/>
  <c r="D6626" i="106" s="1"/>
  <c r="F138" i="34"/>
  <c r="B5164" i="106"/>
  <c r="D5164" i="106" s="1"/>
  <c r="G72" i="29"/>
  <c r="B985" i="106" s="1"/>
  <c r="D985" i="106" s="1"/>
  <c r="B978" i="106"/>
  <c r="D978" i="106" s="1"/>
  <c r="B3078" i="106"/>
  <c r="D3078" i="106" s="1"/>
  <c r="B7671" i="106"/>
  <c r="D7671" i="106" s="1"/>
  <c r="K206" i="29"/>
  <c r="B4211" i="106" s="1"/>
  <c r="D4211" i="106" s="1"/>
  <c r="B4210" i="106"/>
  <c r="D4210" i="106" s="1"/>
  <c r="B7163" i="106"/>
  <c r="D7163" i="106" s="1"/>
  <c r="K324" i="29"/>
  <c r="B7171" i="106" s="1"/>
  <c r="D7171" i="106" s="1"/>
  <c r="B4917" i="106"/>
  <c r="D4917" i="106" s="1"/>
  <c r="B4948" i="106"/>
  <c r="D4948" i="106" s="1"/>
  <c r="B5375" i="106"/>
  <c r="D5375" i="106" s="1"/>
  <c r="B2956" i="106"/>
  <c r="D2956" i="106" s="1"/>
  <c r="B6105" i="106"/>
  <c r="D6105" i="106" s="1"/>
  <c r="B6647" i="106"/>
  <c r="D6647" i="106" s="1"/>
  <c r="C114" i="5"/>
  <c r="B5122" i="106"/>
  <c r="D5122" i="106" s="1"/>
  <c r="D73" i="36"/>
  <c r="B6290" i="106"/>
  <c r="D6290" i="106" s="1"/>
  <c r="K25" i="29"/>
  <c r="B6886" i="106"/>
  <c r="D6886" i="106" s="1"/>
  <c r="B6763" i="106"/>
  <c r="D6763" i="106" s="1"/>
  <c r="B5242" i="106"/>
  <c r="D5242" i="106" s="1"/>
  <c r="B7000" i="106"/>
  <c r="D7000" i="106" s="1"/>
  <c r="K95" i="29"/>
  <c r="B7001" i="106" s="1"/>
  <c r="D7001" i="106" s="1"/>
  <c r="B7145" i="106"/>
  <c r="D7145" i="106" s="1"/>
  <c r="K322" i="29"/>
  <c r="B7153" i="106" s="1"/>
  <c r="D7153" i="106" s="1"/>
  <c r="B5239" i="106"/>
  <c r="D5239" i="106" s="1"/>
  <c r="J350" i="29"/>
  <c r="B7231" i="106" s="1"/>
  <c r="D7231" i="106" s="1"/>
  <c r="B7227" i="106"/>
  <c r="D7227" i="106" s="1"/>
  <c r="B807" i="106"/>
  <c r="D807" i="106" s="1"/>
  <c r="F150" i="34"/>
  <c r="B6737" i="106"/>
  <c r="D6737" i="106" s="1"/>
  <c r="B6350" i="106"/>
  <c r="D6350" i="106" s="1"/>
  <c r="E121" i="5"/>
  <c r="B5528" i="106"/>
  <c r="D5528" i="106" s="1"/>
  <c r="B6811" i="106"/>
  <c r="D6811" i="106" s="1"/>
  <c r="B3060" i="106"/>
  <c r="D3060" i="106" s="1"/>
  <c r="B6107" i="106"/>
  <c r="D6107" i="106" s="1"/>
  <c r="B801" i="106"/>
  <c r="D801" i="106" s="1"/>
  <c r="B4375" i="106"/>
  <c r="D4375" i="106" s="1"/>
  <c r="K215" i="29"/>
  <c r="D229" i="29"/>
  <c r="B1410" i="106" s="1"/>
  <c r="D1410" i="106" s="1"/>
  <c r="B3387" i="106"/>
  <c r="D3387" i="106" s="1"/>
  <c r="B1038" i="106"/>
  <c r="D1038" i="106" s="1"/>
  <c r="B2725" i="106"/>
  <c r="D2725" i="106" s="1"/>
  <c r="K247" i="29"/>
  <c r="B2726" i="106" s="1"/>
  <c r="D2726" i="106" s="1"/>
  <c r="B6257" i="106"/>
  <c r="D6257" i="106" s="1"/>
  <c r="B3580" i="106"/>
  <c r="D3580" i="106" s="1"/>
  <c r="B4376" i="106"/>
  <c r="D4376" i="106" s="1"/>
  <c r="B1006" i="106"/>
  <c r="D1006" i="106" s="1"/>
  <c r="B6188" i="106"/>
  <c r="D6188" i="106" s="1"/>
  <c r="B7102" i="106"/>
  <c r="D7102" i="106" s="1"/>
  <c r="B6736" i="106"/>
  <c r="D6736" i="106" s="1"/>
  <c r="B891" i="106"/>
  <c r="D891" i="106" s="1"/>
  <c r="B6320" i="106"/>
  <c r="D6320" i="106" s="1"/>
  <c r="B6293" i="106"/>
  <c r="D6293" i="106" s="1"/>
  <c r="B7044" i="106"/>
  <c r="D7044" i="106" s="1"/>
  <c r="B957" i="106"/>
  <c r="D957" i="106" s="1"/>
  <c r="B3064" i="106"/>
  <c r="D3064" i="106" s="1"/>
  <c r="K219" i="29"/>
  <c r="B3065" i="106" s="1"/>
  <c r="D3065" i="106" s="1"/>
  <c r="B6176" i="106"/>
  <c r="D6176" i="106" s="1"/>
  <c r="B6645" i="106"/>
  <c r="D6645" i="106" s="1"/>
  <c r="B770" i="106"/>
  <c r="D770" i="106" s="1"/>
  <c r="B6617" i="106"/>
  <c r="D6617" i="106" s="1"/>
  <c r="F259" i="5"/>
  <c r="B6836" i="106" s="1"/>
  <c r="D6836" i="106" s="1"/>
  <c r="B4366" i="106"/>
  <c r="D4366" i="106" s="1"/>
  <c r="I178" i="5"/>
  <c r="F127" i="29"/>
  <c r="B1247" i="106" s="1"/>
  <c r="D1247" i="106" s="1"/>
  <c r="B1243" i="106"/>
  <c r="D1243" i="106" s="1"/>
  <c r="B4382" i="106"/>
  <c r="D4382" i="106" s="1"/>
  <c r="B7664" i="106"/>
  <c r="D7664" i="106" s="1"/>
  <c r="K164" i="29"/>
  <c r="B1325" i="106" s="1"/>
  <c r="D1325" i="106" s="1"/>
  <c r="B1311" i="106"/>
  <c r="D1311" i="106" s="1"/>
  <c r="H184" i="5"/>
  <c r="B5908" i="106" s="1"/>
  <c r="D5908" i="106" s="1"/>
  <c r="B5907" i="106"/>
  <c r="D5907" i="106" s="1"/>
  <c r="B5755" i="106"/>
  <c r="D5755" i="106" s="1"/>
  <c r="B6625" i="106"/>
  <c r="D6625" i="106" s="1"/>
  <c r="B3257" i="106"/>
  <c r="D3257" i="106" s="1"/>
  <c r="B6307" i="106"/>
  <c r="D6307" i="106" s="1"/>
  <c r="B6857" i="106"/>
  <c r="D6857" i="106" s="1"/>
  <c r="B6135" i="106"/>
  <c r="D6135" i="106" s="1"/>
  <c r="B6406" i="106"/>
  <c r="D6406" i="106" s="1"/>
  <c r="B6372" i="106"/>
  <c r="D6372" i="106" s="1"/>
  <c r="I172" i="5"/>
  <c r="B4363" i="106" s="1"/>
  <c r="D4363" i="106" s="1"/>
  <c r="B4799" i="106"/>
  <c r="D4799" i="106" s="1"/>
  <c r="B4793" i="106"/>
  <c r="D4793" i="106" s="1"/>
  <c r="B6237" i="106"/>
  <c r="D6237" i="106" s="1"/>
  <c r="G144" i="5"/>
  <c r="B5756" i="106" s="1"/>
  <c r="D5756" i="106" s="1"/>
  <c r="B5754" i="106"/>
  <c r="D5754" i="106" s="1"/>
  <c r="B6157" i="106"/>
  <c r="D6157" i="106" s="1"/>
  <c r="B6614" i="106"/>
  <c r="D6614" i="106" s="1"/>
  <c r="C259" i="5"/>
  <c r="B6833" i="106" s="1"/>
  <c r="D6833" i="106" s="1"/>
  <c r="B1659" i="106"/>
  <c r="D1659" i="106" s="1"/>
  <c r="F13" i="3"/>
  <c r="B157" i="106" s="1"/>
  <c r="D157" i="106" s="1"/>
  <c r="B3419" i="106"/>
  <c r="D3419" i="106" s="1"/>
  <c r="D37" i="36"/>
  <c r="B7674" i="106"/>
  <c r="D7674" i="106" s="1"/>
  <c r="B4889" i="106"/>
  <c r="D4889" i="106" s="1"/>
  <c r="B3532" i="106"/>
  <c r="D3532" i="106" s="1"/>
  <c r="B6366" i="106"/>
  <c r="D6366" i="106" s="1"/>
  <c r="B7156" i="106"/>
  <c r="D7156" i="106" s="1"/>
  <c r="B6104" i="106"/>
  <c r="D6104" i="106" s="1"/>
  <c r="B199" i="106"/>
  <c r="D199" i="106" s="1"/>
  <c r="B653" i="106"/>
  <c r="D653" i="106" s="1"/>
  <c r="B7255" i="106"/>
  <c r="D7255" i="106" s="1"/>
  <c r="B7152" i="106"/>
  <c r="D7152" i="106" s="1"/>
  <c r="F350" i="29"/>
  <c r="B3638" i="106"/>
  <c r="D3638" i="106" s="1"/>
  <c r="K24" i="29"/>
  <c r="F43" i="34" s="1"/>
  <c r="B6884" i="106"/>
  <c r="D6884" i="106" s="1"/>
  <c r="G33" i="29"/>
  <c r="B952" i="106" s="1"/>
  <c r="D952" i="106" s="1"/>
  <c r="B937" i="106"/>
  <c r="D937" i="106" s="1"/>
  <c r="B3653" i="106"/>
  <c r="D3653" i="106" s="1"/>
  <c r="B6232" i="106"/>
  <c r="D6232" i="106" s="1"/>
  <c r="B6118" i="106"/>
  <c r="D6118" i="106" s="1"/>
  <c r="B6311" i="106"/>
  <c r="D6311" i="106" s="1"/>
  <c r="K143" i="29"/>
  <c r="B1284" i="106" s="1"/>
  <c r="D1284" i="106" s="1"/>
  <c r="B1269" i="106"/>
  <c r="D1269" i="106" s="1"/>
  <c r="B7764" i="106"/>
  <c r="D7764" i="106" s="1"/>
  <c r="F93" i="34"/>
  <c r="K17" i="29"/>
  <c r="B6871" i="106" s="1"/>
  <c r="D6871" i="106" s="1"/>
  <c r="B7263" i="106"/>
  <c r="G13" i="3"/>
  <c r="B180" i="106" s="1"/>
  <c r="D180" i="106" s="1"/>
  <c r="D38" i="36"/>
  <c r="B3422" i="106"/>
  <c r="D3422" i="106" s="1"/>
  <c r="B3375" i="106"/>
  <c r="D3375" i="106" s="1"/>
  <c r="B5739" i="106"/>
  <c r="D5739" i="106" s="1"/>
  <c r="H137" i="29"/>
  <c r="B7775" i="106"/>
  <c r="D7775" i="106" s="1"/>
  <c r="B855" i="106"/>
  <c r="D855" i="106" s="1"/>
  <c r="B6960" i="106"/>
  <c r="D6960" i="106" s="1"/>
  <c r="B6331" i="106"/>
  <c r="D6331" i="106" s="1"/>
  <c r="K79" i="29"/>
  <c r="B2974" i="106" s="1"/>
  <c r="D2974" i="106" s="1"/>
  <c r="B2950" i="106"/>
  <c r="D2950" i="106" s="1"/>
  <c r="B735" i="106"/>
  <c r="D735" i="106" s="1"/>
  <c r="K55" i="29"/>
  <c r="C57" i="29"/>
  <c r="B737" i="106" s="1"/>
  <c r="D737" i="106" s="1"/>
  <c r="B6106" i="106"/>
  <c r="D6106" i="106" s="1"/>
  <c r="K21" i="29"/>
  <c r="B6878" i="106"/>
  <c r="D6878" i="106" s="1"/>
  <c r="B6972" i="106"/>
  <c r="D6972" i="106" s="1"/>
  <c r="B7045" i="106"/>
  <c r="D7045" i="106" s="1"/>
  <c r="B1425" i="106"/>
  <c r="D1425" i="106" s="1"/>
  <c r="D261" i="29"/>
  <c r="B1427" i="106" s="1"/>
  <c r="D1427" i="106" s="1"/>
  <c r="K259" i="29"/>
  <c r="B6791" i="106"/>
  <c r="D6791" i="106" s="1"/>
  <c r="B6103" i="106"/>
  <c r="D6103" i="106" s="1"/>
  <c r="B6185" i="106"/>
  <c r="D6185" i="106" s="1"/>
  <c r="F101" i="34"/>
  <c r="C108" i="5"/>
  <c r="B5120" i="106" s="1"/>
  <c r="D5120" i="106" s="1"/>
  <c r="B5113" i="106"/>
  <c r="D5113" i="106" s="1"/>
  <c r="B3056" i="106"/>
  <c r="D3056" i="106" s="1"/>
  <c r="B7022" i="106"/>
  <c r="D7022" i="106" s="1"/>
  <c r="B6743" i="106"/>
  <c r="D6743" i="106" s="1"/>
  <c r="B7002" i="106"/>
  <c r="D7002" i="106" s="1"/>
  <c r="K96" i="29"/>
  <c r="B7003" i="106" s="1"/>
  <c r="D7003" i="106" s="1"/>
  <c r="L65" i="29"/>
  <c r="H34" i="3"/>
  <c r="H41" i="3" s="1"/>
  <c r="B6130" i="106"/>
  <c r="D6130" i="106" s="1"/>
  <c r="B6936" i="106"/>
  <c r="D6936" i="106" s="1"/>
  <c r="B7132" i="106"/>
  <c r="D7132" i="106" s="1"/>
  <c r="B4868" i="106"/>
  <c r="D4868" i="106" s="1"/>
  <c r="B2880" i="106"/>
  <c r="D2880" i="106" s="1"/>
  <c r="B4180" i="106"/>
  <c r="D4180" i="106" s="1"/>
  <c r="B7665" i="106"/>
  <c r="D7665" i="106" s="1"/>
  <c r="B5069" i="106"/>
  <c r="D5069" i="106" s="1"/>
  <c r="B6959" i="106"/>
  <c r="D6959" i="106" s="1"/>
  <c r="B1396" i="106"/>
  <c r="D1396" i="106" s="1"/>
  <c r="K225" i="29"/>
  <c r="B1460" i="106" s="1"/>
  <c r="D1460" i="106" s="1"/>
  <c r="B7131" i="106"/>
  <c r="D7131" i="106" s="1"/>
  <c r="B4084" i="106"/>
  <c r="D4084" i="106" s="1"/>
  <c r="F184" i="29"/>
  <c r="B7669" i="106"/>
  <c r="D7669" i="106" s="1"/>
  <c r="B5727" i="106"/>
  <c r="D5727" i="106" s="1"/>
  <c r="B5998" i="106"/>
  <c r="D5998" i="106" s="1"/>
  <c r="B799" i="106"/>
  <c r="D799" i="106" s="1"/>
  <c r="B5631" i="106"/>
  <c r="D5631" i="106" s="1"/>
  <c r="B6321" i="106"/>
  <c r="D6321" i="106" s="1"/>
  <c r="B1447" i="106"/>
  <c r="D1447" i="106" s="1"/>
  <c r="K280" i="29"/>
  <c r="F72" i="34" s="1"/>
  <c r="B5439" i="106"/>
  <c r="D5439" i="106" s="1"/>
  <c r="B6971" i="106"/>
  <c r="D6971" i="106" s="1"/>
  <c r="B5990" i="106"/>
  <c r="D5990" i="106" s="1"/>
  <c r="K337" i="29"/>
  <c r="B7209" i="106" s="1"/>
  <c r="D7209" i="106" s="1"/>
  <c r="H340" i="29"/>
  <c r="B7214" i="106" s="1"/>
  <c r="D7214" i="106" s="1"/>
  <c r="B7208" i="106"/>
  <c r="D7208" i="106" s="1"/>
  <c r="B6821" i="106"/>
  <c r="D6821" i="106" s="1"/>
  <c r="L261" i="29"/>
  <c r="B6680" i="106"/>
  <c r="D6680" i="106" s="1"/>
  <c r="I57" i="29"/>
  <c r="B6948" i="106" s="1"/>
  <c r="D6948" i="106" s="1"/>
  <c r="B6944" i="106"/>
  <c r="D6944" i="106" s="1"/>
  <c r="B6927" i="106"/>
  <c r="D6927" i="106" s="1"/>
  <c r="J53" i="29"/>
  <c r="B6943" i="106" s="1"/>
  <c r="D6943" i="106" s="1"/>
  <c r="K356" i="29"/>
  <c r="B849" i="106"/>
  <c r="D849" i="106" s="1"/>
  <c r="B6830" i="106"/>
  <c r="D6830" i="106" s="1"/>
  <c r="B6329" i="106"/>
  <c r="D6329" i="106" s="1"/>
  <c r="B6373" i="106"/>
  <c r="D6373" i="106" s="1"/>
  <c r="J172" i="5"/>
  <c r="B6396" i="106" s="1"/>
  <c r="D6396" i="106" s="1"/>
  <c r="B3377" i="106"/>
  <c r="D3377" i="106" s="1"/>
  <c r="B6404" i="106"/>
  <c r="D6404" i="106" s="1"/>
  <c r="B6659" i="106"/>
  <c r="D6659" i="106" s="1"/>
  <c r="B1009" i="106"/>
  <c r="D1009" i="106" s="1"/>
  <c r="B325" i="106"/>
  <c r="D325" i="106" s="1"/>
  <c r="B6341" i="106"/>
  <c r="D6341" i="106" s="1"/>
  <c r="B4447" i="106"/>
  <c r="D4447" i="106" s="1"/>
  <c r="D78" i="36"/>
  <c r="B4113" i="106"/>
  <c r="D4113" i="106" s="1"/>
  <c r="C18" i="4"/>
  <c r="B4131" i="106" s="1"/>
  <c r="D4131" i="106" s="1"/>
  <c r="B6666" i="106"/>
  <c r="D6666" i="106" s="1"/>
  <c r="F143" i="34"/>
  <c r="B145" i="106"/>
  <c r="D145" i="106" s="1"/>
  <c r="B6822" i="106"/>
  <c r="D6822" i="106" s="1"/>
  <c r="L84" i="29"/>
  <c r="C178" i="5"/>
  <c r="B5225" i="106" s="1"/>
  <c r="D5225" i="106" s="1"/>
  <c r="B5224" i="106"/>
  <c r="D5224" i="106" s="1"/>
  <c r="B6957" i="106"/>
  <c r="D6957" i="106" s="1"/>
  <c r="F168" i="34"/>
  <c r="B5315" i="106"/>
  <c r="D5315" i="106" s="1"/>
  <c r="B6740" i="106"/>
  <c r="D6740" i="106" s="1"/>
  <c r="B5108" i="106"/>
  <c r="D5108" i="106" s="1"/>
  <c r="B3548" i="106"/>
  <c r="D3548" i="106" s="1"/>
  <c r="B5561" i="106"/>
  <c r="D5561" i="106" s="1"/>
  <c r="B7259" i="106"/>
  <c r="D7259" i="106" s="1"/>
  <c r="B6717" i="106"/>
  <c r="D6717" i="106" s="1"/>
  <c r="B851" i="106"/>
  <c r="D851" i="106" s="1"/>
  <c r="E57" i="29"/>
  <c r="B853" i="106" s="1"/>
  <c r="D853" i="106" s="1"/>
  <c r="B6758" i="106"/>
  <c r="D6758" i="106" s="1"/>
  <c r="B3583" i="106"/>
  <c r="D3583" i="106" s="1"/>
  <c r="B6231" i="106"/>
  <c r="D6231" i="106" s="1"/>
  <c r="B6214" i="106"/>
  <c r="D6214" i="106" s="1"/>
  <c r="B6628" i="106"/>
  <c r="D6628" i="106" s="1"/>
  <c r="B787" i="106"/>
  <c r="D787" i="106" s="1"/>
  <c r="B6133" i="106"/>
  <c r="D6133" i="106" s="1"/>
  <c r="K276" i="29"/>
  <c r="B1506" i="106" s="1"/>
  <c r="D1506" i="106" s="1"/>
  <c r="B1442" i="106"/>
  <c r="D1442" i="106" s="1"/>
  <c r="B739" i="106"/>
  <c r="D739" i="106" s="1"/>
  <c r="K60" i="29"/>
  <c r="B6807" i="106"/>
  <c r="D6807" i="106" s="1"/>
  <c r="B6253" i="106"/>
  <c r="D6253" i="106" s="1"/>
  <c r="B7706" i="106"/>
  <c r="D7706" i="106" s="1"/>
  <c r="B6934" i="106"/>
  <c r="D6934" i="106" s="1"/>
  <c r="B129" i="106"/>
  <c r="D129" i="106" s="1"/>
  <c r="K88" i="29"/>
  <c r="B6988" i="106" s="1"/>
  <c r="D6988" i="106" s="1"/>
  <c r="B6987" i="106"/>
  <c r="D6987" i="106" s="1"/>
  <c r="B1031" i="106"/>
  <c r="D1031" i="106" s="1"/>
  <c r="K267" i="29"/>
  <c r="B1496" i="106" s="1"/>
  <c r="D1496" i="106" s="1"/>
  <c r="B1432" i="106"/>
  <c r="D1432" i="106" s="1"/>
  <c r="K125" i="29"/>
  <c r="B3488" i="106" s="1"/>
  <c r="D3488" i="106" s="1"/>
  <c r="B3482" i="106"/>
  <c r="D3482" i="106" s="1"/>
  <c r="B6746" i="106"/>
  <c r="D6746" i="106" s="1"/>
  <c r="B5359" i="106"/>
  <c r="D5359" i="106" s="1"/>
  <c r="B7129" i="106"/>
  <c r="D7129" i="106" s="1"/>
  <c r="F216" i="5"/>
  <c r="B4413" i="106" s="1"/>
  <c r="D4413" i="106" s="1"/>
  <c r="B5673" i="106"/>
  <c r="D5673" i="106" s="1"/>
  <c r="B6083" i="106"/>
  <c r="D6083" i="106" s="1"/>
  <c r="B845" i="106"/>
  <c r="D845" i="106" s="1"/>
  <c r="B5352" i="106"/>
  <c r="D5352" i="106" s="1"/>
  <c r="B6244" i="106"/>
  <c r="D6244" i="106" s="1"/>
  <c r="B6786" i="106"/>
  <c r="D6786" i="106" s="1"/>
  <c r="B7119" i="106"/>
  <c r="D7119" i="106" s="1"/>
  <c r="D330" i="29"/>
  <c r="D342" i="29" s="1"/>
  <c r="B7217" i="106" s="1"/>
  <c r="D7217" i="106" s="1"/>
  <c r="B7113" i="106"/>
  <c r="D7113" i="106" s="1"/>
  <c r="K253" i="29"/>
  <c r="B7092" i="106" s="1"/>
  <c r="D7092" i="106" s="1"/>
  <c r="B7091" i="106"/>
  <c r="D7091" i="106" s="1"/>
  <c r="G259" i="5"/>
  <c r="B6837" i="106" s="1"/>
  <c r="D6837" i="106" s="1"/>
  <c r="B6618" i="106"/>
  <c r="D6618" i="106" s="1"/>
  <c r="B973" i="106"/>
  <c r="D973" i="106" s="1"/>
  <c r="B7182" i="106"/>
  <c r="D7182" i="106" s="1"/>
  <c r="B6955" i="106"/>
  <c r="D6955" i="106" s="1"/>
  <c r="B805" i="106"/>
  <c r="D805" i="106" s="1"/>
  <c r="B6264" i="106"/>
  <c r="D6264" i="106" s="1"/>
  <c r="B6305" i="106"/>
  <c r="D6305" i="106" s="1"/>
  <c r="B7684" i="106"/>
  <c r="D7684" i="106" s="1"/>
  <c r="B6658" i="106"/>
  <c r="D6658" i="106" s="1"/>
  <c r="B4808" i="106"/>
  <c r="D4808" i="106" s="1"/>
  <c r="D350" i="29"/>
  <c r="D352" i="29" s="1"/>
  <c r="B3624" i="106"/>
  <c r="D3624" i="106" s="1"/>
  <c r="B5254" i="106"/>
  <c r="D5254" i="106" s="1"/>
  <c r="B5797" i="106"/>
  <c r="D5797" i="106" s="1"/>
  <c r="B5134" i="106"/>
  <c r="D5134" i="106" s="1"/>
  <c r="B4813" i="106"/>
  <c r="D4813" i="106" s="1"/>
  <c r="B5567" i="106"/>
  <c r="D5567" i="106" s="1"/>
  <c r="F19" i="34"/>
  <c r="B6922" i="106"/>
  <c r="D6922" i="106" s="1"/>
  <c r="D65" i="29"/>
  <c r="B803" i="106" s="1"/>
  <c r="D803" i="106" s="1"/>
  <c r="B796" i="106"/>
  <c r="D796" i="106" s="1"/>
  <c r="B6252" i="106"/>
  <c r="D6252" i="106" s="1"/>
  <c r="B4400" i="106"/>
  <c r="D4400" i="106" s="1"/>
  <c r="B5798" i="106"/>
  <c r="D5798" i="106" s="1"/>
  <c r="B5331" i="106"/>
  <c r="D5331" i="106" s="1"/>
  <c r="B1268" i="106"/>
  <c r="D1268" i="106" s="1"/>
  <c r="K142" i="29"/>
  <c r="B1283" i="106" s="1"/>
  <c r="D1283" i="106" s="1"/>
  <c r="H147" i="29"/>
  <c r="H149" i="29" s="1"/>
  <c r="B1272" i="106" s="1"/>
  <c r="D1272" i="106" s="1"/>
  <c r="B865" i="106"/>
  <c r="D865" i="106" s="1"/>
  <c r="K7" i="29"/>
  <c r="B6727" i="106"/>
  <c r="D6727" i="106" s="1"/>
  <c r="K29" i="29"/>
  <c r="B6894" i="106"/>
  <c r="D6894" i="106" s="1"/>
  <c r="K106" i="29"/>
  <c r="B1147" i="106" s="1"/>
  <c r="D1147" i="106" s="1"/>
  <c r="B1049" i="106"/>
  <c r="D1049" i="106" s="1"/>
  <c r="L270" i="29"/>
  <c r="B5126" i="106"/>
  <c r="D5126" i="106" s="1"/>
  <c r="C121" i="5"/>
  <c r="B5132" i="106" s="1"/>
  <c r="D5132" i="106" s="1"/>
  <c r="B4236" i="106"/>
  <c r="D4236" i="106" s="1"/>
  <c r="B6952" i="106"/>
  <c r="D6952" i="106" s="1"/>
  <c r="B6676" i="106"/>
  <c r="D6676" i="106" s="1"/>
  <c r="B742" i="106"/>
  <c r="D742" i="106" s="1"/>
  <c r="K63" i="29"/>
  <c r="B7141" i="106"/>
  <c r="D7141" i="106" s="1"/>
  <c r="B4792" i="106"/>
  <c r="D4792" i="106" s="1"/>
  <c r="F125" i="34"/>
  <c r="B6770" i="106"/>
  <c r="D6770" i="106" s="1"/>
  <c r="B6184" i="106"/>
  <c r="D6184" i="106" s="1"/>
  <c r="B6145" i="106"/>
  <c r="D6145" i="106" s="1"/>
  <c r="B4362" i="106"/>
  <c r="D4362" i="106" s="1"/>
  <c r="F173" i="34"/>
  <c r="D17" i="171"/>
  <c r="B5013" i="106"/>
  <c r="D5013" i="106" s="1"/>
  <c r="B6739" i="106"/>
  <c r="D6739" i="106" s="1"/>
  <c r="B4391" i="106"/>
  <c r="D4391" i="106" s="1"/>
  <c r="K62" i="29"/>
  <c r="B1129" i="106" s="1"/>
  <c r="D1129" i="106" s="1"/>
  <c r="B741" i="106"/>
  <c r="D741" i="106" s="1"/>
  <c r="B4875" i="106"/>
  <c r="D4875" i="106" s="1"/>
  <c r="B1257" i="106"/>
  <c r="D1257" i="106" s="1"/>
  <c r="B7682" i="106"/>
  <c r="D7682" i="106" s="1"/>
  <c r="B6630" i="106"/>
  <c r="D6630" i="106" s="1"/>
  <c r="B4402" i="106"/>
  <c r="D4402" i="106" s="1"/>
  <c r="B5883" i="106"/>
  <c r="D5883" i="106" s="1"/>
  <c r="B5695" i="106"/>
  <c r="D5695" i="106" s="1"/>
  <c r="B930" i="106"/>
  <c r="D930" i="106" s="1"/>
  <c r="B1360" i="106"/>
  <c r="D1360" i="106" s="1"/>
  <c r="B5872" i="106"/>
  <c r="D5872" i="106" s="1"/>
  <c r="B3059" i="106"/>
  <c r="D3059" i="106" s="1"/>
  <c r="K237" i="29"/>
  <c r="B1480" i="106" s="1"/>
  <c r="D1480" i="106" s="1"/>
  <c r="B1416" i="106"/>
  <c r="D1416" i="106" s="1"/>
  <c r="B5168" i="106"/>
  <c r="D5168" i="106" s="1"/>
  <c r="F110" i="34"/>
  <c r="K135" i="29"/>
  <c r="B2987" i="106" s="1"/>
  <c r="D2987" i="106" s="1"/>
  <c r="B4200" i="106"/>
  <c r="D4200" i="106" s="1"/>
  <c r="B5558" i="106"/>
  <c r="D5558" i="106" s="1"/>
  <c r="F18" i="5"/>
  <c r="B5562" i="106" s="1"/>
  <c r="D5562" i="106" s="1"/>
  <c r="B5063" i="106"/>
  <c r="D5063" i="106" s="1"/>
  <c r="B14" i="7"/>
  <c r="B6149" i="106"/>
  <c r="D6149" i="106" s="1"/>
  <c r="B6340" i="106"/>
  <c r="D6340" i="106" s="1"/>
  <c r="B5818" i="106"/>
  <c r="D5818" i="106" s="1"/>
  <c r="B6121" i="106"/>
  <c r="D6121" i="106" s="1"/>
  <c r="B4408" i="106"/>
  <c r="D4408" i="106" s="1"/>
  <c r="B782" i="106"/>
  <c r="D782" i="106" s="1"/>
  <c r="B7155" i="106"/>
  <c r="D7155" i="106" s="1"/>
  <c r="B719" i="106"/>
  <c r="D719" i="106" s="1"/>
  <c r="K15" i="29"/>
  <c r="K307" i="29"/>
  <c r="B4099" i="106" s="1"/>
  <c r="D4099" i="106" s="1"/>
  <c r="B7108" i="106"/>
  <c r="D7108" i="106" s="1"/>
  <c r="B6256" i="106"/>
  <c r="D6256" i="106" s="1"/>
  <c r="L340" i="29"/>
  <c r="B4309" i="106"/>
  <c r="D4309" i="106" s="1"/>
  <c r="B797" i="106"/>
  <c r="D797" i="106" s="1"/>
  <c r="B5888" i="106"/>
  <c r="D5888" i="106" s="1"/>
  <c r="B1013" i="106"/>
  <c r="D1013" i="106" s="1"/>
  <c r="B6681" i="106"/>
  <c r="D6681" i="106" s="1"/>
  <c r="B4919" i="106"/>
  <c r="D4919" i="106" s="1"/>
  <c r="B432" i="106"/>
  <c r="D432" i="106" s="1"/>
  <c r="B858" i="106"/>
  <c r="D858" i="106" s="1"/>
  <c r="E10" i="108"/>
  <c r="B3730" i="106" s="1"/>
  <c r="D3730" i="106" s="1"/>
  <c r="B6153" i="106"/>
  <c r="D6153" i="106" s="1"/>
  <c r="G34" i="3"/>
  <c r="B6129" i="106"/>
  <c r="D6129" i="106" s="1"/>
  <c r="B6798" i="106"/>
  <c r="D6798" i="106" s="1"/>
  <c r="B6698" i="106"/>
  <c r="D6698" i="106" s="1"/>
  <c r="K169" i="29"/>
  <c r="B1326" i="106" s="1"/>
  <c r="D1326" i="106" s="1"/>
  <c r="B1312" i="106"/>
  <c r="D1312" i="106" s="1"/>
  <c r="B1354" i="106"/>
  <c r="D1354" i="106" s="1"/>
  <c r="B6725" i="106"/>
  <c r="D6725" i="106" s="1"/>
  <c r="H293" i="29"/>
  <c r="B1449" i="106"/>
  <c r="D1449" i="106" s="1"/>
  <c r="K288" i="29"/>
  <c r="B7676" i="106"/>
  <c r="D7676" i="106" s="1"/>
  <c r="B7136" i="106"/>
  <c r="D7136" i="106" s="1"/>
  <c r="K321" i="29"/>
  <c r="B7144" i="106" s="1"/>
  <c r="D7144" i="106" s="1"/>
  <c r="B7036" i="106"/>
  <c r="D7036" i="106" s="1"/>
  <c r="K9" i="29"/>
  <c r="B7251" i="106"/>
  <c r="D7251" i="106" s="1"/>
  <c r="B7099" i="106"/>
  <c r="D7099" i="106" s="1"/>
  <c r="I303" i="29"/>
  <c r="B7681" i="106"/>
  <c r="D7681" i="106" s="1"/>
  <c r="B6802" i="106"/>
  <c r="D6802" i="106" s="1"/>
  <c r="B6399" i="106"/>
  <c r="D6399" i="106" s="1"/>
  <c r="F158" i="34"/>
  <c r="B6809" i="106"/>
  <c r="D6809" i="106" s="1"/>
  <c r="B6874" i="106"/>
  <c r="D6874" i="106" s="1"/>
  <c r="B7663" i="106"/>
  <c r="D7663" i="106" s="1"/>
  <c r="B651" i="106"/>
  <c r="D651" i="106" s="1"/>
  <c r="B3253" i="106"/>
  <c r="D3253" i="106" s="1"/>
  <c r="B6236" i="106"/>
  <c r="D6236" i="106" s="1"/>
  <c r="K158" i="29"/>
  <c r="B7780" i="106" s="1"/>
  <c r="D7780" i="106" s="1"/>
  <c r="B7779" i="106"/>
  <c r="D7779" i="106" s="1"/>
  <c r="B5368" i="106"/>
  <c r="D5368" i="106" s="1"/>
  <c r="D131" i="5"/>
  <c r="B6668" i="106"/>
  <c r="D6668" i="106" s="1"/>
  <c r="B7112" i="106"/>
  <c r="D7112" i="106" s="1"/>
  <c r="K309" i="29"/>
  <c r="B3717" i="106" s="1"/>
  <c r="D3717" i="106" s="1"/>
  <c r="B844" i="106"/>
  <c r="D844" i="106" s="1"/>
  <c r="E47" i="29"/>
  <c r="B847" i="106" s="1"/>
  <c r="D847" i="106" s="1"/>
  <c r="B6631" i="106"/>
  <c r="D6631" i="106" s="1"/>
  <c r="B7194" i="106"/>
  <c r="D7194" i="106" s="1"/>
  <c r="B6790" i="106"/>
  <c r="D6790" i="106" s="1"/>
  <c r="B4417" i="106"/>
  <c r="D4417" i="106" s="1"/>
  <c r="E12" i="5"/>
  <c r="B5509" i="106"/>
  <c r="D5509" i="106" s="1"/>
  <c r="B6" i="7"/>
  <c r="F162" i="34"/>
  <c r="B7761" i="106"/>
  <c r="D7761" i="106" s="1"/>
  <c r="B5085" i="106"/>
  <c r="D5085" i="106" s="1"/>
  <c r="B6303" i="106"/>
  <c r="D6303" i="106" s="1"/>
  <c r="B7169" i="106"/>
  <c r="D7169" i="106" s="1"/>
  <c r="E72" i="29"/>
  <c r="B869" i="106" s="1"/>
  <c r="D869" i="106" s="1"/>
  <c r="B862" i="106"/>
  <c r="D862" i="106" s="1"/>
  <c r="B5117" i="106"/>
  <c r="D5117" i="106" s="1"/>
  <c r="B104" i="106"/>
  <c r="D104" i="106" s="1"/>
  <c r="H57" i="29"/>
  <c r="B1027" i="106" s="1"/>
  <c r="D1027" i="106" s="1"/>
  <c r="B1025" i="106"/>
  <c r="D1025" i="106" s="1"/>
  <c r="B6649" i="106"/>
  <c r="D6649" i="106" s="1"/>
  <c r="K273" i="29"/>
  <c r="B1502" i="106" s="1"/>
  <c r="D1502" i="106" s="1"/>
  <c r="B1438" i="106"/>
  <c r="D1438" i="106" s="1"/>
  <c r="B5361" i="106"/>
  <c r="D5361" i="106" s="1"/>
  <c r="D121" i="5"/>
  <c r="B5367" i="106" s="1"/>
  <c r="D5367" i="106" s="1"/>
  <c r="I18" i="5"/>
  <c r="B5923" i="106" s="1"/>
  <c r="D5923" i="106" s="1"/>
  <c r="B5919" i="106"/>
  <c r="D5919" i="106" s="1"/>
  <c r="K61" i="29"/>
  <c r="B740" i="106"/>
  <c r="D740" i="106" s="1"/>
  <c r="B6882" i="106"/>
  <c r="D6882" i="106" s="1"/>
  <c r="K23" i="29"/>
  <c r="B938" i="106"/>
  <c r="D938" i="106" s="1"/>
  <c r="B173" i="106"/>
  <c r="D173" i="106" s="1"/>
  <c r="B1232" i="106"/>
  <c r="D1232" i="106" s="1"/>
  <c r="B5089" i="106"/>
  <c r="D5089" i="106" s="1"/>
  <c r="B5332" i="106"/>
  <c r="D5332" i="106" s="1"/>
  <c r="B4314" i="106"/>
  <c r="D4314" i="106" s="1"/>
  <c r="B3639" i="106"/>
  <c r="D3639" i="106" s="1"/>
  <c r="B5917" i="106"/>
  <c r="D5917" i="106" s="1"/>
  <c r="H259" i="5"/>
  <c r="B6619" i="106"/>
  <c r="D6619" i="106" s="1"/>
  <c r="F88" i="34"/>
  <c r="B5570" i="106"/>
  <c r="D5570" i="106" s="1"/>
  <c r="B6354" i="106"/>
  <c r="D6354" i="106" s="1"/>
  <c r="B7694" i="106"/>
  <c r="D7694" i="106" s="1"/>
  <c r="B5989" i="106"/>
  <c r="D5989" i="106" s="1"/>
  <c r="B712" i="106"/>
  <c r="D712" i="106" s="1"/>
  <c r="K18" i="29"/>
  <c r="B1100" i="106" s="1"/>
  <c r="D1100" i="106" s="1"/>
  <c r="B4342" i="106"/>
  <c r="D4342" i="106" s="1"/>
  <c r="I330" i="29"/>
  <c r="I342" i="29" s="1"/>
  <c r="B7222" i="106" s="1"/>
  <c r="D7222" i="106" s="1"/>
  <c r="B7124" i="106"/>
  <c r="D7124" i="106" s="1"/>
  <c r="B3561" i="106"/>
  <c r="D3561" i="106" s="1"/>
  <c r="B6260" i="106"/>
  <c r="D6260" i="106" s="1"/>
  <c r="B706" i="106"/>
  <c r="D706" i="106" s="1"/>
  <c r="K16" i="29"/>
  <c r="B1094" i="106" s="1"/>
  <c r="D1094" i="106" s="1"/>
  <c r="B4359" i="106"/>
  <c r="D4359" i="106" s="1"/>
  <c r="B956" i="106"/>
  <c r="D956" i="106" s="1"/>
  <c r="K148" i="29"/>
  <c r="B7050" i="106" s="1"/>
  <c r="D7050" i="106" s="1"/>
  <c r="B7049" i="106"/>
  <c r="D7049" i="106" s="1"/>
  <c r="B5116" i="106"/>
  <c r="D5116" i="106" s="1"/>
  <c r="D39" i="36"/>
  <c r="H13" i="3"/>
  <c r="B203" i="106" s="1"/>
  <c r="D203" i="106" s="1"/>
  <c r="B3425" i="106"/>
  <c r="D3425" i="106" s="1"/>
  <c r="B7656" i="106"/>
  <c r="D7656" i="106" s="1"/>
  <c r="B841" i="106"/>
  <c r="D841" i="106" s="1"/>
  <c r="B4364" i="106"/>
  <c r="D4364" i="106" s="1"/>
  <c r="E178" i="5"/>
  <c r="B6410" i="106"/>
  <c r="D6410" i="106" s="1"/>
  <c r="B6749" i="106"/>
  <c r="D6749" i="106" s="1"/>
  <c r="B5175" i="106"/>
  <c r="D5175" i="106" s="1"/>
  <c r="C154" i="5"/>
  <c r="B3373" i="106"/>
  <c r="D3373" i="106" s="1"/>
  <c r="B5821" i="106"/>
  <c r="D5821" i="106" s="1"/>
  <c r="B6723" i="106"/>
  <c r="D6723" i="106" s="1"/>
  <c r="K166" i="29"/>
  <c r="B2819" i="106" s="1"/>
  <c r="D2819" i="106" s="1"/>
  <c r="B2813" i="106"/>
  <c r="D2813" i="106" s="1"/>
  <c r="B6166" i="106"/>
  <c r="D6166" i="106" s="1"/>
  <c r="B4339" i="106"/>
  <c r="D4339" i="106" s="1"/>
  <c r="B5074" i="106"/>
  <c r="D5074" i="106" s="1"/>
  <c r="B7652" i="106"/>
  <c r="D7652" i="106" s="1"/>
  <c r="B3057" i="106"/>
  <c r="D3057" i="106" s="1"/>
  <c r="B7253" i="106"/>
  <c r="D7253" i="106" s="1"/>
  <c r="B6167" i="106"/>
  <c r="D6167" i="106" s="1"/>
  <c r="B6697" i="106"/>
  <c r="D6697" i="106" s="1"/>
  <c r="B6976" i="106"/>
  <c r="D6976" i="106" s="1"/>
  <c r="B5729" i="106"/>
  <c r="D5729" i="106" s="1"/>
  <c r="B4949" i="106"/>
  <c r="D4949" i="106" s="1"/>
  <c r="K292" i="29"/>
  <c r="B1514" i="106" s="1"/>
  <c r="D1514" i="106" s="1"/>
  <c r="B1451" i="106"/>
  <c r="D1451" i="106" s="1"/>
  <c r="B6728" i="106"/>
  <c r="D6728" i="106" s="1"/>
  <c r="B6099" i="106"/>
  <c r="D6099" i="106" s="1"/>
  <c r="B6757" i="106"/>
  <c r="D6757" i="106" s="1"/>
  <c r="B7060" i="106"/>
  <c r="D7060" i="106" s="1"/>
  <c r="G42" i="29"/>
  <c r="B959" i="106" s="1"/>
  <c r="D959" i="106" s="1"/>
  <c r="B953" i="106"/>
  <c r="D953" i="106" s="1"/>
  <c r="B1431" i="106"/>
  <c r="D1431" i="106" s="1"/>
  <c r="K266" i="29"/>
  <c r="B1495" i="106" s="1"/>
  <c r="D1495" i="106" s="1"/>
  <c r="B996" i="106"/>
  <c r="D996" i="106" s="1"/>
  <c r="D82" i="5"/>
  <c r="B5348" i="106" s="1"/>
  <c r="D5348" i="106" s="1"/>
  <c r="B5343" i="106"/>
  <c r="D5343" i="106" s="1"/>
  <c r="B6358" i="106"/>
  <c r="D6358" i="106" s="1"/>
  <c r="B108" i="106"/>
  <c r="D108" i="106" s="1"/>
  <c r="B7246" i="106"/>
  <c r="D7246" i="106" s="1"/>
  <c r="B6158" i="106"/>
  <c r="D6158" i="106" s="1"/>
  <c r="I48" i="4"/>
  <c r="B2106" i="106" s="1"/>
  <c r="D2106" i="106" s="1"/>
  <c r="B321" i="106"/>
  <c r="D321" i="106" s="1"/>
  <c r="B5619" i="106"/>
  <c r="D5619" i="106" s="1"/>
  <c r="B6711" i="106"/>
  <c r="D6711" i="106" s="1"/>
  <c r="B6735" i="106"/>
  <c r="D6735" i="106" s="1"/>
  <c r="B7266" i="106"/>
  <c r="B2792" i="106"/>
  <c r="D2792" i="106" s="1"/>
  <c r="K108" i="29"/>
  <c r="B2796" i="106" s="1"/>
  <c r="D2796" i="106" s="1"/>
  <c r="B893" i="106"/>
  <c r="D893" i="106" s="1"/>
  <c r="B6796" i="106"/>
  <c r="D6796" i="106" s="1"/>
  <c r="B6814" i="106"/>
  <c r="D6814" i="106" s="1"/>
  <c r="B3582" i="106"/>
  <c r="D3582" i="106" s="1"/>
  <c r="B6673" i="106"/>
  <c r="D6673" i="106" s="1"/>
  <c r="B6234" i="106"/>
  <c r="D6234" i="106" s="1"/>
  <c r="B7698" i="106"/>
  <c r="D7698" i="106" s="1"/>
  <c r="K265" i="29"/>
  <c r="B1494" i="106" s="1"/>
  <c r="D1494" i="106" s="1"/>
  <c r="B1430" i="106"/>
  <c r="D1430" i="106" s="1"/>
  <c r="B806" i="106"/>
  <c r="D806" i="106" s="1"/>
  <c r="B3487" i="106"/>
  <c r="D3487" i="106" s="1"/>
  <c r="B1543" i="106"/>
  <c r="D1543" i="106" s="1"/>
  <c r="G303" i="29"/>
  <c r="G312" i="29" s="1"/>
  <c r="B1548" i="106" s="1"/>
  <c r="D1548" i="106" s="1"/>
  <c r="B7138" i="106"/>
  <c r="D7138" i="106" s="1"/>
  <c r="B6872" i="106"/>
  <c r="D6872" i="106" s="1"/>
  <c r="B6956" i="106"/>
  <c r="D6956" i="106" s="1"/>
  <c r="B3589" i="106"/>
  <c r="D3589" i="106" s="1"/>
  <c r="B76" i="106"/>
  <c r="D76" i="106" s="1"/>
  <c r="B177" i="106"/>
  <c r="D177" i="106" s="1"/>
  <c r="B4352" i="106"/>
  <c r="D4352" i="106" s="1"/>
  <c r="B5114" i="106"/>
  <c r="D5114" i="106" s="1"/>
  <c r="B4407" i="106"/>
  <c r="D4407" i="106" s="1"/>
  <c r="B716" i="106"/>
  <c r="D716" i="106" s="1"/>
  <c r="K12" i="29"/>
  <c r="B4794" i="106"/>
  <c r="D4794" i="106" s="1"/>
  <c r="B4814" i="106"/>
  <c r="D4814" i="106" s="1"/>
  <c r="B6908" i="106"/>
  <c r="D6908" i="106" s="1"/>
  <c r="B7660" i="106"/>
  <c r="D7660" i="106" s="1"/>
  <c r="K338" i="29"/>
  <c r="B7211" i="106" s="1"/>
  <c r="D7211" i="106" s="1"/>
  <c r="B7210" i="106"/>
  <c r="D7210" i="106" s="1"/>
  <c r="B5135" i="106"/>
  <c r="D5135" i="106" s="1"/>
  <c r="B5556" i="106"/>
  <c r="D5556" i="106" s="1"/>
  <c r="B6375" i="106"/>
  <c r="D6375" i="106" s="1"/>
  <c r="B5014" i="106"/>
  <c r="D5014" i="106" s="1"/>
  <c r="B6660" i="106"/>
  <c r="D6660" i="106" s="1"/>
  <c r="B965" i="106"/>
  <c r="D965" i="106" s="1"/>
  <c r="B5584" i="106"/>
  <c r="D5584" i="106" s="1"/>
  <c r="B7795" i="106"/>
  <c r="D7795" i="106" s="1"/>
  <c r="K138" i="29"/>
  <c r="B2094" i="106" s="1"/>
  <c r="D2094" i="106" s="1"/>
  <c r="B5023" i="106"/>
  <c r="D5023" i="106" s="1"/>
  <c r="D76" i="4"/>
  <c r="B3237" i="106" s="1"/>
  <c r="D3237" i="106" s="1"/>
  <c r="K37" i="29"/>
  <c r="B1110" i="106" s="1"/>
  <c r="D1110" i="106" s="1"/>
  <c r="B722" i="106"/>
  <c r="D722" i="106" s="1"/>
  <c r="B748" i="106"/>
  <c r="D748" i="106" s="1"/>
  <c r="K69" i="29"/>
  <c r="K146" i="29"/>
  <c r="B1285" i="106" s="1"/>
  <c r="D1285" i="106" s="1"/>
  <c r="B1270" i="106"/>
  <c r="D1270" i="106" s="1"/>
  <c r="B6699" i="106"/>
  <c r="D6699" i="106" s="1"/>
  <c r="B184" i="106"/>
  <c r="D184" i="106" s="1"/>
  <c r="B6933" i="106"/>
  <c r="D6933" i="106" s="1"/>
  <c r="B7666" i="106"/>
  <c r="D7666" i="106" s="1"/>
  <c r="B7109" i="106"/>
  <c r="D7109" i="106" s="1"/>
  <c r="E172" i="29"/>
  <c r="E174" i="29" s="1"/>
  <c r="B1309" i="106" s="1"/>
  <c r="D1309" i="106" s="1"/>
  <c r="K171" i="29"/>
  <c r="B1330" i="106" s="1"/>
  <c r="D1330" i="106" s="1"/>
  <c r="B1307" i="106"/>
  <c r="D1307" i="106" s="1"/>
  <c r="B4238" i="106"/>
  <c r="D4238" i="106" s="1"/>
  <c r="B6724" i="106"/>
  <c r="D6724" i="106" s="1"/>
  <c r="B4179" i="106"/>
  <c r="D4179" i="106" s="1"/>
  <c r="K98" i="29"/>
  <c r="B7007" i="106" s="1"/>
  <c r="D7007" i="106" s="1"/>
  <c r="B7006" i="106"/>
  <c r="D7006" i="106" s="1"/>
  <c r="B3533" i="106"/>
  <c r="D3533" i="106" s="1"/>
  <c r="B7191" i="106"/>
  <c r="D7191" i="106" s="1"/>
  <c r="F108" i="34"/>
  <c r="B5167" i="106"/>
  <c r="D5167" i="106" s="1"/>
  <c r="B5199" i="106"/>
  <c r="D5199" i="106" s="1"/>
  <c r="F115" i="34"/>
  <c r="B6777" i="106"/>
  <c r="D6777" i="106" s="1"/>
  <c r="F154" i="34"/>
  <c r="B6958" i="106"/>
  <c r="D6958" i="106" s="1"/>
  <c r="K73" i="29"/>
  <c r="B1142" i="106" s="1"/>
  <c r="D1142" i="106" s="1"/>
  <c r="B754" i="106"/>
  <c r="D754" i="106" s="1"/>
  <c r="B6349" i="106"/>
  <c r="D6349" i="106" s="1"/>
  <c r="B733" i="106"/>
  <c r="D733" i="106" s="1"/>
  <c r="K50" i="29"/>
  <c r="E12" i="145" s="1"/>
  <c r="G12" i="145" s="1"/>
  <c r="B6408" i="106"/>
  <c r="D6408" i="106" s="1"/>
  <c r="B4394" i="106"/>
  <c r="D4394" i="106" s="1"/>
  <c r="B618" i="106"/>
  <c r="D618" i="106" s="1"/>
  <c r="B5231" i="106"/>
  <c r="D5231" i="106" s="1"/>
  <c r="B4865" i="106"/>
  <c r="D4865" i="106" s="1"/>
  <c r="B4344" i="106"/>
  <c r="D4344" i="106" s="1"/>
  <c r="B5617" i="106"/>
  <c r="D5617" i="106" s="1"/>
  <c r="B5142" i="106"/>
  <c r="D5142" i="106" s="1"/>
  <c r="B4077" i="106"/>
  <c r="D4077" i="106" s="1"/>
  <c r="F129" i="29"/>
  <c r="B7638" i="106"/>
  <c r="D44" i="4"/>
  <c r="B7749" i="106"/>
  <c r="D7749" i="106" s="1"/>
  <c r="B1022" i="106"/>
  <c r="D1022" i="106" s="1"/>
  <c r="H53" i="29"/>
  <c r="B1024" i="106" s="1"/>
  <c r="D1024" i="106" s="1"/>
  <c r="B4078" i="106"/>
  <c r="D4078" i="106" s="1"/>
  <c r="B7247" i="106"/>
  <c r="D7247" i="106" s="1"/>
  <c r="B5887" i="106"/>
  <c r="D5887" i="106" s="1"/>
  <c r="H121" i="5"/>
  <c r="B5362" i="106"/>
  <c r="D5362" i="106" s="1"/>
  <c r="B4365" i="106"/>
  <c r="D4365" i="106" s="1"/>
  <c r="H178" i="5"/>
  <c r="B4950" i="106" s="1"/>
  <c r="D4950" i="106" s="1"/>
  <c r="B6675" i="106"/>
  <c r="D6675" i="106" s="1"/>
  <c r="B971" i="106"/>
  <c r="D971" i="106" s="1"/>
  <c r="B2760" i="106"/>
  <c r="D2760" i="106" s="1"/>
  <c r="B6391" i="106"/>
  <c r="D6391" i="106" s="1"/>
  <c r="B6247" i="106"/>
  <c r="D6247" i="106" s="1"/>
  <c r="K274" i="29"/>
  <c r="B1503" i="106" s="1"/>
  <c r="D1503" i="106" s="1"/>
  <c r="B1439" i="106"/>
  <c r="D1439" i="106" s="1"/>
  <c r="B6324" i="106"/>
  <c r="D6324" i="106" s="1"/>
  <c r="B6640" i="106"/>
  <c r="D6640" i="106" s="1"/>
  <c r="B7769" i="106"/>
  <c r="D7769" i="106" s="1"/>
  <c r="B3367" i="106"/>
  <c r="D3367" i="106" s="1"/>
  <c r="K19" i="29"/>
  <c r="B3381" i="106" s="1"/>
  <c r="D3381" i="106" s="1"/>
  <c r="B202" i="106"/>
  <c r="D202" i="106" s="1"/>
  <c r="B5341" i="106"/>
  <c r="D5341" i="106" s="1"/>
  <c r="B3493" i="106"/>
  <c r="D3493" i="106" s="1"/>
  <c r="B5393" i="106"/>
  <c r="D5393" i="106" s="1"/>
  <c r="B1673" i="106"/>
  <c r="D1673" i="106" s="1"/>
  <c r="B6906" i="106"/>
  <c r="D6906" i="106" s="1"/>
  <c r="K221" i="29"/>
  <c r="B1406" i="106"/>
  <c r="D1406" i="106" s="1"/>
  <c r="B3080" i="106"/>
  <c r="D3080" i="106" s="1"/>
  <c r="F152" i="34"/>
  <c r="B6761" i="106"/>
  <c r="D6761" i="106" s="1"/>
  <c r="B5073" i="106"/>
  <c r="D5073" i="106" s="1"/>
  <c r="B1418" i="106"/>
  <c r="D1418" i="106" s="1"/>
  <c r="K240" i="29"/>
  <c r="D243" i="29"/>
  <c r="B1421" i="106" s="1"/>
  <c r="D1421" i="106" s="1"/>
  <c r="B5084" i="106"/>
  <c r="D5084" i="106" s="1"/>
  <c r="B4771" i="106"/>
  <c r="D4771" i="106" s="1"/>
  <c r="B880" i="106"/>
  <c r="D880" i="106" s="1"/>
  <c r="B6639" i="106"/>
  <c r="D6639" i="106" s="1"/>
  <c r="B834" i="106"/>
  <c r="D834" i="106" s="1"/>
  <c r="B3236" i="106"/>
  <c r="D3236" i="106" s="1"/>
  <c r="K259" i="5"/>
  <c r="K273" i="5" s="1"/>
  <c r="B4442" i="106" s="1"/>
  <c r="D4442" i="106" s="1"/>
  <c r="B6621" i="106"/>
  <c r="D6621" i="106" s="1"/>
  <c r="B6664" i="106"/>
  <c r="D6664" i="106" s="1"/>
  <c r="B166" i="106"/>
  <c r="D166" i="106" s="1"/>
  <c r="B6865" i="106"/>
  <c r="D6865" i="106" s="1"/>
  <c r="B6313" i="106"/>
  <c r="D6313" i="106" s="1"/>
  <c r="F22" i="34"/>
  <c r="B2800" i="106"/>
  <c r="D2800" i="106" s="1"/>
  <c r="B6888" i="106"/>
  <c r="D6888" i="106" s="1"/>
  <c r="K26" i="29"/>
  <c r="B5569" i="106"/>
  <c r="D5569" i="106" s="1"/>
  <c r="F21" i="34"/>
  <c r="K40" i="29"/>
  <c r="B1113" i="106" s="1"/>
  <c r="D1113" i="106" s="1"/>
  <c r="B725" i="106"/>
  <c r="D725" i="106" s="1"/>
  <c r="B5310" i="106"/>
  <c r="D5310" i="106" s="1"/>
  <c r="B4191" i="106"/>
  <c r="D4191" i="106" s="1"/>
  <c r="G65" i="29"/>
  <c r="B977" i="106" s="1"/>
  <c r="D977" i="106" s="1"/>
  <c r="B970" i="106"/>
  <c r="D970" i="106" s="1"/>
  <c r="B1645" i="106"/>
  <c r="D1645" i="106" s="1"/>
  <c r="H42" i="29"/>
  <c r="B1017" i="106" s="1"/>
  <c r="D1017" i="106" s="1"/>
  <c r="B1011" i="106"/>
  <c r="D1011" i="106" s="1"/>
  <c r="B6117" i="106"/>
  <c r="D6117" i="106" s="1"/>
  <c r="B6756" i="106"/>
  <c r="D6756" i="106" s="1"/>
  <c r="B652" i="106"/>
  <c r="D652" i="106" s="1"/>
  <c r="B5602" i="106"/>
  <c r="D5602" i="106" s="1"/>
  <c r="B4419" i="106"/>
  <c r="D4419" i="106" s="1"/>
  <c r="B7172" i="106"/>
  <c r="D7172" i="106" s="1"/>
  <c r="K325" i="29"/>
  <c r="B7180" i="106" s="1"/>
  <c r="D7180" i="106" s="1"/>
  <c r="B1450" i="106"/>
  <c r="D1450" i="106" s="1"/>
  <c r="K289" i="29"/>
  <c r="B1513" i="106" s="1"/>
  <c r="D1513" i="106" s="1"/>
  <c r="B2817" i="106"/>
  <c r="D2817" i="106" s="1"/>
  <c r="E76" i="4"/>
  <c r="B3276" i="106" s="1"/>
  <c r="D3276" i="106" s="1"/>
  <c r="B846" i="106"/>
  <c r="D846" i="106" s="1"/>
  <c r="B3082" i="106"/>
  <c r="D3082" i="106" s="1"/>
  <c r="B7187" i="106"/>
  <c r="D7187" i="106" s="1"/>
  <c r="B5524" i="106"/>
  <c r="D5524" i="106" s="1"/>
  <c r="B7692" i="106"/>
  <c r="D7692" i="106" s="1"/>
  <c r="K122" i="29"/>
  <c r="C127" i="29"/>
  <c r="B1223" i="106" s="1"/>
  <c r="D1223" i="106" s="1"/>
  <c r="B1219" i="106"/>
  <c r="D1219" i="106" s="1"/>
  <c r="B777" i="106"/>
  <c r="D777" i="106" s="1"/>
  <c r="B7197" i="106"/>
  <c r="D7197" i="106" s="1"/>
  <c r="B1046" i="106"/>
  <c r="D1046" i="106" s="1"/>
  <c r="B5462" i="106"/>
  <c r="D5462" i="106" s="1"/>
  <c r="B2719" i="106"/>
  <c r="D2719" i="106" s="1"/>
  <c r="F103" i="34"/>
  <c r="B4761" i="106"/>
  <c r="D4761" i="106" s="1"/>
  <c r="B5522" i="106"/>
  <c r="D5522" i="106" s="1"/>
  <c r="E108" i="5"/>
  <c r="B5526" i="106" s="1"/>
  <c r="D5526" i="106" s="1"/>
  <c r="B6622" i="106"/>
  <c r="D6622" i="106" s="1"/>
  <c r="F137" i="34"/>
  <c r="B6829" i="106"/>
  <c r="D6829" i="106" s="1"/>
  <c r="B5523" i="106"/>
  <c r="D5523" i="106" s="1"/>
  <c r="B6394" i="106"/>
  <c r="D6394" i="106" s="1"/>
  <c r="B1008" i="106"/>
  <c r="D1008" i="106" s="1"/>
  <c r="B6292" i="106"/>
  <c r="D6292" i="106" s="1"/>
  <c r="H204" i="29"/>
  <c r="H208" i="29" s="1"/>
  <c r="B1371" i="106"/>
  <c r="D1371" i="106" s="1"/>
  <c r="K199" i="29"/>
  <c r="B1383" i="106" s="1"/>
  <c r="D1383" i="106" s="1"/>
  <c r="B6178" i="106"/>
  <c r="D6178" i="106" s="1"/>
  <c r="B5576" i="106"/>
  <c r="D5576" i="106" s="1"/>
  <c r="F25" i="34"/>
  <c r="B7150" i="106"/>
  <c r="D7150" i="106" s="1"/>
  <c r="B972" i="106"/>
  <c r="D972" i="106" s="1"/>
  <c r="C216" i="5"/>
  <c r="B5256" i="106"/>
  <c r="D5256" i="106" s="1"/>
  <c r="K49" i="29"/>
  <c r="B732" i="106"/>
  <c r="D732" i="106" s="1"/>
  <c r="C53" i="29"/>
  <c r="B734" i="106" s="1"/>
  <c r="D734" i="106" s="1"/>
  <c r="B775" i="106"/>
  <c r="D775" i="106" s="1"/>
  <c r="B986" i="106"/>
  <c r="D986" i="106" s="1"/>
  <c r="L310" i="29"/>
  <c r="B6392" i="106"/>
  <c r="D6392" i="106" s="1"/>
  <c r="L330" i="29"/>
  <c r="B6172" i="106"/>
  <c r="D6172" i="106" s="1"/>
  <c r="H18" i="5"/>
  <c r="B5878" i="106" s="1"/>
  <c r="D5878" i="106" s="1"/>
  <c r="B5874" i="106"/>
  <c r="D5874" i="106" s="1"/>
  <c r="B6168" i="106"/>
  <c r="D6168" i="106" s="1"/>
  <c r="B6413" i="106"/>
  <c r="D6413" i="106" s="1"/>
  <c r="B126" i="106"/>
  <c r="D126" i="106" s="1"/>
  <c r="B88" i="106"/>
  <c r="D88" i="106" s="1"/>
  <c r="I350" i="29"/>
  <c r="B7226" i="106"/>
  <c r="D7226" i="106" s="1"/>
  <c r="B7655" i="106"/>
  <c r="D7655" i="106" s="1"/>
  <c r="B3486" i="106"/>
  <c r="D3486" i="106" s="1"/>
  <c r="B6332" i="106"/>
  <c r="D6332" i="106" s="1"/>
  <c r="B1687" i="106"/>
  <c r="D1687" i="106" s="1"/>
  <c r="B863" i="106"/>
  <c r="D863" i="106" s="1"/>
  <c r="B4334" i="106"/>
  <c r="D4334" i="106" s="1"/>
  <c r="B6347" i="106"/>
  <c r="D6347" i="106" s="1"/>
  <c r="B916" i="106"/>
  <c r="D916" i="106" s="1"/>
  <c r="B5098" i="106"/>
  <c r="D5098" i="106" s="1"/>
  <c r="B5464" i="106"/>
  <c r="D5464" i="106" s="1"/>
  <c r="B832" i="106"/>
  <c r="D832" i="106" s="1"/>
  <c r="K159" i="29"/>
  <c r="B7782" i="106" s="1"/>
  <c r="D7782" i="106" s="1"/>
  <c r="B7781" i="106"/>
  <c r="D7781" i="106" s="1"/>
  <c r="B4199" i="106"/>
  <c r="D4199" i="106" s="1"/>
  <c r="K134" i="29"/>
  <c r="B2986" i="106" s="1"/>
  <c r="D2986" i="106" s="1"/>
  <c r="B6706" i="106"/>
  <c r="D6706" i="106" s="1"/>
  <c r="B6139" i="106"/>
  <c r="D6139" i="106" s="1"/>
  <c r="I34" i="3"/>
  <c r="B6931" i="106"/>
  <c r="D6931" i="106" s="1"/>
  <c r="B5578" i="106"/>
  <c r="D5578" i="106" s="1"/>
  <c r="F27" i="34"/>
  <c r="B6249" i="106"/>
  <c r="D6249" i="106" s="1"/>
  <c r="B6764" i="106"/>
  <c r="D6764" i="106" s="1"/>
  <c r="B5566" i="106"/>
  <c r="D5566" i="106" s="1"/>
  <c r="F86" i="34"/>
  <c r="B6860" i="106"/>
  <c r="D6860" i="106" s="1"/>
  <c r="K278" i="29"/>
  <c r="B1509" i="106" s="1"/>
  <c r="D1509" i="106" s="1"/>
  <c r="B1445" i="106"/>
  <c r="D1445" i="106" s="1"/>
  <c r="B6642" i="106"/>
  <c r="D6642" i="106" s="1"/>
  <c r="F140" i="34"/>
  <c r="B3549" i="106"/>
  <c r="D3549" i="106" s="1"/>
  <c r="F76" i="4"/>
  <c r="B3254" i="106" s="1"/>
  <c r="D3254" i="106" s="1"/>
  <c r="B5024" i="106"/>
  <c r="D5024" i="106" s="1"/>
  <c r="B6896" i="106"/>
  <c r="D6896" i="106" s="1"/>
  <c r="K30" i="29"/>
  <c r="B7785" i="106"/>
  <c r="D7785" i="106" s="1"/>
  <c r="H334" i="29"/>
  <c r="B7789" i="106" s="1"/>
  <c r="D7789" i="106" s="1"/>
  <c r="K332" i="29"/>
  <c r="B6747" i="106"/>
  <c r="D6747" i="106" s="1"/>
  <c r="B6921" i="106"/>
  <c r="D6921" i="106" s="1"/>
  <c r="B6685" i="106"/>
  <c r="D6685" i="106" s="1"/>
  <c r="B5767" i="106"/>
  <c r="D5767" i="106" s="1"/>
  <c r="K227" i="29"/>
  <c r="B1466" i="106" s="1"/>
  <c r="D1466" i="106" s="1"/>
  <c r="B1402" i="106"/>
  <c r="D1402" i="106" s="1"/>
  <c r="B6818" i="106"/>
  <c r="D6818" i="106" s="1"/>
  <c r="B1252" i="106"/>
  <c r="D1252" i="106" s="1"/>
  <c r="B6813" i="106"/>
  <c r="D6813" i="106" s="1"/>
  <c r="B6672" i="106"/>
  <c r="D6672" i="106" s="1"/>
  <c r="B5922" i="106"/>
  <c r="D5922" i="106" s="1"/>
  <c r="K351" i="29"/>
  <c r="B3671" i="106" s="1"/>
  <c r="D3671" i="106" s="1"/>
  <c r="B3620" i="106"/>
  <c r="D3620" i="106" s="1"/>
  <c r="B6644" i="106"/>
  <c r="D6644" i="106" s="1"/>
  <c r="B912" i="106"/>
  <c r="D912" i="106" s="1"/>
  <c r="F65" i="29"/>
  <c r="B919" i="106" s="1"/>
  <c r="D919" i="106" s="1"/>
  <c r="B5076" i="106"/>
  <c r="D5076" i="106" s="1"/>
  <c r="B153" i="106"/>
  <c r="D153" i="106" s="1"/>
  <c r="K56" i="29"/>
  <c r="B736" i="106"/>
  <c r="D736" i="106" s="1"/>
  <c r="B5027" i="106"/>
  <c r="D5027" i="106" s="1"/>
  <c r="B5736" i="106"/>
  <c r="D5736" i="106" s="1"/>
  <c r="B1369" i="106"/>
  <c r="D1369" i="106" s="1"/>
  <c r="D18" i="5"/>
  <c r="B5339" i="106" s="1"/>
  <c r="D5339" i="106" s="1"/>
  <c r="B5335" i="106"/>
  <c r="D5335" i="106" s="1"/>
  <c r="B6326" i="106"/>
  <c r="D6326" i="106" s="1"/>
  <c r="B6160" i="106"/>
  <c r="D6160" i="106" s="1"/>
  <c r="B6098" i="106"/>
  <c r="D6098" i="106" s="1"/>
  <c r="C75" i="5"/>
  <c r="F94" i="34" s="1"/>
  <c r="B6031" i="106"/>
  <c r="D6031" i="106" s="1"/>
  <c r="K120" i="29"/>
  <c r="B4080" i="106" s="1"/>
  <c r="D4080" i="106" s="1"/>
  <c r="B4074" i="106"/>
  <c r="D4074" i="106" s="1"/>
  <c r="B6174" i="106"/>
  <c r="D6174" i="106" s="1"/>
  <c r="B5094" i="106"/>
  <c r="D5094" i="106" s="1"/>
  <c r="B7728" i="106"/>
  <c r="D7728" i="106" s="1"/>
  <c r="B6190" i="106"/>
  <c r="D6190" i="106" s="1"/>
  <c r="K107" i="29"/>
  <c r="B2795" i="106" s="1"/>
  <c r="D2795" i="106" s="1"/>
  <c r="B2791" i="106"/>
  <c r="D2791" i="106" s="1"/>
  <c r="B4230" i="106"/>
  <c r="D4230" i="106" s="1"/>
  <c r="D114" i="5"/>
  <c r="B5357" i="106"/>
  <c r="D5357" i="106" s="1"/>
  <c r="B6633" i="106"/>
  <c r="D6633" i="106" s="1"/>
  <c r="B6854" i="106"/>
  <c r="D6854" i="106" s="1"/>
  <c r="B1372" i="106"/>
  <c r="D1372" i="106" s="1"/>
  <c r="K200" i="29"/>
  <c r="B1384" i="106" s="1"/>
  <c r="D1384" i="106" s="1"/>
  <c r="B4878" i="106"/>
  <c r="D4878" i="106" s="1"/>
  <c r="B6652" i="106"/>
  <c r="D6652" i="106" s="1"/>
  <c r="J72" i="29"/>
  <c r="B6974" i="106" s="1"/>
  <c r="D6974" i="106" s="1"/>
  <c r="B6964" i="106"/>
  <c r="D6964" i="106" s="1"/>
  <c r="B6867" i="106"/>
  <c r="D6867" i="106" s="1"/>
  <c r="B5585" i="106"/>
  <c r="D5585" i="106" s="1"/>
  <c r="B6101" i="106"/>
  <c r="D6101" i="106" s="1"/>
  <c r="B1373" i="106"/>
  <c r="D1373" i="106" s="1"/>
  <c r="K203" i="29"/>
  <c r="B1385" i="106" s="1"/>
  <c r="D1385" i="106" s="1"/>
  <c r="B3646" i="106"/>
  <c r="D3646" i="106" s="1"/>
  <c r="B961" i="106"/>
  <c r="D961" i="106" s="1"/>
  <c r="B7661" i="106"/>
  <c r="D7661" i="106" s="1"/>
  <c r="B6300" i="106"/>
  <c r="D6300" i="106" s="1"/>
  <c r="B6738" i="106"/>
  <c r="D6738" i="106" s="1"/>
  <c r="B7697" i="106"/>
  <c r="D7697" i="106" s="1"/>
  <c r="K329" i="29"/>
  <c r="B7705" i="106" s="1"/>
  <c r="D7705" i="106" s="1"/>
  <c r="B6923" i="106"/>
  <c r="D6923" i="106" s="1"/>
  <c r="K242" i="29"/>
  <c r="B1484" i="106" s="1"/>
  <c r="D1484" i="106" s="1"/>
  <c r="B1420" i="106"/>
  <c r="D1420" i="106" s="1"/>
  <c r="B6843" i="106"/>
  <c r="D6843" i="106" s="1"/>
  <c r="B6142" i="106"/>
  <c r="D6142" i="106" s="1"/>
  <c r="B6095" i="106"/>
  <c r="D6095" i="106" s="1"/>
  <c r="B6765" i="106"/>
  <c r="D6765" i="106" s="1"/>
  <c r="B7651" i="106"/>
  <c r="D7651" i="106" s="1"/>
  <c r="B2798" i="106"/>
  <c r="D2798" i="106" s="1"/>
  <c r="B3581" i="106"/>
  <c r="D3581" i="106" s="1"/>
  <c r="B2766" i="106"/>
  <c r="D2766" i="106" s="1"/>
  <c r="B4887" i="106"/>
  <c r="D4887" i="106" s="1"/>
  <c r="B5248" i="106"/>
  <c r="D5248" i="106" s="1"/>
  <c r="F131" i="5"/>
  <c r="B5600" i="106"/>
  <c r="D5600" i="106" s="1"/>
  <c r="B6302" i="106"/>
  <c r="D6302" i="106" s="1"/>
  <c r="J18" i="5"/>
  <c r="B6306" i="106" s="1"/>
  <c r="D6306" i="106" s="1"/>
  <c r="B3083" i="106"/>
  <c r="D3083" i="106" s="1"/>
  <c r="B6702" i="106"/>
  <c r="D6702" i="106" s="1"/>
  <c r="B6905" i="106"/>
  <c r="D6905" i="106" s="1"/>
  <c r="J42" i="29"/>
  <c r="B5152" i="106"/>
  <c r="D5152" i="106" s="1"/>
  <c r="D42" i="29"/>
  <c r="B779" i="106"/>
  <c r="D779" i="106" s="1"/>
  <c r="B738" i="106"/>
  <c r="D738" i="106" s="1"/>
  <c r="C65" i="29"/>
  <c r="B745" i="106" s="1"/>
  <c r="D745" i="106" s="1"/>
  <c r="K59" i="29"/>
  <c r="B6085" i="106"/>
  <c r="D6085" i="106" s="1"/>
  <c r="B6768" i="106"/>
  <c r="D6768" i="106" s="1"/>
  <c r="L33" i="29"/>
  <c r="K27" i="29"/>
  <c r="B6890" i="106"/>
  <c r="D6890" i="106" s="1"/>
  <c r="G184" i="5"/>
  <c r="B5784" i="106" s="1"/>
  <c r="D5784" i="106" s="1"/>
  <c r="B4810" i="106"/>
  <c r="D4810" i="106" s="1"/>
  <c r="B4237" i="106"/>
  <c r="D4237" i="106" s="1"/>
  <c r="B983" i="106"/>
  <c r="D983" i="106" s="1"/>
  <c r="B6144" i="106"/>
  <c r="D6144" i="106" s="1"/>
  <c r="B7105" i="106"/>
  <c r="D7105" i="106" s="1"/>
  <c r="E310" i="29"/>
  <c r="B7114" i="106" s="1"/>
  <c r="D7114" i="106" s="1"/>
  <c r="K306" i="29"/>
  <c r="B7107" i="106" s="1"/>
  <c r="D7107" i="106" s="1"/>
  <c r="B2535" i="106"/>
  <c r="D2535" i="106" s="1"/>
  <c r="L243" i="29"/>
  <c r="B5347" i="106"/>
  <c r="D5347" i="106" s="1"/>
  <c r="B5722" i="106"/>
  <c r="D5722" i="106" s="1"/>
  <c r="K5" i="29"/>
  <c r="B1093" i="106" s="1"/>
  <c r="D1093" i="106" s="1"/>
  <c r="B705" i="106"/>
  <c r="D705" i="106" s="1"/>
  <c r="C33" i="29"/>
  <c r="B720" i="106" s="1"/>
  <c r="D720" i="106" s="1"/>
  <c r="B7267" i="106"/>
  <c r="B903" i="106"/>
  <c r="D903" i="106" s="1"/>
  <c r="B6616" i="106"/>
  <c r="D6616" i="106" s="1"/>
  <c r="E259" i="5"/>
  <c r="E273" i="5" s="1"/>
  <c r="B7747" i="106" s="1"/>
  <c r="D7747" i="106" s="1"/>
  <c r="B1316" i="106"/>
  <c r="D1316" i="106" s="1"/>
  <c r="B944" i="106"/>
  <c r="D944" i="106" s="1"/>
  <c r="B3578" i="106"/>
  <c r="D3578" i="106" s="1"/>
  <c r="B4335" i="106"/>
  <c r="D4335" i="106" s="1"/>
  <c r="B6137" i="106"/>
  <c r="D6137" i="106" s="1"/>
  <c r="B749" i="106"/>
  <c r="D749" i="106" s="1"/>
  <c r="K70" i="29"/>
  <c r="B7175" i="106"/>
  <c r="D7175" i="106" s="1"/>
  <c r="K327" i="29"/>
  <c r="B7198" i="106" s="1"/>
  <c r="D7198" i="106" s="1"/>
  <c r="B7190" i="106"/>
  <c r="D7190" i="106" s="1"/>
  <c r="B6866" i="106"/>
  <c r="D6866" i="106" s="1"/>
  <c r="B4355" i="106"/>
  <c r="D4355" i="106" s="1"/>
  <c r="B6776" i="106"/>
  <c r="D6776" i="106" s="1"/>
  <c r="B3228" i="106"/>
  <c r="D3228" i="106" s="1"/>
  <c r="B6967" i="106"/>
  <c r="D6967" i="106" s="1"/>
  <c r="B5432" i="106"/>
  <c r="D5432" i="106" s="1"/>
  <c r="B2822" i="106"/>
  <c r="D2822" i="106" s="1"/>
  <c r="G127" i="29"/>
  <c r="B1256" i="106" s="1"/>
  <c r="D1256" i="106" s="1"/>
  <c r="B1251" i="106"/>
  <c r="D1251" i="106" s="1"/>
  <c r="B1338" i="106"/>
  <c r="D1338" i="106" s="1"/>
  <c r="K183" i="29"/>
  <c r="B1380" i="106" s="1"/>
  <c r="D1380" i="106" s="1"/>
  <c r="B16" i="7"/>
  <c r="B5723" i="106"/>
  <c r="D5723" i="106" s="1"/>
  <c r="B6405" i="106"/>
  <c r="D6405" i="106" s="1"/>
  <c r="B6385" i="106"/>
  <c r="D6385" i="106" s="1"/>
  <c r="F118" i="34"/>
  <c r="B7065" i="106"/>
  <c r="D7065" i="106" s="1"/>
  <c r="B7787" i="106"/>
  <c r="D7787" i="106" s="1"/>
  <c r="K333" i="29"/>
  <c r="B7788" i="106" s="1"/>
  <c r="D7788" i="106" s="1"/>
  <c r="B5882" i="106"/>
  <c r="D5882" i="106" s="1"/>
  <c r="H108" i="5"/>
  <c r="B5886" i="106" s="1"/>
  <c r="D5886" i="106" s="1"/>
  <c r="B6081" i="106"/>
  <c r="D6081" i="106" s="1"/>
  <c r="B764" i="106"/>
  <c r="D764" i="106" s="1"/>
  <c r="B6780" i="106"/>
  <c r="D6780" i="106" s="1"/>
  <c r="K269" i="29"/>
  <c r="B1498" i="106" s="1"/>
  <c r="D1498" i="106" s="1"/>
  <c r="B1434" i="106"/>
  <c r="D1434" i="106" s="1"/>
  <c r="B6752" i="106"/>
  <c r="D6752" i="106" s="1"/>
  <c r="B6721" i="106"/>
  <c r="D6721" i="106" s="1"/>
  <c r="F23" i="34"/>
  <c r="B5571" i="106"/>
  <c r="D5571" i="106" s="1"/>
  <c r="B907" i="106"/>
  <c r="D907" i="106" s="1"/>
  <c r="B7639" i="106"/>
  <c r="B7258" i="106"/>
  <c r="D7258" i="106" s="1"/>
  <c r="B7252" i="106"/>
  <c r="D7252" i="106" s="1"/>
  <c r="B6801" i="106"/>
  <c r="D6801" i="106" s="1"/>
  <c r="F157" i="34"/>
  <c r="B6299" i="106"/>
  <c r="D6299" i="106" s="1"/>
  <c r="B6657" i="106"/>
  <c r="D6657" i="106" s="1"/>
  <c r="B6102" i="106"/>
  <c r="D6102" i="106" s="1"/>
  <c r="B3275" i="106"/>
  <c r="D3275" i="106" s="1"/>
  <c r="B6774" i="106"/>
  <c r="D6774" i="106" s="1"/>
  <c r="B7677" i="106"/>
  <c r="D7677" i="106" s="1"/>
  <c r="F20" i="34"/>
  <c r="B5568" i="106"/>
  <c r="D5568" i="106" s="1"/>
  <c r="B6920" i="106"/>
  <c r="D6920" i="106" s="1"/>
  <c r="B2993" i="106"/>
  <c r="D2993" i="106" s="1"/>
  <c r="K192" i="29"/>
  <c r="B3011" i="106" s="1"/>
  <c r="D3011" i="106" s="1"/>
  <c r="B6395" i="106"/>
  <c r="D6395" i="106" s="1"/>
  <c r="K360" i="29"/>
  <c r="B3675" i="106" s="1"/>
  <c r="D3675" i="106" s="1"/>
  <c r="B3657" i="106"/>
  <c r="D3657" i="106" s="1"/>
  <c r="H362" i="29"/>
  <c r="B4076" i="106"/>
  <c r="D4076" i="106" s="1"/>
  <c r="B4922" i="106"/>
  <c r="D4922" i="106" s="1"/>
  <c r="B3546" i="106"/>
  <c r="D3546" i="106" s="1"/>
  <c r="D42" i="36"/>
  <c r="K13" i="3"/>
  <c r="B3552" i="106" s="1"/>
  <c r="D3552" i="106" s="1"/>
  <c r="B6343" i="106"/>
  <c r="D6343" i="106" s="1"/>
  <c r="B6677" i="106"/>
  <c r="D6677" i="106" s="1"/>
  <c r="C72" i="29"/>
  <c r="B753" i="106" s="1"/>
  <c r="D753" i="106" s="1"/>
  <c r="K67" i="29"/>
  <c r="B746" i="106"/>
  <c r="D746" i="106" s="1"/>
  <c r="F119" i="34"/>
  <c r="B5056" i="106"/>
  <c r="D5056" i="106" s="1"/>
  <c r="B6842" i="106"/>
  <c r="D6842" i="106" s="1"/>
  <c r="B6156" i="106"/>
  <c r="D6156" i="106" s="1"/>
  <c r="B6363" i="106"/>
  <c r="D6363" i="106" s="1"/>
  <c r="C47" i="29"/>
  <c r="B731" i="106" s="1"/>
  <c r="D731" i="106" s="1"/>
  <c r="K44" i="29"/>
  <c r="B728" i="106"/>
  <c r="D728" i="106" s="1"/>
  <c r="B6969" i="106"/>
  <c r="D6969" i="106" s="1"/>
  <c r="B7670" i="106"/>
  <c r="D7670" i="106" s="1"/>
  <c r="B2799" i="106"/>
  <c r="D2799" i="106" s="1"/>
  <c r="B6794" i="106"/>
  <c r="D6794" i="106" s="1"/>
  <c r="B4947" i="106"/>
  <c r="D4947" i="106" s="1"/>
  <c r="B4399" i="106"/>
  <c r="D4399" i="106" s="1"/>
  <c r="B5401" i="106"/>
  <c r="D5401" i="106" s="1"/>
  <c r="B4874" i="106"/>
  <c r="D4874" i="106" s="1"/>
  <c r="D72" i="36"/>
  <c r="B2757" i="106"/>
  <c r="D2757" i="106" s="1"/>
  <c r="K133" i="29"/>
  <c r="E137" i="29"/>
  <c r="E139" i="29" s="1"/>
  <c r="B4203" i="106" s="1"/>
  <c r="D4203" i="106" s="1"/>
  <c r="B7774" i="106"/>
  <c r="D7774" i="106" s="1"/>
  <c r="B5463" i="106"/>
  <c r="D5463" i="106" s="1"/>
  <c r="B6734" i="106"/>
  <c r="D6734" i="106" s="1"/>
  <c r="B6317" i="106"/>
  <c r="D6317" i="106" s="1"/>
  <c r="B5148" i="106"/>
  <c r="D5148" i="106" s="1"/>
  <c r="C140" i="5"/>
  <c r="B5710" i="106"/>
  <c r="D5710" i="106" s="1"/>
  <c r="B6730" i="106"/>
  <c r="D6730" i="106" s="1"/>
  <c r="B948" i="106"/>
  <c r="D948" i="106" s="1"/>
  <c r="B6684" i="106"/>
  <c r="D6684" i="106" s="1"/>
  <c r="J330" i="29"/>
  <c r="B7125" i="106"/>
  <c r="D7125" i="106" s="1"/>
  <c r="K90" i="29"/>
  <c r="B6992" i="106" s="1"/>
  <c r="D6992" i="106" s="1"/>
  <c r="B6991" i="106"/>
  <c r="D6991" i="106" s="1"/>
  <c r="B6762" i="106"/>
  <c r="D6762" i="106" s="1"/>
  <c r="B5822" i="106"/>
  <c r="D5822" i="106" s="1"/>
  <c r="B5384" i="106"/>
  <c r="D5384" i="106" s="1"/>
  <c r="B6911" i="106"/>
  <c r="D6911" i="106" s="1"/>
  <c r="B743" i="106"/>
  <c r="D743" i="106" s="1"/>
  <c r="K64" i="29"/>
  <c r="B1131" i="106" s="1"/>
  <c r="D1131" i="106" s="1"/>
  <c r="B3648" i="106"/>
  <c r="D3648" i="106" s="1"/>
  <c r="K45" i="29"/>
  <c r="B1117" i="106" s="1"/>
  <c r="D1117" i="106" s="1"/>
  <c r="B729" i="106"/>
  <c r="D729" i="106" s="1"/>
  <c r="B5735" i="106"/>
  <c r="D5735" i="106" s="1"/>
  <c r="B6255" i="106"/>
  <c r="D6255" i="106" s="1"/>
  <c r="B2887" i="106"/>
  <c r="D2887" i="106" s="1"/>
  <c r="B6700" i="106"/>
  <c r="D6700" i="106" s="1"/>
  <c r="K145" i="29"/>
  <c r="B2811" i="106" s="1"/>
  <c r="D2811" i="106" s="1"/>
  <c r="B2808" i="106"/>
  <c r="D2808" i="106" s="1"/>
  <c r="B7118" i="106"/>
  <c r="D7118" i="106" s="1"/>
  <c r="K319" i="29"/>
  <c r="C330" i="29"/>
  <c r="B5563" i="106"/>
  <c r="D5563" i="106" s="1"/>
  <c r="F84" i="34"/>
  <c r="F63" i="5"/>
  <c r="B5579" i="106" s="1"/>
  <c r="D5579" i="106" s="1"/>
  <c r="B6384" i="106"/>
  <c r="D6384" i="106" s="1"/>
  <c r="B5659" i="106"/>
  <c r="D5659" i="106" s="1"/>
  <c r="F191" i="5"/>
  <c r="B1041" i="106"/>
  <c r="D1041" i="106" s="1"/>
  <c r="B848" i="106"/>
  <c r="D848" i="106" s="1"/>
  <c r="E53" i="29"/>
  <c r="B850" i="106" s="1"/>
  <c r="D850" i="106" s="1"/>
  <c r="B5083" i="106"/>
  <c r="D5083" i="106" s="1"/>
  <c r="B7024" i="106"/>
  <c r="D7024" i="106" s="1"/>
  <c r="I127" i="29"/>
  <c r="B7033" i="106" s="1"/>
  <c r="D7033" i="106" s="1"/>
  <c r="B6783" i="106"/>
  <c r="D6783" i="106" s="1"/>
  <c r="B6832" i="106"/>
  <c r="D6832" i="106" s="1"/>
  <c r="K32" i="29"/>
  <c r="B6900" i="106"/>
  <c r="D6900" i="106" s="1"/>
  <c r="B5075" i="106"/>
  <c r="D5075" i="106" s="1"/>
  <c r="B164" i="106"/>
  <c r="D164" i="106" s="1"/>
  <c r="B6870" i="106"/>
  <c r="D6870" i="106" s="1"/>
  <c r="B6342" i="106"/>
  <c r="D6342" i="106" s="1"/>
  <c r="B2437" i="106"/>
  <c r="D2437" i="106" s="1"/>
  <c r="K38" i="29"/>
  <c r="B1111" i="106" s="1"/>
  <c r="D1111" i="106" s="1"/>
  <c r="B723" i="106"/>
  <c r="D723" i="106" s="1"/>
  <c r="B6784" i="106"/>
  <c r="D6784" i="106" s="1"/>
  <c r="F18" i="34"/>
  <c r="B5564" i="106"/>
  <c r="D5564" i="106" s="1"/>
  <c r="B4797" i="106"/>
  <c r="D4797" i="106" s="1"/>
  <c r="B4421" i="106"/>
  <c r="D4421" i="106" s="1"/>
  <c r="B2763" i="106"/>
  <c r="D2763" i="106" s="1"/>
  <c r="B5498" i="106"/>
  <c r="D5498" i="106" s="1"/>
  <c r="C224" i="5"/>
  <c r="B5286" i="106" s="1"/>
  <c r="D5286" i="106" s="1"/>
  <c r="B5274" i="106"/>
  <c r="D5274" i="106" s="1"/>
  <c r="B1408" i="106"/>
  <c r="D1408" i="106" s="1"/>
  <c r="K223" i="29"/>
  <c r="B1472" i="106" s="1"/>
  <c r="D1472" i="106" s="1"/>
  <c r="B6088" i="106"/>
  <c r="D6088" i="106" s="1"/>
  <c r="B7177" i="106"/>
  <c r="D7177" i="106" s="1"/>
  <c r="B6348" i="106"/>
  <c r="D6348" i="106" s="1"/>
  <c r="B6327" i="106"/>
  <c r="D6327" i="106" s="1"/>
  <c r="B5929" i="106"/>
  <c r="D5929" i="106" s="1"/>
  <c r="B6733" i="106"/>
  <c r="D6733" i="106" s="1"/>
  <c r="B5625" i="106"/>
  <c r="D5625" i="106" s="1"/>
  <c r="B7658" i="106"/>
  <c r="D7658" i="106" s="1"/>
  <c r="B3625" i="106"/>
  <c r="D3625" i="106" s="1"/>
  <c r="B1015" i="106"/>
  <c r="D1015" i="106" s="1"/>
  <c r="C144" i="5"/>
  <c r="B5163" i="106"/>
  <c r="D5163" i="106" s="1"/>
  <c r="B6179" i="106"/>
  <c r="D6179" i="106" s="1"/>
  <c r="B5742" i="106"/>
  <c r="D5742" i="106" s="1"/>
  <c r="G121" i="5"/>
  <c r="B5748" i="106" s="1"/>
  <c r="D5748" i="106" s="1"/>
  <c r="F171" i="34"/>
  <c r="B4189" i="106"/>
  <c r="D4189" i="106" s="1"/>
  <c r="B7184" i="106"/>
  <c r="D7184" i="106" s="1"/>
  <c r="B7164" i="106"/>
  <c r="D7164" i="106" s="1"/>
  <c r="B5615" i="106"/>
  <c r="D5615" i="106" s="1"/>
  <c r="F154" i="5"/>
  <c r="B5618" i="106" s="1"/>
  <c r="D5618" i="106" s="1"/>
  <c r="B6383" i="106"/>
  <c r="D6383" i="106" s="1"/>
  <c r="F120" i="34"/>
  <c r="B5060" i="106"/>
  <c r="D5060" i="106" s="1"/>
  <c r="B3550" i="106"/>
  <c r="D3550" i="106" s="1"/>
  <c r="B921" i="106"/>
  <c r="D921" i="106" s="1"/>
  <c r="B6816" i="106"/>
  <c r="D6816" i="106" s="1"/>
  <c r="B5856" i="106"/>
  <c r="D5856" i="106" s="1"/>
  <c r="B6177" i="106"/>
  <c r="D6177" i="106" s="1"/>
  <c r="B3295" i="106"/>
  <c r="D3295" i="106" s="1"/>
  <c r="B890" i="106"/>
  <c r="D890" i="106" s="1"/>
  <c r="B1419" i="106"/>
  <c r="D1419" i="106" s="1"/>
  <c r="K241" i="29"/>
  <c r="B1483" i="106" s="1"/>
  <c r="D1483" i="106" s="1"/>
  <c r="B3579" i="106"/>
  <c r="D3579" i="106" s="1"/>
  <c r="K83" i="29"/>
  <c r="B2978" i="106" s="1"/>
  <c r="D2978" i="106" s="1"/>
  <c r="B2954" i="106"/>
  <c r="D2954" i="106" s="1"/>
  <c r="K46" i="29"/>
  <c r="B1118" i="106" s="1"/>
  <c r="D1118" i="106" s="1"/>
  <c r="B730" i="106"/>
  <c r="D730" i="106" s="1"/>
  <c r="B2801" i="106"/>
  <c r="D2801" i="106" s="1"/>
  <c r="G330" i="29"/>
  <c r="G342" i="29" s="1"/>
  <c r="B7220" i="106" s="1"/>
  <c r="D7220" i="106" s="1"/>
  <c r="B7122" i="106"/>
  <c r="D7122" i="106" s="1"/>
  <c r="B5057" i="106"/>
  <c r="D5057" i="106" s="1"/>
  <c r="B6382" i="106"/>
  <c r="D6382" i="106" s="1"/>
  <c r="F117" i="34"/>
  <c r="B4805" i="106"/>
  <c r="D4805" i="106" s="1"/>
  <c r="B5855" i="106"/>
  <c r="D5855" i="106" s="1"/>
  <c r="B6946" i="106"/>
  <c r="D6946" i="106" s="1"/>
  <c r="B5740" i="106"/>
  <c r="D5740" i="106" s="1"/>
  <c r="B1036" i="106"/>
  <c r="D1036" i="106" s="1"/>
  <c r="H72" i="29"/>
  <c r="B1043" i="106" s="1"/>
  <c r="D1043" i="106" s="1"/>
  <c r="K94" i="29"/>
  <c r="B6999" i="106" s="1"/>
  <c r="D6999" i="106" s="1"/>
  <c r="B6998" i="106"/>
  <c r="D6998" i="106" s="1"/>
  <c r="B6296" i="106"/>
  <c r="D6296" i="106" s="1"/>
  <c r="B4337" i="106"/>
  <c r="D4337" i="106" s="1"/>
  <c r="B7256" i="106"/>
  <c r="D7256" i="106" s="1"/>
  <c r="I65" i="29"/>
  <c r="B6961" i="106" s="1"/>
  <c r="D6961" i="106" s="1"/>
  <c r="B6950" i="106"/>
  <c r="D6950" i="106" s="1"/>
  <c r="B6663" i="106"/>
  <c r="D6663" i="106" s="1"/>
  <c r="B2720" i="106"/>
  <c r="D2720" i="106" s="1"/>
  <c r="B5354" i="106"/>
  <c r="D5354" i="106" s="1"/>
  <c r="B7179" i="106"/>
  <c r="D7179" i="106" s="1"/>
  <c r="K195" i="29"/>
  <c r="B2839" i="106" s="1"/>
  <c r="D2839" i="106" s="1"/>
  <c r="B2824" i="106"/>
  <c r="D2824" i="106" s="1"/>
  <c r="B6364" i="106"/>
  <c r="D6364" i="106" s="1"/>
  <c r="B5706" i="106"/>
  <c r="D5706" i="106" s="1"/>
  <c r="B6109" i="106"/>
  <c r="D6109" i="106" s="1"/>
  <c r="B2995" i="106"/>
  <c r="D2995" i="106" s="1"/>
  <c r="H194" i="29"/>
  <c r="B6154" i="106"/>
  <c r="D6154" i="106" s="1"/>
  <c r="B5438" i="106"/>
  <c r="D5438" i="106" s="1"/>
  <c r="K85" i="29"/>
  <c r="B6982" i="106" s="1"/>
  <c r="D6982" i="106" s="1"/>
  <c r="H92" i="29"/>
  <c r="K92" i="29" s="1"/>
  <c r="B2089" i="106" s="1"/>
  <c r="D2089" i="106" s="1"/>
  <c r="B6981" i="106"/>
  <c r="D6981" i="106" s="1"/>
  <c r="L362" i="29"/>
  <c r="L365" i="29" s="1"/>
  <c r="B859" i="106"/>
  <c r="D859" i="106" s="1"/>
  <c r="B3645" i="106"/>
  <c r="D3645" i="106" s="1"/>
  <c r="G350" i="29"/>
  <c r="B6407" i="106"/>
  <c r="D6407" i="106" s="1"/>
  <c r="B7212" i="106"/>
  <c r="D7212" i="106" s="1"/>
  <c r="K339" i="29"/>
  <c r="B7213" i="106" s="1"/>
  <c r="D7213" i="106" s="1"/>
  <c r="B6797" i="106"/>
  <c r="D6797" i="106" s="1"/>
  <c r="B2959" i="106"/>
  <c r="D2959" i="106" s="1"/>
  <c r="B4420" i="106"/>
  <c r="D4420" i="106" s="1"/>
  <c r="B3230" i="106"/>
  <c r="D3230" i="106" s="1"/>
  <c r="B5181" i="106"/>
  <c r="D5181" i="106" s="1"/>
  <c r="F112" i="34"/>
  <c r="B7673" i="106"/>
  <c r="D7673" i="106" s="1"/>
  <c r="B6970" i="106"/>
  <c r="D6970" i="106" s="1"/>
  <c r="B6929" i="106"/>
  <c r="D6929" i="106" s="1"/>
  <c r="B7039" i="106"/>
  <c r="D7039" i="106" s="1"/>
  <c r="B4379" i="106"/>
  <c r="D4379" i="106" s="1"/>
  <c r="B2475" i="106"/>
  <c r="D2475" i="106" s="1"/>
  <c r="B6892" i="106"/>
  <c r="D6892" i="106" s="1"/>
  <c r="K28" i="29"/>
  <c r="B4804" i="106"/>
  <c r="D4804" i="106" s="1"/>
  <c r="F184" i="5"/>
  <c r="B5658" i="106" s="1"/>
  <c r="D5658" i="106" s="1"/>
  <c r="B6928" i="106"/>
  <c r="D6928" i="106" s="1"/>
  <c r="B6356" i="106"/>
  <c r="D6356" i="106" s="1"/>
  <c r="B3374" i="106"/>
  <c r="D3374" i="106" s="1"/>
  <c r="B5104" i="106"/>
  <c r="D5104" i="106" s="1"/>
  <c r="B5885" i="106"/>
  <c r="D5885" i="106" s="1"/>
  <c r="B5349" i="106"/>
  <c r="D5349" i="106" s="1"/>
  <c r="D108" i="5"/>
  <c r="B5355" i="106" s="1"/>
  <c r="D5355" i="106" s="1"/>
  <c r="B6412" i="106"/>
  <c r="D6412" i="106" s="1"/>
  <c r="B3519" i="106"/>
  <c r="D3519" i="106" s="1"/>
  <c r="B6086" i="106"/>
  <c r="D6086" i="106" s="1"/>
  <c r="B925" i="106"/>
  <c r="D925" i="106" s="1"/>
  <c r="B5884" i="106"/>
  <c r="D5884" i="106" s="1"/>
  <c r="B838" i="106"/>
  <c r="D838" i="106" s="1"/>
  <c r="B6772" i="106"/>
  <c r="D6772" i="106" s="1"/>
  <c r="K31" i="29"/>
  <c r="B6898" i="106"/>
  <c r="D6898" i="106" s="1"/>
  <c r="B6241" i="106"/>
  <c r="D6241" i="106" s="1"/>
  <c r="B7260" i="106"/>
  <c r="D7260" i="106" s="1"/>
  <c r="B2723" i="106"/>
  <c r="D2723" i="106" s="1"/>
  <c r="B5799" i="106"/>
  <c r="D5799" i="106" s="1"/>
  <c r="G216" i="5"/>
  <c r="B4414" i="106" s="1"/>
  <c r="D4414" i="106" s="1"/>
  <c r="B2827" i="106"/>
  <c r="D2827" i="106" s="1"/>
  <c r="B6731" i="106"/>
  <c r="D6731" i="106" s="1"/>
  <c r="B4368" i="106"/>
  <c r="D4368" i="106" s="1"/>
  <c r="K178" i="5"/>
  <c r="B4951" i="106" s="1"/>
  <c r="D4951" i="106" s="1"/>
  <c r="F26" i="34"/>
  <c r="B5577" i="106"/>
  <c r="D5577" i="106" s="1"/>
  <c r="B1020" i="106"/>
  <c r="D1020" i="106" s="1"/>
  <c r="B4075" i="106"/>
  <c r="D4075" i="106" s="1"/>
  <c r="B7147" i="106"/>
  <c r="D7147" i="106" s="1"/>
  <c r="B5734" i="106"/>
  <c r="D5734" i="106" s="1"/>
  <c r="G108" i="5"/>
  <c r="B5737" i="106" s="1"/>
  <c r="D5737" i="106" s="1"/>
  <c r="B839" i="106"/>
  <c r="D839" i="106" s="1"/>
  <c r="B4330" i="106"/>
  <c r="D4330" i="106" s="1"/>
  <c r="B780" i="106"/>
  <c r="D780" i="106" s="1"/>
  <c r="B6759" i="106"/>
  <c r="D6759" i="106" s="1"/>
  <c r="B4416" i="106"/>
  <c r="D4416" i="106" s="1"/>
  <c r="K250" i="29"/>
  <c r="B7086" i="106" s="1"/>
  <c r="D7086" i="106" s="1"/>
  <c r="B7085" i="106"/>
  <c r="D7085" i="106" s="1"/>
  <c r="B6846" i="106"/>
  <c r="D6846" i="106" s="1"/>
  <c r="B4852" i="106"/>
  <c r="D4852" i="106" s="1"/>
  <c r="F174" i="34"/>
  <c r="B6654" i="106"/>
  <c r="D6654" i="106" s="1"/>
  <c r="B6387" i="106"/>
  <c r="D6387" i="106" s="1"/>
  <c r="B6766" i="106"/>
  <c r="D6766" i="106" s="1"/>
  <c r="B7157" i="106"/>
  <c r="D7157" i="106" s="1"/>
  <c r="B6218" i="106"/>
  <c r="D6218" i="106" s="1"/>
  <c r="B2957" i="106"/>
  <c r="D2957" i="106" s="1"/>
  <c r="B5080" i="106"/>
  <c r="D5080" i="106" s="1"/>
  <c r="B6151" i="106"/>
  <c r="D6151" i="106" s="1"/>
  <c r="F33" i="34"/>
  <c r="B5494" i="106"/>
  <c r="D5494" i="106" s="1"/>
  <c r="B7030" i="106"/>
  <c r="D7030" i="106" s="1"/>
  <c r="B4392" i="106"/>
  <c r="D4392" i="106" s="1"/>
  <c r="K6" i="29"/>
  <c r="B7763" i="106" s="1"/>
  <c r="D7763" i="106" s="1"/>
  <c r="B7762" i="106"/>
  <c r="D7762" i="106" s="1"/>
  <c r="B7040" i="106"/>
  <c r="D7040" i="106" s="1"/>
  <c r="L350" i="29"/>
  <c r="L352" i="29" s="1"/>
  <c r="B6714" i="106"/>
  <c r="D6714" i="106" s="1"/>
  <c r="B5986" i="106"/>
  <c r="D5986" i="106" s="1"/>
  <c r="B7100" i="106"/>
  <c r="D7100" i="106" s="1"/>
  <c r="J303" i="29"/>
  <c r="B7183" i="106"/>
  <c r="D7183" i="106" s="1"/>
  <c r="B7196" i="106"/>
  <c r="D7196" i="106" s="1"/>
  <c r="B5875" i="106"/>
  <c r="D5875" i="106" s="1"/>
  <c r="B6805" i="106"/>
  <c r="D6805" i="106" s="1"/>
  <c r="D224" i="5"/>
  <c r="B5470" i="106" s="1"/>
  <c r="D5470" i="106" s="1"/>
  <c r="F31" i="34"/>
  <c r="B5458" i="106"/>
  <c r="D5458" i="106" s="1"/>
  <c r="B7149" i="106"/>
  <c r="D7149" i="106" s="1"/>
  <c r="B6629" i="106"/>
  <c r="D6629" i="106" s="1"/>
  <c r="B1051" i="106"/>
  <c r="D1051" i="106" s="1"/>
  <c r="K109" i="29"/>
  <c r="B1149" i="106" s="1"/>
  <c r="D1149" i="106" s="1"/>
  <c r="B6939" i="106"/>
  <c r="D6939" i="106" s="1"/>
  <c r="K249" i="29"/>
  <c r="B7084" i="106" s="1"/>
  <c r="D7084" i="106" s="1"/>
  <c r="B7083" i="106"/>
  <c r="D7083" i="106" s="1"/>
  <c r="K34" i="3"/>
  <c r="B6132" i="106"/>
  <c r="D6132" i="106" s="1"/>
  <c r="K53" i="4"/>
  <c r="B3703" i="106" s="1"/>
  <c r="D3703" i="106" s="1"/>
  <c r="B3699" i="106"/>
  <c r="D3699" i="106" s="1"/>
  <c r="B7009" i="106"/>
  <c r="D7009" i="106" s="1"/>
  <c r="K275" i="29"/>
  <c r="B1504" i="106" s="1"/>
  <c r="D1504" i="106" s="1"/>
  <c r="B1440" i="106"/>
  <c r="D1440" i="106" s="1"/>
  <c r="K283" i="29"/>
  <c r="B3723" i="106" s="1"/>
  <c r="D3723" i="106" s="1"/>
  <c r="B3721" i="106"/>
  <c r="D3721" i="106" s="1"/>
  <c r="K255" i="29"/>
  <c r="B7096" i="106" s="1"/>
  <c r="D7096" i="106" s="1"/>
  <c r="B7095" i="106"/>
  <c r="D7095" i="106" s="1"/>
  <c r="B1227" i="106"/>
  <c r="D1227" i="106" s="1"/>
  <c r="D127" i="29"/>
  <c r="B1231" i="106" s="1"/>
  <c r="D1231" i="106" s="1"/>
  <c r="B3562" i="106"/>
  <c r="D3562" i="106" s="1"/>
  <c r="B7653" i="106"/>
  <c r="D7653" i="106" s="1"/>
  <c r="K121" i="5"/>
  <c r="B6006" i="106" s="1"/>
  <c r="D6006" i="106" s="1"/>
  <c r="B6000" i="106"/>
  <c r="D6000" i="106" s="1"/>
  <c r="B5920" i="106"/>
  <c r="D5920" i="106" s="1"/>
  <c r="B5858" i="106"/>
  <c r="D5858" i="106" s="1"/>
  <c r="B6909" i="106"/>
  <c r="D6909" i="106" s="1"/>
  <c r="B6937" i="106"/>
  <c r="D6937" i="106" s="1"/>
  <c r="B7160" i="106"/>
  <c r="D7160" i="106" s="1"/>
  <c r="B1350" i="106"/>
  <c r="D1350" i="106" s="1"/>
  <c r="B4877" i="106"/>
  <c r="D4877" i="106" s="1"/>
  <c r="B5927" i="106"/>
  <c r="D5927" i="106" s="1"/>
  <c r="I108" i="5"/>
  <c r="B5930" i="106" s="1"/>
  <c r="D5930" i="106" s="1"/>
  <c r="K220" i="29"/>
  <c r="B7077" i="106"/>
  <c r="D7077" i="106" s="1"/>
  <c r="B7186" i="106"/>
  <c r="D7186" i="106" s="1"/>
  <c r="B6678" i="106"/>
  <c r="D6678" i="106" s="1"/>
  <c r="B7687" i="106"/>
  <c r="D7687" i="106" s="1"/>
  <c r="B6182" i="106"/>
  <c r="D6182" i="106" s="1"/>
  <c r="B6828" i="106"/>
  <c r="D6828" i="106" s="1"/>
  <c r="B4083" i="106"/>
  <c r="D4083" i="106" s="1"/>
  <c r="E184" i="29"/>
  <c r="B5525" i="106"/>
  <c r="D5525" i="106" s="1"/>
  <c r="B5993" i="106"/>
  <c r="D5993" i="106" s="1"/>
  <c r="K67" i="5"/>
  <c r="B5995" i="106" s="1"/>
  <c r="D5995" i="106" s="1"/>
  <c r="E40" i="4"/>
  <c r="B6288" i="106" s="1"/>
  <c r="D6288" i="106" s="1"/>
  <c r="B6248" i="106"/>
  <c r="D6248" i="106" s="1"/>
  <c r="B6849" i="106"/>
  <c r="D6849" i="106" s="1"/>
  <c r="D211" i="5"/>
  <c r="B5444" i="106" s="1"/>
  <c r="D5444" i="106" s="1"/>
  <c r="B5431" i="106"/>
  <c r="D5431" i="106" s="1"/>
  <c r="B6744" i="106"/>
  <c r="D6744" i="106" s="1"/>
  <c r="B323" i="106"/>
  <c r="D323" i="106" s="1"/>
  <c r="D68" i="36"/>
  <c r="B899" i="106"/>
  <c r="D899" i="106" s="1"/>
  <c r="B6183" i="106"/>
  <c r="D6183" i="106" s="1"/>
  <c r="F99" i="34"/>
  <c r="B5110" i="106"/>
  <c r="D5110" i="106" s="1"/>
  <c r="B4378" i="106"/>
  <c r="D4378" i="106" s="1"/>
  <c r="B2979" i="106"/>
  <c r="D2979" i="106" s="1"/>
  <c r="B6084" i="106"/>
  <c r="D6084" i="106" s="1"/>
  <c r="B1033" i="106"/>
  <c r="D1033" i="106" s="1"/>
  <c r="B119" i="106"/>
  <c r="D119" i="106" s="1"/>
  <c r="B4945" i="106"/>
  <c r="D4945" i="106" s="1"/>
  <c r="B7195" i="106"/>
  <c r="D7195" i="106" s="1"/>
  <c r="B2821" i="106"/>
  <c r="D2821" i="106" s="1"/>
  <c r="B5059" i="106"/>
  <c r="D5059" i="106" s="1"/>
  <c r="B6670" i="106"/>
  <c r="D6670" i="106" s="1"/>
  <c r="B6880" i="106"/>
  <c r="D6880" i="106" s="1"/>
  <c r="K22" i="29"/>
  <c r="B6881" i="106" s="1"/>
  <c r="D6881" i="106" s="1"/>
  <c r="C184" i="29"/>
  <c r="B1339" i="106" s="1"/>
  <c r="D1339" i="106" s="1"/>
  <c r="B4081" i="106"/>
  <c r="D4081" i="106" s="1"/>
  <c r="K180" i="29"/>
  <c r="B7689" i="106"/>
  <c r="D7689" i="106" s="1"/>
  <c r="C82" i="5"/>
  <c r="B5097" i="106"/>
  <c r="D5097" i="106" s="1"/>
  <c r="B6688" i="106"/>
  <c r="D6688" i="106" s="1"/>
  <c r="B3297" i="106"/>
  <c r="D3297" i="106" s="1"/>
  <c r="B5077" i="106"/>
  <c r="D5077" i="106" s="1"/>
  <c r="B7264" i="106"/>
  <c r="B5313" i="106"/>
  <c r="D5313" i="106" s="1"/>
  <c r="F167" i="34"/>
  <c r="B5594" i="106"/>
  <c r="D5594" i="106" s="1"/>
  <c r="B2435" i="106"/>
  <c r="D2435" i="106" s="1"/>
  <c r="D75" i="36"/>
  <c r="B5743" i="106"/>
  <c r="D5743" i="106" s="1"/>
  <c r="B852" i="106"/>
  <c r="D852" i="106" s="1"/>
  <c r="F116" i="34"/>
  <c r="B5200" i="106"/>
  <c r="D5200" i="106" s="1"/>
  <c r="H350" i="29"/>
  <c r="B3652" i="106"/>
  <c r="D3652" i="106" s="1"/>
  <c r="B6806" i="106"/>
  <c r="D6806" i="106" s="1"/>
  <c r="B4181" i="106"/>
  <c r="D4181" i="106" s="1"/>
  <c r="B6741" i="106"/>
  <c r="D6741" i="106" s="1"/>
  <c r="B6345" i="106"/>
  <c r="D6345" i="106" s="1"/>
  <c r="B7693" i="106"/>
  <c r="D7693" i="106" s="1"/>
  <c r="B5278" i="106"/>
  <c r="D5278" i="106" s="1"/>
  <c r="F132" i="34"/>
  <c r="K201" i="29"/>
  <c r="B2841" i="106" s="1"/>
  <c r="D2841" i="106" s="1"/>
  <c r="B2831" i="106"/>
  <c r="D2831" i="106" s="1"/>
  <c r="B4882" i="106"/>
  <c r="D4882" i="106" s="1"/>
  <c r="B7702" i="106"/>
  <c r="D7702" i="106" s="1"/>
  <c r="B5280" i="106"/>
  <c r="D5280" i="106" s="1"/>
  <c r="F134" i="34"/>
  <c r="L160" i="29"/>
  <c r="L174" i="29" s="1"/>
  <c r="F90" i="34"/>
  <c r="B6314" i="106"/>
  <c r="D6314" i="106" s="1"/>
  <c r="G211" i="5"/>
  <c r="B5803" i="106" s="1"/>
  <c r="D5803" i="106" s="1"/>
  <c r="B5790" i="106"/>
  <c r="D5790" i="106" s="1"/>
  <c r="B3085" i="106"/>
  <c r="D3085" i="106" s="1"/>
  <c r="H19" i="118"/>
  <c r="H14" i="118"/>
  <c r="B6240" i="106"/>
  <c r="D6240" i="106" s="1"/>
  <c r="E37" i="4"/>
  <c r="B6285" i="106" s="1"/>
  <c r="D6285" i="106" s="1"/>
  <c r="B6368" i="106"/>
  <c r="D6368" i="106" s="1"/>
  <c r="E172" i="5"/>
  <c r="B5537" i="106" s="1"/>
  <c r="D5537" i="106" s="1"/>
  <c r="G154" i="5"/>
  <c r="B4357" i="106" s="1"/>
  <c r="D4357" i="106" s="1"/>
  <c r="B6380" i="106"/>
  <c r="D6380" i="106" s="1"/>
  <c r="B6953" i="106"/>
  <c r="D6953" i="106" s="1"/>
  <c r="B4228" i="106"/>
  <c r="D4228" i="106" s="1"/>
  <c r="B7176" i="106"/>
  <c r="D7176" i="106" s="1"/>
  <c r="F32" i="34"/>
  <c r="B5459" i="106"/>
  <c r="D5459" i="106" s="1"/>
  <c r="B5374" i="106"/>
  <c r="D5374" i="106" s="1"/>
  <c r="B6918" i="106"/>
  <c r="D6918" i="106" s="1"/>
  <c r="I47" i="29"/>
  <c r="B6924" i="106" s="1"/>
  <c r="D6924" i="106" s="1"/>
  <c r="B6800" i="106"/>
  <c r="D6800" i="106" s="1"/>
  <c r="B4321" i="106"/>
  <c r="D4321" i="106" s="1"/>
  <c r="B6868" i="106"/>
  <c r="D6868" i="106" s="1"/>
  <c r="F139" i="34"/>
  <c r="B6634" i="106"/>
  <c r="D6634" i="106" s="1"/>
  <c r="B1546" i="106"/>
  <c r="D1546" i="106" s="1"/>
  <c r="B1253" i="106"/>
  <c r="D1253" i="106" s="1"/>
  <c r="B6369" i="106"/>
  <c r="D6369" i="106" s="1"/>
  <c r="B6753" i="106"/>
  <c r="D6753" i="106" s="1"/>
  <c r="F151" i="34"/>
  <c r="B5100" i="106"/>
  <c r="D5100" i="106" s="1"/>
  <c r="B6120" i="106"/>
  <c r="D6120" i="106" s="1"/>
  <c r="B6170" i="106"/>
  <c r="D6170" i="106" s="1"/>
  <c r="B7766" i="106"/>
  <c r="D7766" i="106" s="1"/>
  <c r="B2772" i="106"/>
  <c r="D2772" i="106" s="1"/>
  <c r="I44" i="4"/>
  <c r="B3317" i="106" s="1"/>
  <c r="D3317" i="106" s="1"/>
  <c r="F57" i="29"/>
  <c r="B911" i="106" s="1"/>
  <c r="D911" i="106" s="1"/>
  <c r="B909" i="106"/>
  <c r="D909" i="106" s="1"/>
  <c r="B864" i="106"/>
  <c r="D864" i="106" s="1"/>
  <c r="B3055" i="106"/>
  <c r="D3055" i="106" s="1"/>
  <c r="K10" i="29"/>
  <c r="B3062" i="106" s="1"/>
  <c r="D3062" i="106" s="1"/>
  <c r="B7657" i="106"/>
  <c r="D7657" i="106" s="1"/>
  <c r="B6334" i="106"/>
  <c r="D6334" i="106" s="1"/>
  <c r="B4802" i="106"/>
  <c r="D4802" i="106" s="1"/>
  <c r="B4370" i="106"/>
  <c r="D4370" i="106" s="1"/>
  <c r="B5440" i="106"/>
  <c r="D5440" i="106" s="1"/>
  <c r="D216" i="5"/>
  <c r="B4412" i="106" s="1"/>
  <c r="D4412" i="106" s="1"/>
  <c r="B4328" i="106"/>
  <c r="D4328" i="106" s="1"/>
  <c r="B5517" i="106"/>
  <c r="D5517" i="106" s="1"/>
  <c r="B5424" i="106"/>
  <c r="D5424" i="106" s="1"/>
  <c r="D184" i="5"/>
  <c r="B5425" i="106" s="1"/>
  <c r="D5425" i="106" s="1"/>
  <c r="B5240" i="106"/>
  <c r="D5240" i="106" s="1"/>
  <c r="B1549" i="106"/>
  <c r="D1549" i="106" s="1"/>
  <c r="H303" i="29"/>
  <c r="B1553" i="106" s="1"/>
  <c r="D1553" i="106" s="1"/>
  <c r="B6180" i="106"/>
  <c r="D6180" i="106" s="1"/>
  <c r="B2840" i="106"/>
  <c r="D2840" i="106" s="1"/>
  <c r="B7025" i="106"/>
  <c r="D7025" i="106" s="1"/>
  <c r="J127" i="29"/>
  <c r="B7034" i="106" s="1"/>
  <c r="D7034" i="106" s="1"/>
  <c r="B6996" i="106"/>
  <c r="D6996" i="106" s="1"/>
  <c r="H100" i="29"/>
  <c r="B7012" i="106" s="1"/>
  <c r="D7012" i="106" s="1"/>
  <c r="K93" i="29"/>
  <c r="B13" i="7"/>
  <c r="B3725" i="106" s="1"/>
  <c r="D3725" i="106" s="1"/>
  <c r="B5026" i="106"/>
  <c r="D5026" i="106" s="1"/>
  <c r="B6781" i="106"/>
  <c r="D6781" i="106" s="1"/>
  <c r="B2806" i="106"/>
  <c r="D2806" i="106" s="1"/>
  <c r="B1039" i="106"/>
  <c r="D1039" i="106" s="1"/>
  <c r="B12" i="7"/>
  <c r="K12" i="5"/>
  <c r="B5987" i="106" s="1"/>
  <c r="D5987" i="106" s="1"/>
  <c r="B5985" i="106"/>
  <c r="D5985" i="106" s="1"/>
  <c r="B6116" i="106"/>
  <c r="D6116" i="106" s="1"/>
  <c r="B6097" i="106"/>
  <c r="D6097" i="106" s="1"/>
  <c r="B1366" i="106"/>
  <c r="D1366" i="106" s="1"/>
  <c r="B5082" i="106"/>
  <c r="D5082" i="106" s="1"/>
  <c r="B6771" i="106"/>
  <c r="D6771" i="106" s="1"/>
  <c r="B8" i="7"/>
  <c r="D8" i="7" s="1"/>
  <c r="B1764" i="106" s="1"/>
  <c r="D1764" i="106" s="1"/>
  <c r="B5721" i="106"/>
  <c r="D5721" i="106" s="1"/>
  <c r="G12" i="5"/>
  <c r="B5725" i="106" s="1"/>
  <c r="D5725" i="106" s="1"/>
  <c r="B6750" i="106"/>
  <c r="D6750" i="106" s="1"/>
  <c r="F149" i="34"/>
  <c r="F29" i="34" s="1"/>
  <c r="B6729" i="106"/>
  <c r="D6729" i="106" s="1"/>
  <c r="B6773" i="106"/>
  <c r="D6773" i="106" s="1"/>
  <c r="B967" i="106"/>
  <c r="D967" i="106" s="1"/>
  <c r="G57" i="29"/>
  <c r="B969" i="106" s="1"/>
  <c r="D969" i="106" s="1"/>
  <c r="B1236" i="106"/>
  <c r="D1236" i="106" s="1"/>
  <c r="B6869" i="106"/>
  <c r="D6869" i="106" s="1"/>
  <c r="B3641" i="106"/>
  <c r="D3641" i="106" s="1"/>
  <c r="B7004" i="106"/>
  <c r="D7004" i="106" s="1"/>
  <c r="K97" i="29"/>
  <c r="B7005" i="106" s="1"/>
  <c r="D7005" i="106" s="1"/>
  <c r="B5726" i="106"/>
  <c r="D5726" i="106" s="1"/>
  <c r="G18" i="5"/>
  <c r="B5730" i="106" s="1"/>
  <c r="D5730" i="106" s="1"/>
  <c r="B6165" i="106"/>
  <c r="D6165" i="106" s="1"/>
  <c r="B6367" i="106"/>
  <c r="D6367" i="106" s="1"/>
  <c r="B6847" i="106"/>
  <c r="D6847" i="106" s="1"/>
  <c r="H168" i="29"/>
  <c r="H172" i="29" s="1"/>
  <c r="B1317" i="106" s="1"/>
  <c r="D1317" i="106" s="1"/>
  <c r="K163" i="29"/>
  <c r="B1324" i="106" s="1"/>
  <c r="D1324" i="106" s="1"/>
  <c r="B1310" i="106"/>
  <c r="D1310" i="106" s="1"/>
  <c r="B206" i="106"/>
  <c r="D206" i="106" s="1"/>
  <c r="B3079" i="106"/>
  <c r="D3079" i="106" s="1"/>
  <c r="B5580" i="106"/>
  <c r="D5580" i="106" s="1"/>
  <c r="F67" i="5"/>
  <c r="B5582" i="106" s="1"/>
  <c r="D5582" i="106" s="1"/>
  <c r="B6359" i="106"/>
  <c r="D6359" i="106" s="1"/>
  <c r="B6096" i="106"/>
  <c r="D6096" i="106" s="1"/>
  <c r="B962" i="106"/>
  <c r="D962" i="106" s="1"/>
  <c r="B4415" i="106"/>
  <c r="D4415" i="106" s="1"/>
  <c r="F166" i="34"/>
  <c r="B6954" i="106"/>
  <c r="D6954" i="106" s="1"/>
  <c r="B130" i="106"/>
  <c r="D130" i="106" s="1"/>
  <c r="B7690" i="106"/>
  <c r="D7690" i="106" s="1"/>
  <c r="F164" i="34"/>
  <c r="B6841" i="106"/>
  <c r="D6841" i="106" s="1"/>
  <c r="B1007" i="106"/>
  <c r="D1007" i="106" s="1"/>
  <c r="B1018" i="106"/>
  <c r="D1018" i="106" s="1"/>
  <c r="H47" i="29"/>
  <c r="B1021" i="106" s="1"/>
  <c r="D1021" i="106" s="1"/>
  <c r="B6328" i="106"/>
  <c r="D6328" i="106" s="1"/>
  <c r="B6810" i="106"/>
  <c r="D6810" i="106" s="1"/>
  <c r="B6635" i="106"/>
  <c r="D6635" i="106" s="1"/>
  <c r="B7192" i="106"/>
  <c r="D7192" i="106" s="1"/>
  <c r="L42" i="29"/>
  <c r="B5520" i="106"/>
  <c r="D5520" i="106" s="1"/>
  <c r="B6748" i="106"/>
  <c r="D6748" i="106" s="1"/>
  <c r="B5697" i="106"/>
  <c r="D5697" i="106" s="1"/>
  <c r="K268" i="29"/>
  <c r="B1497" i="106" s="1"/>
  <c r="D1497" i="106" s="1"/>
  <c r="B1433" i="106"/>
  <c r="D1433" i="106" s="1"/>
  <c r="B6638" i="106"/>
  <c r="D6638" i="106" s="1"/>
  <c r="B5095" i="106"/>
  <c r="D5095" i="106" s="1"/>
  <c r="J76" i="4"/>
  <c r="B6261" i="106" s="1"/>
  <c r="D6261" i="106" s="1"/>
  <c r="B6239" i="106"/>
  <c r="D6239" i="106" s="1"/>
  <c r="B6259" i="106"/>
  <c r="D6259" i="106" s="1"/>
  <c r="B6808" i="106"/>
  <c r="D6808" i="106" s="1"/>
  <c r="B73" i="106"/>
  <c r="D73" i="106" s="1"/>
  <c r="B7148" i="106"/>
  <c r="D7148" i="106" s="1"/>
  <c r="F156" i="34"/>
  <c r="B6793" i="106"/>
  <c r="D6793" i="106" s="1"/>
  <c r="B5823" i="106"/>
  <c r="D5823" i="106" s="1"/>
  <c r="G228" i="5"/>
  <c r="B5847" i="106" s="1"/>
  <c r="D5847" i="106" s="1"/>
  <c r="B5844" i="106"/>
  <c r="D5844" i="106" s="1"/>
  <c r="B5194" i="106"/>
  <c r="D5194" i="106" s="1"/>
  <c r="F114" i="34"/>
  <c r="B6186" i="106"/>
  <c r="D6186" i="106" s="1"/>
  <c r="B3370" i="106"/>
  <c r="D3370" i="106" s="1"/>
  <c r="B6851" i="106"/>
  <c r="D6851" i="106" s="1"/>
  <c r="B5996" i="106"/>
  <c r="D5996" i="106" s="1"/>
  <c r="K108" i="5"/>
  <c r="B5999" i="106" s="1"/>
  <c r="D5999" i="106" s="1"/>
  <c r="B6779" i="106"/>
  <c r="D6779" i="106" s="1"/>
  <c r="B2794" i="106"/>
  <c r="D2794" i="106" s="1"/>
  <c r="B856" i="106"/>
  <c r="D856" i="106" s="1"/>
  <c r="B3577" i="106"/>
  <c r="D3577" i="106" s="1"/>
  <c r="B979" i="106"/>
  <c r="D979" i="106" s="1"/>
  <c r="B4333" i="106"/>
  <c r="D4333" i="106" s="1"/>
  <c r="B5573" i="106"/>
  <c r="D5573" i="106" s="1"/>
  <c r="F91" i="34"/>
  <c r="B7700" i="106"/>
  <c r="D7700" i="106" s="1"/>
  <c r="B7250" i="106"/>
  <c r="D7250" i="106" s="1"/>
  <c r="B7248" i="106"/>
  <c r="D7248" i="106" s="1"/>
  <c r="B7240" i="106"/>
  <c r="D7240" i="106" s="1"/>
  <c r="K363" i="29"/>
  <c r="B7241" i="106" s="1"/>
  <c r="D7241" i="106" s="1"/>
  <c r="B833" i="106"/>
  <c r="D833" i="106" s="1"/>
  <c r="B5395" i="106"/>
  <c r="D5395" i="106" s="1"/>
  <c r="B6687" i="106"/>
  <c r="D6687" i="106" s="1"/>
  <c r="B7059" i="106"/>
  <c r="D7059" i="106" s="1"/>
  <c r="B6742" i="106"/>
  <c r="D6742" i="106" s="1"/>
  <c r="B2825" i="106"/>
  <c r="D2825" i="106" s="1"/>
  <c r="B3485" i="106"/>
  <c r="D3485" i="106" s="1"/>
  <c r="K246" i="29"/>
  <c r="B1487" i="106" s="1"/>
  <c r="D1487" i="106" s="1"/>
  <c r="B1423" i="106"/>
  <c r="D1423" i="106" s="1"/>
  <c r="F160" i="34"/>
  <c r="B6825" i="106"/>
  <c r="D6825" i="106" s="1"/>
  <c r="B951" i="106"/>
  <c r="D951" i="106" s="1"/>
  <c r="B5728" i="106"/>
  <c r="D5728" i="106" s="1"/>
  <c r="B5515" i="106"/>
  <c r="D5515" i="106" s="1"/>
  <c r="B6254" i="106"/>
  <c r="D6254" i="106" s="1"/>
  <c r="B7151" i="106"/>
  <c r="D7151" i="106" s="1"/>
  <c r="B7159" i="106"/>
  <c r="D7159" i="106" s="1"/>
  <c r="B5606" i="106"/>
  <c r="D5606" i="106" s="1"/>
  <c r="B6169" i="106"/>
  <c r="D6169" i="106" s="1"/>
  <c r="B3617" i="106"/>
  <c r="D3617" i="106" s="1"/>
  <c r="C350" i="29"/>
  <c r="K348" i="29"/>
  <c r="B3668" i="106" s="1"/>
  <c r="D3668" i="106" s="1"/>
  <c r="I53" i="29"/>
  <c r="B6942" i="106" s="1"/>
  <c r="D6942" i="106" s="1"/>
  <c r="B6926" i="106"/>
  <c r="D6926" i="106" s="1"/>
  <c r="B4327" i="106"/>
  <c r="D4327" i="106" s="1"/>
  <c r="B5092" i="106"/>
  <c r="D5092" i="106" s="1"/>
  <c r="K205" i="29"/>
  <c r="B7068" i="106" s="1"/>
  <c r="D7068" i="106" s="1"/>
  <c r="B7067" i="106"/>
  <c r="D7067" i="106" s="1"/>
  <c r="B1002" i="106"/>
  <c r="D1002" i="106" s="1"/>
  <c r="B5601" i="106"/>
  <c r="D5601" i="106" s="1"/>
  <c r="B2958" i="106"/>
  <c r="D2958" i="106" s="1"/>
  <c r="L257" i="29"/>
  <c r="B6146" i="106"/>
  <c r="D6146" i="106" s="1"/>
  <c r="B4448" i="106"/>
  <c r="D4448" i="106" s="1"/>
  <c r="B5072" i="106"/>
  <c r="D5072" i="106" s="1"/>
  <c r="C40" i="5"/>
  <c r="B5087" i="106" s="1"/>
  <c r="D5087" i="106" s="1"/>
  <c r="B6844" i="106"/>
  <c r="D6844" i="106" s="1"/>
  <c r="I33" i="29"/>
  <c r="B6873" i="106"/>
  <c r="D6873" i="106" s="1"/>
  <c r="B7027" i="106"/>
  <c r="D7027" i="106" s="1"/>
  <c r="B6760" i="106"/>
  <c r="D6760" i="106" s="1"/>
  <c r="B7707" i="106"/>
  <c r="D7707" i="106" s="1"/>
  <c r="B5871" i="106"/>
  <c r="D5871" i="106" s="1"/>
  <c r="B9" i="7"/>
  <c r="H12" i="5"/>
  <c r="B5873" i="106" s="1"/>
  <c r="D5873" i="106" s="1"/>
  <c r="K263" i="29"/>
  <c r="B1492" i="106" s="1"/>
  <c r="D1492" i="106" s="1"/>
  <c r="B1428" i="106"/>
  <c r="D1428" i="106" s="1"/>
  <c r="D270" i="29"/>
  <c r="B1436" i="106" s="1"/>
  <c r="D1436" i="106" s="1"/>
  <c r="B6850" i="106"/>
  <c r="D6850" i="106" s="1"/>
  <c r="L147" i="29"/>
  <c r="L149" i="29"/>
  <c r="B6907" i="106"/>
  <c r="D6907" i="106" s="1"/>
  <c r="B5241" i="106"/>
  <c r="D5241" i="106" s="1"/>
  <c r="B4879" i="106"/>
  <c r="D4879" i="106" s="1"/>
  <c r="D303" i="29"/>
  <c r="D312" i="29" s="1"/>
  <c r="B1530" i="106" s="1"/>
  <c r="D1530" i="106" s="1"/>
  <c r="B1525" i="106"/>
  <c r="D1525" i="106" s="1"/>
  <c r="B6993" i="106"/>
  <c r="D6993" i="106" s="1"/>
  <c r="K91" i="29"/>
  <c r="B6994" i="106" s="1"/>
  <c r="D6994" i="106" s="1"/>
  <c r="B6163" i="106"/>
  <c r="D6163" i="106" s="1"/>
  <c r="B5086" i="106"/>
  <c r="D5086" i="106" s="1"/>
  <c r="B4353" i="106"/>
  <c r="D4353" i="106" s="1"/>
  <c r="B6686" i="106"/>
  <c r="D6686" i="106" s="1"/>
  <c r="B7061" i="106"/>
  <c r="D7061" i="106" s="1"/>
  <c r="B2955" i="106"/>
  <c r="D2955" i="106" s="1"/>
  <c r="H84" i="29"/>
  <c r="B2081" i="106" s="1"/>
  <c r="D2081" i="106" s="1"/>
  <c r="B1363" i="106"/>
  <c r="D1363" i="106" s="1"/>
  <c r="B6913" i="106"/>
  <c r="D6913" i="106" s="1"/>
  <c r="B6787" i="106"/>
  <c r="D6787" i="106" s="1"/>
  <c r="B6910" i="106"/>
  <c r="D6910" i="106" s="1"/>
  <c r="B6782" i="106"/>
  <c r="D6782" i="106" s="1"/>
  <c r="L92" i="29"/>
  <c r="B5081" i="106"/>
  <c r="D5081" i="106" s="1"/>
  <c r="B6319" i="106"/>
  <c r="D6319" i="106" s="1"/>
  <c r="J108" i="5"/>
  <c r="B6351" i="106" s="1"/>
  <c r="D6351" i="106" s="1"/>
  <c r="B896" i="106"/>
  <c r="D896" i="106" s="1"/>
  <c r="B6636" i="106"/>
  <c r="D6636" i="106" s="1"/>
  <c r="B6669" i="106"/>
  <c r="D6669" i="106" s="1"/>
  <c r="B6855" i="106"/>
  <c r="D6855" i="106" s="1"/>
  <c r="B7791" i="106"/>
  <c r="D7791" i="106" s="1"/>
  <c r="H357" i="29"/>
  <c r="K354" i="29"/>
  <c r="B7236" i="106"/>
  <c r="D7236" i="106" s="1"/>
  <c r="B5330" i="106"/>
  <c r="D5330" i="106" s="1"/>
  <c r="B828" i="106"/>
  <c r="D828" i="106" s="1"/>
  <c r="B5514" i="106"/>
  <c r="D5514" i="106" s="1"/>
  <c r="E18" i="5"/>
  <c r="B5518" i="106" s="1"/>
  <c r="D5518" i="106" s="1"/>
  <c r="B6767" i="106"/>
  <c r="D6767" i="106" s="1"/>
  <c r="B1261" i="106"/>
  <c r="D1261" i="106" s="1"/>
  <c r="B6694" i="106"/>
  <c r="D6694" i="106" s="1"/>
  <c r="B5575" i="106"/>
  <c r="D5575" i="106" s="1"/>
  <c r="F92" i="34"/>
  <c r="B1409" i="106"/>
  <c r="D1409" i="106" s="1"/>
  <c r="K224" i="29"/>
  <c r="B1473" i="106" s="1"/>
  <c r="D1473" i="106" s="1"/>
  <c r="B974" i="106"/>
  <c r="D974" i="106" s="1"/>
  <c r="K89" i="29"/>
  <c r="B6990" i="106" s="1"/>
  <c r="D6990" i="106" s="1"/>
  <c r="B6989" i="106"/>
  <c r="D6989" i="106" s="1"/>
  <c r="B7097" i="106"/>
  <c r="D7097" i="106" s="1"/>
  <c r="K256" i="29"/>
  <c r="B7098" i="106" s="1"/>
  <c r="D7098" i="106" s="1"/>
  <c r="B7185" i="106"/>
  <c r="D7185" i="106" s="1"/>
  <c r="K260" i="29"/>
  <c r="B1490" i="106" s="1"/>
  <c r="D1490" i="106" s="1"/>
  <c r="B1426" i="106"/>
  <c r="D1426" i="106" s="1"/>
  <c r="K251" i="29"/>
  <c r="B7088" i="106" s="1"/>
  <c r="D7088" i="106" s="1"/>
  <c r="B7087" i="106"/>
  <c r="D7087" i="106" s="1"/>
  <c r="B4343" i="106"/>
  <c r="D4343" i="106" s="1"/>
  <c r="B7142" i="106"/>
  <c r="D7142" i="106" s="1"/>
  <c r="L127" i="29"/>
  <c r="L129" i="29" s="1"/>
  <c r="B7238" i="106"/>
  <c r="D7238" i="106" s="1"/>
  <c r="K361" i="29"/>
  <c r="B7239" i="106" s="1"/>
  <c r="D7239" i="106" s="1"/>
  <c r="B2807" i="106"/>
  <c r="D2807" i="106" s="1"/>
  <c r="K144" i="29"/>
  <c r="B2810" i="106" s="1"/>
  <c r="D2810" i="106" s="1"/>
  <c r="B2960" i="106"/>
  <c r="D2960" i="106" s="1"/>
  <c r="F87" i="34"/>
  <c r="B6312" i="106"/>
  <c r="D6312" i="106" s="1"/>
  <c r="B4853" i="106"/>
  <c r="D4853" i="106" s="1"/>
  <c r="B6187" i="106"/>
  <c r="D6187" i="106" s="1"/>
  <c r="B6655" i="106"/>
  <c r="D6655" i="106" s="1"/>
  <c r="B2802" i="106"/>
  <c r="D2802" i="106" s="1"/>
  <c r="B6695" i="106"/>
  <c r="D6695" i="106" s="1"/>
  <c r="B4916" i="106"/>
  <c r="D4916" i="106" s="1"/>
  <c r="B1265" i="106"/>
  <c r="D1265" i="106" s="1"/>
  <c r="B4311" i="106"/>
  <c r="D4311" i="106" s="1"/>
  <c r="B5065" i="106"/>
  <c r="D5065" i="106" s="1"/>
  <c r="B18" i="7"/>
  <c r="B5338" i="106"/>
  <c r="D5338" i="106" s="1"/>
  <c r="B5106" i="106"/>
  <c r="D5106" i="106" s="1"/>
  <c r="F97" i="34"/>
  <c r="B968" i="106"/>
  <c r="D968" i="106" s="1"/>
  <c r="B4393" i="106"/>
  <c r="D4393" i="106" s="1"/>
  <c r="B6389" i="106"/>
  <c r="D6389" i="106" s="1"/>
  <c r="B794" i="106"/>
  <c r="D794" i="106" s="1"/>
  <c r="F163" i="34"/>
  <c r="B7765" i="106"/>
  <c r="D7765" i="106" s="1"/>
  <c r="L229" i="29"/>
  <c r="B5997" i="106"/>
  <c r="D5997" i="106" s="1"/>
  <c r="B5058" i="106"/>
  <c r="D5058" i="106" s="1"/>
  <c r="B6980" i="106"/>
  <c r="D6980" i="106" s="1"/>
  <c r="B1235" i="106"/>
  <c r="D1235" i="106" s="1"/>
  <c r="E127" i="29"/>
  <c r="B1239" i="106" s="1"/>
  <c r="D1239" i="106" s="1"/>
  <c r="B6100" i="106"/>
  <c r="D6100" i="106" s="1"/>
  <c r="B65" i="106"/>
  <c r="D65" i="106" s="1"/>
  <c r="B1357" i="106"/>
  <c r="D1357" i="106" s="1"/>
  <c r="B7265" i="106"/>
  <c r="B1260" i="106"/>
  <c r="D1260" i="106" s="1"/>
  <c r="H127" i="29"/>
  <c r="B1264" i="106" s="1"/>
  <c r="D1264" i="106" s="1"/>
  <c r="B7146" i="106"/>
  <c r="D7146" i="106" s="1"/>
  <c r="B1026" i="106"/>
  <c r="D1026" i="106" s="1"/>
  <c r="B6947" i="106"/>
  <c r="D6947" i="106" s="1"/>
  <c r="B5230" i="106"/>
  <c r="D5230" i="106" s="1"/>
  <c r="C184" i="5"/>
  <c r="F126" i="34"/>
  <c r="B6876" i="106"/>
  <c r="D6876" i="106" s="1"/>
  <c r="K20" i="29"/>
  <c r="B7143" i="106"/>
  <c r="D7143" i="106" s="1"/>
  <c r="B7043" i="106"/>
  <c r="D7043" i="106" s="1"/>
  <c r="B7081" i="106"/>
  <c r="D7081" i="106" s="1"/>
  <c r="K248" i="29"/>
  <c r="B7082" i="106" s="1"/>
  <c r="D7082" i="106" s="1"/>
  <c r="B6632" i="106"/>
  <c r="D6632" i="106" s="1"/>
  <c r="B4796" i="106"/>
  <c r="D4796" i="106" s="1"/>
  <c r="B4401" i="106"/>
  <c r="D4401" i="106" s="1"/>
  <c r="B7654" i="106"/>
  <c r="D7654" i="106" s="1"/>
  <c r="D12" i="171"/>
  <c r="B5123" i="106"/>
  <c r="D5123" i="106" s="1"/>
  <c r="B7193" i="106"/>
  <c r="D7193" i="106" s="1"/>
  <c r="I184" i="29"/>
  <c r="B7063" i="106" s="1"/>
  <c r="D7063" i="106" s="1"/>
  <c r="B7057" i="106"/>
  <c r="D7057" i="106" s="1"/>
  <c r="B1228" i="106"/>
  <c r="D1228" i="106" s="1"/>
  <c r="B5119" i="106"/>
  <c r="D5119" i="106" s="1"/>
  <c r="K328" i="29"/>
  <c r="B7696" i="106" s="1"/>
  <c r="D7696" i="106" s="1"/>
  <c r="B7688" i="106"/>
  <c r="D7688" i="106" s="1"/>
  <c r="B867" i="106"/>
  <c r="D867" i="106" s="1"/>
  <c r="B7058" i="106"/>
  <c r="D7058" i="106" s="1"/>
  <c r="J184" i="29"/>
  <c r="J210" i="29" s="1"/>
  <c r="B7072" i="106" s="1"/>
  <c r="D7072" i="106" s="1"/>
  <c r="B15" i="7"/>
  <c r="B5511" i="106"/>
  <c r="D5511" i="106" s="1"/>
  <c r="B4338" i="106"/>
  <c r="D4338" i="106" s="1"/>
  <c r="B6775" i="106"/>
  <c r="D6775" i="106" s="1"/>
  <c r="B6140" i="106"/>
  <c r="D6140" i="106" s="1"/>
  <c r="B5255" i="106"/>
  <c r="D5255" i="106" s="1"/>
  <c r="L47" i="29"/>
  <c r="B7134" i="106"/>
  <c r="D7134" i="106" s="1"/>
  <c r="B4360" i="106"/>
  <c r="D4360" i="106" s="1"/>
  <c r="B3634" i="106"/>
  <c r="D3634" i="106" s="1"/>
  <c r="B988" i="106"/>
  <c r="D988" i="106" s="1"/>
  <c r="B5124" i="106"/>
  <c r="D5124" i="106" s="1"/>
  <c r="B872" i="106"/>
  <c r="D872" i="106" s="1"/>
  <c r="F89" i="34"/>
  <c r="B5572" i="106"/>
  <c r="D5572" i="106" s="1"/>
  <c r="B6353" i="106"/>
  <c r="D6353" i="106" s="1"/>
  <c r="J121" i="5"/>
  <c r="B4864" i="106"/>
  <c r="D4864" i="106" s="1"/>
  <c r="B6325" i="106"/>
  <c r="D6325" i="106" s="1"/>
  <c r="B791" i="106"/>
  <c r="D791" i="106" s="1"/>
  <c r="B6975" i="106"/>
  <c r="D6975" i="106" s="1"/>
  <c r="B3372" i="106"/>
  <c r="D3372" i="106" s="1"/>
  <c r="B2908" i="106"/>
  <c r="D2908" i="106" s="1"/>
  <c r="B7170" i="106"/>
  <c r="D7170" i="106" s="1"/>
  <c r="J259" i="5"/>
  <c r="B6620" i="106"/>
  <c r="D6620" i="106" s="1"/>
  <c r="B6709" i="106"/>
  <c r="D6709" i="106" s="1"/>
  <c r="B3369" i="106"/>
  <c r="D3369" i="106" s="1"/>
  <c r="B6627" i="106"/>
  <c r="D6627" i="106" s="1"/>
  <c r="B5555" i="106"/>
  <c r="D5555" i="106" s="1"/>
  <c r="B981" i="106"/>
  <c r="D981" i="106" s="1"/>
  <c r="B950" i="106"/>
  <c r="D950" i="106" s="1"/>
  <c r="B7672" i="106"/>
  <c r="D7672" i="106" s="1"/>
  <c r="B7167" i="106"/>
  <c r="D7167" i="106" s="1"/>
  <c r="B3371" i="106"/>
  <c r="D3371" i="106" s="1"/>
  <c r="B134" i="106"/>
  <c r="D134" i="106" s="1"/>
  <c r="B6674" i="106"/>
  <c r="D6674" i="106" s="1"/>
  <c r="F144" i="34"/>
  <c r="B4331" i="106"/>
  <c r="D4331" i="106" s="1"/>
  <c r="B2504" i="106"/>
  <c r="D2504" i="106" s="1"/>
  <c r="N21" i="3"/>
  <c r="B282" i="106" s="1"/>
  <c r="D282" i="106" s="1"/>
  <c r="B4881" i="106"/>
  <c r="D4881" i="106" s="1"/>
  <c r="B7699" i="106"/>
  <c r="D7699" i="106" s="1"/>
  <c r="B4884" i="106"/>
  <c r="D4884" i="106" s="1"/>
  <c r="B6795" i="106"/>
  <c r="D6795" i="106" s="1"/>
  <c r="B910" i="106"/>
  <c r="D910" i="106" s="1"/>
  <c r="B7062" i="106"/>
  <c r="D7062" i="106" s="1"/>
  <c r="B86" i="106"/>
  <c r="D86" i="106" s="1"/>
  <c r="B6173" i="106"/>
  <c r="D6173" i="106" s="1"/>
  <c r="G178" i="5"/>
  <c r="B5780" i="106" s="1"/>
  <c r="D5780" i="106" s="1"/>
  <c r="B5779" i="106"/>
  <c r="D5779" i="106" s="1"/>
  <c r="B6141" i="106"/>
  <c r="D6141" i="106" s="1"/>
  <c r="B7008" i="106"/>
  <c r="D7008" i="106" s="1"/>
  <c r="E100" i="29"/>
  <c r="B7011" i="106" s="1"/>
  <c r="D7011" i="106" s="1"/>
  <c r="K99" i="29"/>
  <c r="B7010" i="106" s="1"/>
  <c r="D7010" i="106" s="1"/>
  <c r="B6398" i="106"/>
  <c r="D6398" i="106" s="1"/>
  <c r="J178" i="5"/>
  <c r="B6400" i="106" s="1"/>
  <c r="D6400" i="106" s="1"/>
  <c r="B879" i="106"/>
  <c r="D879" i="106" s="1"/>
  <c r="F33" i="29"/>
  <c r="B894" i="106" s="1"/>
  <c r="D894" i="106" s="1"/>
  <c r="B2996" i="106"/>
  <c r="D2996" i="106" s="1"/>
  <c r="B5604" i="106"/>
  <c r="D5604" i="106" s="1"/>
  <c r="B6859" i="106"/>
  <c r="D6859" i="106" s="1"/>
  <c r="B980" i="106"/>
  <c r="D980" i="106" s="1"/>
  <c r="B975" i="106"/>
  <c r="D975" i="106" s="1"/>
  <c r="B117" i="106"/>
  <c r="D117" i="106" s="1"/>
  <c r="B4795" i="106"/>
  <c r="D4795" i="106" s="1"/>
  <c r="B5586" i="106"/>
  <c r="D5586" i="106" s="1"/>
  <c r="G47" i="29"/>
  <c r="B963" i="106" s="1"/>
  <c r="D963" i="106" s="1"/>
  <c r="B960" i="106"/>
  <c r="D960" i="106" s="1"/>
  <c r="B5559" i="106"/>
  <c r="D5559" i="106" s="1"/>
  <c r="L57" i="29"/>
  <c r="B5485" i="106"/>
  <c r="D5485" i="106" s="1"/>
  <c r="D228" i="5"/>
  <c r="B5488" i="106" s="1"/>
  <c r="D5488" i="106" s="1"/>
  <c r="B7031" i="106"/>
  <c r="D7031" i="106" s="1"/>
  <c r="B5353" i="106"/>
  <c r="D5353" i="106" s="1"/>
  <c r="K364" i="29"/>
  <c r="B7746" i="106" s="1"/>
  <c r="D7746" i="106" s="1"/>
  <c r="B7745" i="106"/>
  <c r="D7745" i="106" s="1"/>
  <c r="B1220" i="106"/>
  <c r="D1220" i="106" s="1"/>
  <c r="K123" i="29"/>
  <c r="B1275" i="106" s="1"/>
  <c r="D1275" i="106" s="1"/>
  <c r="B5574" i="106"/>
  <c r="D5574" i="106" s="1"/>
  <c r="F24" i="34"/>
  <c r="B7165" i="106"/>
  <c r="D7165" i="106" s="1"/>
  <c r="L184" i="29"/>
  <c r="L210" i="29" s="1"/>
  <c r="E303" i="29"/>
  <c r="B1535" i="106" s="1"/>
  <c r="D1535" i="106" s="1"/>
  <c r="B1531" i="106"/>
  <c r="D1531" i="106" s="1"/>
  <c r="C131" i="5"/>
  <c r="B5133" i="106"/>
  <c r="D5133" i="106" s="1"/>
  <c r="B6707" i="106"/>
  <c r="D6707" i="106" s="1"/>
  <c r="B857" i="106"/>
  <c r="D857" i="106" s="1"/>
  <c r="B5630" i="106"/>
  <c r="D5630" i="106" s="1"/>
  <c r="B7683" i="106"/>
  <c r="D7683" i="106" s="1"/>
  <c r="B6755" i="106"/>
  <c r="D6755" i="106" s="1"/>
  <c r="B2911" i="106"/>
  <c r="D2911" i="106" s="1"/>
  <c r="C67" i="5"/>
  <c r="B5090" i="106" s="1"/>
  <c r="D5090" i="106" s="1"/>
  <c r="B5088" i="106"/>
  <c r="D5088" i="106" s="1"/>
  <c r="B6713" i="106"/>
  <c r="D6713" i="106" s="1"/>
  <c r="B7174" i="106"/>
  <c r="D7174" i="106" s="1"/>
  <c r="B6665" i="106"/>
  <c r="D6665" i="106" s="1"/>
  <c r="B2992" i="106"/>
  <c r="D2992" i="106" s="1"/>
  <c r="K191" i="29"/>
  <c r="B3010" i="106" s="1"/>
  <c r="D3010" i="106" s="1"/>
  <c r="B5067" i="106"/>
  <c r="D5067" i="106" s="1"/>
  <c r="C18" i="5"/>
  <c r="B5071" i="106" s="1"/>
  <c r="D5071" i="106" s="1"/>
  <c r="B1617" i="106"/>
  <c r="D1617" i="106" s="1"/>
  <c r="B6804" i="106"/>
  <c r="D6804" i="106" s="1"/>
  <c r="B6862" i="106"/>
  <c r="D6862" i="106" s="1"/>
  <c r="B1262" i="106"/>
  <c r="D1262" i="106" s="1"/>
  <c r="B3161" i="106"/>
  <c r="D3161" i="106" s="1"/>
  <c r="H51" i="4"/>
  <c r="B3170" i="106" s="1"/>
  <c r="D3170" i="106" s="1"/>
  <c r="K82" i="29"/>
  <c r="B2977" i="106" s="1"/>
  <c r="D2977" i="106" s="1"/>
  <c r="B2953" i="106"/>
  <c r="D2953" i="106" s="1"/>
  <c r="B5243" i="106"/>
  <c r="D5243" i="106" s="1"/>
  <c r="B7691" i="106"/>
  <c r="D7691" i="106" s="1"/>
  <c r="B6219" i="106"/>
  <c r="D6219" i="106" s="1"/>
  <c r="B6945" i="106"/>
  <c r="D6945" i="106" s="1"/>
  <c r="J57" i="29"/>
  <c r="B6949" i="106" s="1"/>
  <c r="D6949" i="106" s="1"/>
  <c r="B5105" i="106"/>
  <c r="D5105" i="106" s="1"/>
  <c r="B7120" i="106"/>
  <c r="D7120" i="106" s="1"/>
  <c r="E330" i="29"/>
  <c r="B7101" i="106"/>
  <c r="D7101" i="106" s="1"/>
  <c r="B6402" i="106"/>
  <c r="D6402" i="106" s="1"/>
  <c r="G201" i="5"/>
  <c r="B6409" i="106" s="1"/>
  <c r="D6409" i="106" s="1"/>
  <c r="B3251" i="106"/>
  <c r="D3251" i="106" s="1"/>
  <c r="B5233" i="106"/>
  <c r="D5233" i="106" s="1"/>
  <c r="C191" i="5"/>
  <c r="F114" i="5"/>
  <c r="B5589" i="106"/>
  <c r="D5589" i="106" s="1"/>
  <c r="B3316" i="106"/>
  <c r="D3316" i="106" s="1"/>
  <c r="B798" i="106"/>
  <c r="D798" i="106" s="1"/>
  <c r="B7168" i="106"/>
  <c r="D7168" i="106" s="1"/>
  <c r="B6403" i="106"/>
  <c r="D6403" i="106" s="1"/>
  <c r="K75" i="29"/>
  <c r="B756" i="106"/>
  <c r="D756" i="106" s="1"/>
  <c r="B6134" i="106"/>
  <c r="D6134" i="106" s="1"/>
  <c r="B5879" i="106"/>
  <c r="D5879" i="106" s="1"/>
  <c r="H67" i="5"/>
  <c r="B5881" i="106" s="1"/>
  <c r="D5881" i="106" s="1"/>
  <c r="B4312" i="106"/>
  <c r="D4312" i="106" s="1"/>
  <c r="B3414" i="106"/>
  <c r="D3414" i="106" s="1"/>
  <c r="D13" i="3"/>
  <c r="B109" i="106" s="1"/>
  <c r="D109" i="106" s="1"/>
  <c r="D35" i="36"/>
  <c r="H24" i="118"/>
  <c r="D69" i="36"/>
  <c r="K170" i="29"/>
  <c r="B1329" i="106" s="1"/>
  <c r="D1329" i="106" s="1"/>
  <c r="B1315" i="106"/>
  <c r="D1315" i="106" s="1"/>
  <c r="B5708" i="106"/>
  <c r="D5708" i="106" s="1"/>
  <c r="B7158" i="106"/>
  <c r="D7158" i="106" s="1"/>
  <c r="G67" i="5"/>
  <c r="B5733" i="106" s="1"/>
  <c r="D5733" i="106" s="1"/>
  <c r="B5731" i="106"/>
  <c r="D5731" i="106" s="1"/>
  <c r="B6812" i="106"/>
  <c r="D6812" i="106" s="1"/>
  <c r="H65" i="29"/>
  <c r="B1035" i="106" s="1"/>
  <c r="D1035" i="106" s="1"/>
  <c r="B1028" i="106"/>
  <c r="D1028" i="106" s="1"/>
  <c r="C42" i="29"/>
  <c r="B727" i="106" s="1"/>
  <c r="D727" i="106" s="1"/>
  <c r="K36" i="29"/>
  <c r="B721" i="106"/>
  <c r="D721" i="106" s="1"/>
  <c r="B6082" i="106"/>
  <c r="D6082" i="106" s="1"/>
  <c r="B6093" i="106"/>
  <c r="D6093" i="106" s="1"/>
  <c r="B6378" i="106"/>
  <c r="D6378" i="106" s="1"/>
  <c r="B6667" i="106"/>
  <c r="D6667" i="106" s="1"/>
  <c r="B1014" i="106"/>
  <c r="D1014" i="106" s="1"/>
  <c r="B6115" i="106"/>
  <c r="D6115" i="106" s="1"/>
  <c r="D72" i="29"/>
  <c r="B811" i="106" s="1"/>
  <c r="D811" i="106" s="1"/>
  <c r="B804" i="106"/>
  <c r="D804" i="106" s="1"/>
  <c r="B5853" i="106"/>
  <c r="D5853" i="106" s="1"/>
  <c r="B4806" i="106"/>
  <c r="D4806" i="106" s="1"/>
  <c r="B3234" i="106"/>
  <c r="D3234" i="106" s="1"/>
  <c r="K254" i="29"/>
  <c r="B7094" i="106" s="1"/>
  <c r="D7094" i="106" s="1"/>
  <c r="B7093" i="106"/>
  <c r="D7093" i="106" s="1"/>
  <c r="K167" i="29"/>
  <c r="B1327" i="106" s="1"/>
  <c r="D1327" i="106" s="1"/>
  <c r="B1313" i="106"/>
  <c r="D1313" i="106" s="1"/>
  <c r="B6091" i="106"/>
  <c r="D6091" i="106" s="1"/>
  <c r="B897" i="106"/>
  <c r="D897" i="106" s="1"/>
  <c r="B7161" i="106"/>
  <c r="D7161" i="106" s="1"/>
  <c r="B6155" i="106"/>
  <c r="D6155" i="106" s="1"/>
  <c r="B6656" i="106"/>
  <c r="D6656" i="106" s="1"/>
  <c r="B5768" i="106"/>
  <c r="D5768" i="106" s="1"/>
  <c r="G191" i="5"/>
  <c r="B4398" i="106" s="1"/>
  <c r="D4398" i="106" s="1"/>
  <c r="B5785" i="106"/>
  <c r="D5785" i="106" s="1"/>
  <c r="B7637" i="106"/>
  <c r="B6826" i="106"/>
  <c r="D6826" i="106" s="1"/>
  <c r="B7188" i="106"/>
  <c r="D7188" i="106" s="1"/>
  <c r="B7140" i="106"/>
  <c r="D7140" i="106" s="1"/>
  <c r="B7704" i="106"/>
  <c r="D7704" i="106" s="1"/>
  <c r="B2721" i="106"/>
  <c r="D2721" i="106" s="1"/>
  <c r="B7768" i="106"/>
  <c r="D7768" i="106" s="1"/>
  <c r="B6803" i="106"/>
  <c r="D6803" i="106" s="1"/>
  <c r="B4883" i="106"/>
  <c r="D4883" i="106" s="1"/>
  <c r="B835" i="106"/>
  <c r="D835" i="106" s="1"/>
  <c r="B4855" i="106"/>
  <c r="D4855" i="106" s="1"/>
  <c r="B11" i="7"/>
  <c r="B1752" i="106" s="1"/>
  <c r="D1752" i="106" s="1"/>
  <c r="B6298" i="106"/>
  <c r="D6298" i="106" s="1"/>
  <c r="J12" i="5"/>
  <c r="B6301" i="106" s="1"/>
  <c r="D6301" i="106" s="1"/>
  <c r="B3655" i="106"/>
  <c r="D3655" i="106" s="1"/>
  <c r="B5344" i="106"/>
  <c r="D5344" i="106" s="1"/>
  <c r="K284" i="29"/>
  <c r="B4166" i="106" s="1"/>
  <c r="D4166" i="106" s="1"/>
  <c r="B4165" i="106"/>
  <c r="D4165" i="106" s="1"/>
  <c r="B776" i="106"/>
  <c r="D776" i="106" s="1"/>
  <c r="B1347" i="106"/>
  <c r="D1347" i="106" s="1"/>
  <c r="H33" i="29"/>
  <c r="B1010" i="106" s="1"/>
  <c r="D1010" i="106" s="1"/>
  <c r="B995" i="106"/>
  <c r="D995" i="106" s="1"/>
  <c r="B786" i="106"/>
  <c r="D786" i="106" s="1"/>
  <c r="D47" i="29"/>
  <c r="B789" i="106" s="1"/>
  <c r="D789" i="106" s="1"/>
  <c r="B619" i="106"/>
  <c r="D619" i="106" s="1"/>
  <c r="B5749" i="106"/>
  <c r="D5749" i="106" s="1"/>
  <c r="G140" i="5"/>
  <c r="B5752" i="106" s="1"/>
  <c r="D5752" i="106" s="1"/>
  <c r="B6243" i="106"/>
  <c r="D6243" i="106" s="1"/>
  <c r="E38" i="4"/>
  <c r="B6286" i="106" s="1"/>
  <c r="D6286" i="106" s="1"/>
  <c r="B5137" i="106"/>
  <c r="D5137" i="106" s="1"/>
  <c r="B6646" i="106"/>
  <c r="D6646" i="106" s="1"/>
  <c r="J34" i="3"/>
  <c r="B6131" i="106"/>
  <c r="D6131" i="106" s="1"/>
  <c r="B7249" i="106"/>
  <c r="D7249" i="106" s="1"/>
  <c r="B6692" i="106"/>
  <c r="D6692" i="106" s="1"/>
  <c r="B6360" i="106"/>
  <c r="D6360" i="106" s="1"/>
  <c r="B6125" i="106"/>
  <c r="D6125" i="106" s="1"/>
  <c r="C34" i="3"/>
  <c r="B91" i="106" s="1"/>
  <c r="D91" i="106" s="1"/>
  <c r="B6965" i="106"/>
  <c r="D6965" i="106" s="1"/>
  <c r="B6769" i="106"/>
  <c r="D6769" i="106" s="1"/>
  <c r="F153" i="34"/>
  <c r="B5012" i="106"/>
  <c r="D5012" i="106" s="1"/>
  <c r="D71" i="36"/>
  <c r="B4377" i="106"/>
  <c r="D4377" i="106" s="1"/>
  <c r="B3492" i="106"/>
  <c r="D3492" i="106" s="1"/>
  <c r="B6393" i="106"/>
  <c r="D6393" i="106" s="1"/>
  <c r="B854" i="106"/>
  <c r="D854" i="106" s="1"/>
  <c r="E65" i="29"/>
  <c r="B861" i="106" s="1"/>
  <c r="D861" i="106" s="1"/>
  <c r="B6852" i="106"/>
  <c r="D6852" i="106" s="1"/>
  <c r="B6912" i="106"/>
  <c r="D6912" i="106" s="1"/>
  <c r="L303" i="29"/>
  <c r="L312" i="29" s="1"/>
  <c r="B6143" i="106"/>
  <c r="D6143" i="106" s="1"/>
  <c r="B5078" i="106"/>
  <c r="D5078" i="106" s="1"/>
  <c r="B2758" i="106"/>
  <c r="D2758" i="106" s="1"/>
  <c r="B6330" i="106"/>
  <c r="D6330" i="106" s="1"/>
  <c r="B2998" i="106"/>
  <c r="D2998" i="106" s="1"/>
  <c r="K184" i="5"/>
  <c r="B6016" i="106" s="1"/>
  <c r="D6016" i="106" s="1"/>
  <c r="B4816" i="106"/>
  <c r="D4816" i="106" s="1"/>
  <c r="B812" i="106"/>
  <c r="D812" i="106" s="1"/>
  <c r="B4944" i="106"/>
  <c r="D4944" i="106" s="1"/>
  <c r="L137" i="29"/>
  <c r="L139" i="29" s="1"/>
  <c r="B7233" i="106"/>
  <c r="D7233" i="106" s="1"/>
  <c r="K301" i="29"/>
  <c r="C303" i="29"/>
  <c r="B1519" i="106"/>
  <c r="D1519" i="106" s="1"/>
  <c r="F72" i="29"/>
  <c r="B927" i="106" s="1"/>
  <c r="D927" i="106" s="1"/>
  <c r="B920" i="106"/>
  <c r="D920" i="106" s="1"/>
  <c r="B7127" i="106"/>
  <c r="D7127" i="106" s="1"/>
  <c r="K320" i="29"/>
  <c r="B7135" i="106" s="1"/>
  <c r="D7135" i="106" s="1"/>
  <c r="B4336" i="106"/>
  <c r="D4336" i="106" s="1"/>
  <c r="B185" i="106"/>
  <c r="D185" i="106" s="1"/>
  <c r="B6985" i="106"/>
  <c r="D6985" i="106" s="1"/>
  <c r="K87" i="29"/>
  <c r="B6986" i="106" s="1"/>
  <c r="D6986" i="106" s="1"/>
  <c r="B1248" i="106"/>
  <c r="D1248" i="106" s="1"/>
  <c r="B3566" i="106"/>
  <c r="D3566" i="106" s="1"/>
  <c r="B3273" i="106"/>
  <c r="D3273" i="106" s="1"/>
  <c r="B6641" i="106"/>
  <c r="D6641" i="106" s="1"/>
  <c r="B2092" i="106"/>
  <c r="D2092" i="106" s="1"/>
  <c r="B500" i="106"/>
  <c r="D500" i="106" s="1"/>
  <c r="B5333" i="106"/>
  <c r="D5333" i="106" s="1"/>
  <c r="B5738" i="106"/>
  <c r="D5738" i="106" s="1"/>
  <c r="G114" i="5"/>
  <c r="B5741" i="106" s="1"/>
  <c r="D5741" i="106" s="1"/>
  <c r="B7753" i="106"/>
  <c r="D7753" i="106" s="1"/>
  <c r="B5665" i="106"/>
  <c r="D5665" i="106" s="1"/>
  <c r="B3551" i="106"/>
  <c r="D3551" i="106" s="1"/>
  <c r="B5340" i="106"/>
  <c r="D5340" i="106" s="1"/>
  <c r="D67" i="5"/>
  <c r="B5342" i="106" s="1"/>
  <c r="D5342" i="106" s="1"/>
  <c r="B3000" i="106"/>
  <c r="D3000" i="106" s="1"/>
  <c r="B6111" i="106"/>
  <c r="D6111" i="106" s="1"/>
  <c r="B3585" i="106"/>
  <c r="D3585" i="106" s="1"/>
  <c r="B7014" i="106"/>
  <c r="D7014" i="106" s="1"/>
  <c r="B7751" i="106"/>
  <c r="D7751" i="106" s="1"/>
  <c r="F44" i="4"/>
  <c r="B6696" i="106"/>
  <c r="D6696" i="106" s="1"/>
  <c r="I42" i="29"/>
  <c r="I74" i="29" s="1"/>
  <c r="B6977" i="106" s="1"/>
  <c r="D6977" i="106" s="1"/>
  <c r="B6904" i="106"/>
  <c r="D6904" i="106" s="1"/>
  <c r="B6087" i="106"/>
  <c r="D6087" i="106" s="1"/>
  <c r="B7111" i="106"/>
  <c r="D7111" i="106" s="1"/>
  <c r="B6294" i="106"/>
  <c r="D6294" i="106" s="1"/>
  <c r="B5101" i="106"/>
  <c r="D5101" i="106" s="1"/>
  <c r="B6661" i="106"/>
  <c r="D6661" i="106" s="1"/>
  <c r="B5609" i="106"/>
  <c r="D5609" i="106" s="1"/>
  <c r="B3632" i="106"/>
  <c r="D3632" i="106" s="1"/>
  <c r="B7701" i="106"/>
  <c r="D7701" i="106" s="1"/>
  <c r="B4318" i="106"/>
  <c r="D4318" i="106" s="1"/>
  <c r="F170" i="34"/>
  <c r="B4418" i="106"/>
  <c r="D4418" i="106" s="1"/>
  <c r="B6682" i="106"/>
  <c r="D6682" i="106" s="1"/>
  <c r="F145" i="34"/>
  <c r="B6716" i="106"/>
  <c r="D6716" i="106" s="1"/>
  <c r="B7257" i="106"/>
  <c r="D7257" i="106" s="1"/>
  <c r="K11" i="29"/>
  <c r="B922" i="106"/>
  <c r="D922" i="106" s="1"/>
  <c r="F303" i="29"/>
  <c r="B1537" i="106"/>
  <c r="D1537" i="106" s="1"/>
  <c r="B3321" i="106"/>
  <c r="D3321" i="106" s="1"/>
  <c r="B5765" i="106"/>
  <c r="D5765" i="106" s="1"/>
  <c r="F148" i="34"/>
  <c r="B6720" i="106"/>
  <c r="D6720" i="106" s="1"/>
  <c r="B5994" i="106"/>
  <c r="D5994" i="106" s="1"/>
  <c r="B6162" i="106"/>
  <c r="D6162" i="106" s="1"/>
  <c r="B6308" i="106"/>
  <c r="D6308" i="106" s="1"/>
  <c r="B4801" i="106"/>
  <c r="D4801" i="106" s="1"/>
  <c r="G184" i="29"/>
  <c r="B4085" i="106"/>
  <c r="D4085" i="106" s="1"/>
  <c r="B5093" i="106"/>
  <c r="D5093" i="106" s="1"/>
  <c r="B904" i="106"/>
  <c r="D904" i="106" s="1"/>
  <c r="B7678" i="106"/>
  <c r="D7678" i="106" s="1"/>
  <c r="B717" i="106"/>
  <c r="D717" i="106" s="1"/>
  <c r="K13" i="29"/>
  <c r="B1105" i="106" s="1"/>
  <c r="D1105" i="106" s="1"/>
  <c r="B1240" i="106"/>
  <c r="D1240" i="106" s="1"/>
  <c r="B7173" i="106"/>
  <c r="D7173" i="106" s="1"/>
  <c r="B5817" i="106"/>
  <c r="D5817" i="106" s="1"/>
  <c r="G224" i="5"/>
  <c r="B5829" i="106" s="1"/>
  <c r="D5829" i="106" s="1"/>
  <c r="B6819" i="106"/>
  <c r="D6819" i="106" s="1"/>
  <c r="B6242" i="106"/>
  <c r="D6242" i="106" s="1"/>
  <c r="D34" i="3"/>
  <c r="B122" i="106" s="1"/>
  <c r="D122" i="106" s="1"/>
  <c r="B6126" i="106"/>
  <c r="D6126" i="106" s="1"/>
  <c r="B4346" i="106"/>
  <c r="D4346" i="106" s="1"/>
  <c r="B6701" i="106"/>
  <c r="D6701" i="106" s="1"/>
  <c r="B6831" i="106"/>
  <c r="D6831" i="106" s="1"/>
  <c r="L357" i="29"/>
  <c r="B4409" i="106"/>
  <c r="D4409" i="106" s="1"/>
  <c r="B5724" i="106"/>
  <c r="D5724" i="106" s="1"/>
  <c r="F113" i="34"/>
  <c r="B5187" i="106"/>
  <c r="D5187" i="106" s="1"/>
  <c r="F102" i="34"/>
  <c r="B5115" i="106"/>
  <c r="D5115" i="106" s="1"/>
  <c r="B5275" i="106"/>
  <c r="D5275" i="106" s="1"/>
  <c r="B7268" i="106"/>
  <c r="F123" i="34"/>
  <c r="B4317" i="106"/>
  <c r="D4317" i="106" s="1"/>
  <c r="J65" i="29"/>
  <c r="B6962" i="106" s="1"/>
  <c r="D6962" i="106" s="1"/>
  <c r="B6951" i="106"/>
  <c r="D6951" i="106" s="1"/>
  <c r="B928" i="106"/>
  <c r="D928" i="106" s="1"/>
  <c r="B5127" i="106"/>
  <c r="D5127" i="106" s="1"/>
  <c r="B2980" i="106"/>
  <c r="D2980" i="106" s="1"/>
  <c r="B4079" i="106"/>
  <c r="D4079" i="106" s="1"/>
  <c r="B6113" i="106"/>
  <c r="D6113" i="106" s="1"/>
  <c r="B6941" i="106"/>
  <c r="D6941" i="106" s="1"/>
  <c r="K157" i="29"/>
  <c r="B7778" i="106" s="1"/>
  <c r="D7778" i="106" s="1"/>
  <c r="H160" i="29"/>
  <c r="B7777" i="106"/>
  <c r="D7777" i="106" s="1"/>
  <c r="B6643" i="106"/>
  <c r="D6643" i="106" s="1"/>
  <c r="B6388" i="106"/>
  <c r="D6388" i="106" s="1"/>
  <c r="F122" i="34"/>
  <c r="B4215" i="106"/>
  <c r="D4215" i="106" s="1"/>
  <c r="B6291" i="106"/>
  <c r="D6291" i="106" s="1"/>
  <c r="B1023" i="106"/>
  <c r="D1023" i="106" s="1"/>
  <c r="B6856" i="106"/>
  <c r="D6856" i="106" s="1"/>
  <c r="B6344" i="106"/>
  <c r="D6344" i="106" s="1"/>
  <c r="B6336" i="106"/>
  <c r="D6336" i="106" s="1"/>
  <c r="B7679" i="106"/>
  <c r="D7679" i="106" s="1"/>
  <c r="B6745" i="106"/>
  <c r="D6745" i="106" s="1"/>
  <c r="B6662" i="106"/>
  <c r="D6662" i="106" s="1"/>
  <c r="B7139" i="106"/>
  <c r="D7139" i="106" s="1"/>
  <c r="B814" i="106"/>
  <c r="D814" i="106" s="1"/>
  <c r="B2820" i="106"/>
  <c r="D2820" i="106" s="1"/>
  <c r="K185" i="29"/>
  <c r="B2836" i="106" s="1"/>
  <c r="D2836" i="106" s="1"/>
  <c r="B2718" i="106"/>
  <c r="D2718" i="106" s="1"/>
  <c r="K51" i="29"/>
  <c r="B5565" i="106"/>
  <c r="D5565" i="106" s="1"/>
  <c r="F85" i="34"/>
  <c r="B3531" i="106"/>
  <c r="D3531" i="106" s="1"/>
  <c r="B4227" i="106"/>
  <c r="D4227" i="106" s="1"/>
  <c r="B790" i="106"/>
  <c r="D790" i="106" s="1"/>
  <c r="D53" i="29"/>
  <c r="B792" i="106" s="1"/>
  <c r="D792" i="106" s="1"/>
  <c r="B3368" i="106"/>
  <c r="D3368" i="106" s="1"/>
  <c r="B6861" i="106"/>
  <c r="D6861" i="106" s="1"/>
  <c r="B800" i="106"/>
  <c r="D800" i="106" s="1"/>
  <c r="K202" i="29"/>
  <c r="B2842" i="106" s="1"/>
  <c r="D2842" i="106" s="1"/>
  <c r="B2832" i="106"/>
  <c r="D2832" i="106" s="1"/>
  <c r="J13" i="3"/>
  <c r="B6124" i="106" s="1"/>
  <c r="D6124" i="106" s="1"/>
  <c r="B6217" i="106"/>
  <c r="D6217" i="106" s="1"/>
  <c r="D41" i="36"/>
  <c r="B7133" i="106"/>
  <c r="D7133" i="106" s="1"/>
  <c r="B949" i="106"/>
  <c r="D949" i="106" s="1"/>
  <c r="B6875" i="106"/>
  <c r="D6875" i="106" s="1"/>
  <c r="B1044" i="106"/>
  <c r="D1044" i="106" s="1"/>
  <c r="B6335" i="106"/>
  <c r="D6335" i="106" s="1"/>
  <c r="B7731" i="106"/>
  <c r="D7731" i="106" s="1"/>
  <c r="E33" i="29"/>
  <c r="B836" i="106" s="1"/>
  <c r="D836" i="106" s="1"/>
  <c r="B821" i="106"/>
  <c r="D821" i="106" s="1"/>
  <c r="K308" i="29"/>
  <c r="B4100" i="106" s="1"/>
  <c r="D4100" i="106" s="1"/>
  <c r="B7110" i="106"/>
  <c r="D7110" i="106" s="1"/>
  <c r="B5560" i="106"/>
  <c r="D5560" i="106" s="1"/>
  <c r="B783" i="106"/>
  <c r="D783" i="106" s="1"/>
  <c r="B6148" i="106"/>
  <c r="D6148" i="106" s="1"/>
  <c r="B7032" i="106"/>
  <c r="D7032" i="106" s="1"/>
  <c r="B5696" i="106"/>
  <c r="D5696" i="106" s="1"/>
  <c r="G53" i="29"/>
  <c r="B966" i="106" s="1"/>
  <c r="D966" i="106" s="1"/>
  <c r="B964" i="106"/>
  <c r="D964" i="106" s="1"/>
  <c r="B7181" i="106"/>
  <c r="D7181" i="106" s="1"/>
  <c r="K326" i="29"/>
  <c r="B7189" i="106" s="1"/>
  <c r="D7189" i="106" s="1"/>
  <c r="B6968" i="106"/>
  <c r="D6968" i="106" s="1"/>
  <c r="B3389" i="106"/>
  <c r="D3389" i="106" s="1"/>
  <c r="K228" i="29"/>
  <c r="B3392" i="106" s="1"/>
  <c r="D3392" i="106" s="1"/>
  <c r="B6114" i="106"/>
  <c r="D6114" i="106" s="1"/>
  <c r="B7166" i="106"/>
  <c r="D7166" i="106" s="1"/>
  <c r="B4345" i="106"/>
  <c r="D4345" i="106" s="1"/>
  <c r="B6376" i="106"/>
  <c r="D6376" i="106" s="1"/>
  <c r="B6938" i="106"/>
  <c r="D6938" i="106" s="1"/>
  <c r="K323" i="29"/>
  <c r="B7162" i="106" s="1"/>
  <c r="D7162" i="106" s="1"/>
  <c r="B7154" i="106"/>
  <c r="D7154" i="106" s="1"/>
  <c r="B5196" i="106"/>
  <c r="D5196" i="106" s="1"/>
  <c r="B5109" i="106"/>
  <c r="D5109" i="106" s="1"/>
  <c r="B7667" i="106"/>
  <c r="D7667" i="106" s="1"/>
  <c r="B2848" i="106"/>
  <c r="D2848" i="106" s="1"/>
  <c r="H76" i="4"/>
  <c r="B3298" i="106" s="1"/>
  <c r="D3298" i="106" s="1"/>
  <c r="B2722" i="106"/>
  <c r="D2722" i="106" s="1"/>
  <c r="B6650" i="106"/>
  <c r="D6650" i="106" s="1"/>
  <c r="F141" i="34"/>
  <c r="B7016" i="106"/>
  <c r="D7016" i="106" s="1"/>
  <c r="K111" i="29"/>
  <c r="B7017" i="106" s="1"/>
  <c r="D7017" i="106" s="1"/>
  <c r="B4315" i="106"/>
  <c r="D4315" i="106" s="1"/>
  <c r="B5860" i="106"/>
  <c r="D5860" i="106" s="1"/>
  <c r="E34" i="3"/>
  <c r="B6127" i="106"/>
  <c r="D6127" i="106" s="1"/>
  <c r="B5512" i="106"/>
  <c r="D5512" i="106" s="1"/>
  <c r="B6390" i="106"/>
  <c r="D6390" i="106" s="1"/>
  <c r="B4946" i="106"/>
  <c r="D4946" i="106" s="1"/>
  <c r="B6370" i="106"/>
  <c r="D6370" i="106" s="1"/>
  <c r="B914" i="106"/>
  <c r="D914" i="106" s="1"/>
  <c r="K232" i="29"/>
  <c r="B1475" i="106" s="1"/>
  <c r="D1475" i="106" s="1"/>
  <c r="D238" i="29"/>
  <c r="B1411" i="106"/>
  <c r="D1411" i="106" s="1"/>
  <c r="B501" i="106"/>
  <c r="D501" i="106" s="1"/>
  <c r="B7128" i="106"/>
  <c r="D7128" i="106" s="1"/>
  <c r="B6338" i="106"/>
  <c r="D6338" i="106" s="1"/>
  <c r="B1631" i="106"/>
  <c r="D1631" i="106" s="1"/>
  <c r="B5991" i="106"/>
  <c r="D5991" i="106" s="1"/>
  <c r="B5916" i="106"/>
  <c r="D5916" i="106" s="1"/>
  <c r="B10" i="7"/>
  <c r="B1749" i="106" s="1"/>
  <c r="D1749" i="106" s="1"/>
  <c r="I12" i="5"/>
  <c r="B5918" i="106" s="1"/>
  <c r="D5918" i="106" s="1"/>
  <c r="F34" i="3"/>
  <c r="F41" i="3" s="1"/>
  <c r="B6128" i="106"/>
  <c r="D6128" i="106" s="1"/>
  <c r="B6824" i="106"/>
  <c r="D6824" i="106" s="1"/>
  <c r="B724" i="106"/>
  <c r="D724" i="106" s="1"/>
  <c r="K39" i="29"/>
  <c r="B1112" i="106" s="1"/>
  <c r="D1112" i="106" s="1"/>
  <c r="B870" i="106"/>
  <c r="D870" i="106" s="1"/>
  <c r="B1335" i="106"/>
  <c r="D1335" i="106" s="1"/>
  <c r="K182" i="29"/>
  <c r="B1377" i="106" s="1"/>
  <c r="D1377" i="106" s="1"/>
  <c r="B4920" i="106"/>
  <c r="D4920" i="106" s="1"/>
  <c r="B4885" i="106"/>
  <c r="D4885" i="106" s="1"/>
  <c r="K105" i="29"/>
  <c r="K110" i="29" s="1"/>
  <c r="B1048" i="106"/>
  <c r="D1048" i="106" s="1"/>
  <c r="H110" i="29"/>
  <c r="H112" i="29" s="1"/>
  <c r="B7018" i="106" s="1"/>
  <c r="D7018" i="106" s="1"/>
  <c r="B763" i="106"/>
  <c r="D763" i="106" s="1"/>
  <c r="D33" i="29"/>
  <c r="B778" i="106" s="1"/>
  <c r="D778" i="106" s="1"/>
  <c r="H102" i="29"/>
  <c r="B1047" i="106" s="1"/>
  <c r="D1047" i="106" s="1"/>
  <c r="D129" i="29"/>
  <c r="I129" i="29"/>
  <c r="L342" i="29"/>
  <c r="C210" i="29"/>
  <c r="B1340" i="106" s="1"/>
  <c r="D1340" i="106" s="1"/>
  <c r="H74" i="29"/>
  <c r="F74" i="29"/>
  <c r="B929" i="106" s="1"/>
  <c r="D929" i="106" s="1"/>
  <c r="E74" i="29"/>
  <c r="B871" i="106" s="1"/>
  <c r="D871" i="106" s="1"/>
  <c r="I210" i="29"/>
  <c r="H129" i="29"/>
  <c r="K362" i="29"/>
  <c r="J129" i="29"/>
  <c r="G109" i="5"/>
  <c r="B6024" i="106" s="1"/>
  <c r="D6024" i="106" s="1"/>
  <c r="C109" i="5"/>
  <c r="B5121" i="106" s="1"/>
  <c r="D5121" i="106" s="1"/>
  <c r="B5334" i="106"/>
  <c r="D5334" i="106" s="1"/>
  <c r="D109" i="5"/>
  <c r="D273" i="5"/>
  <c r="N23" i="3"/>
  <c r="B284" i="106" s="1"/>
  <c r="D284" i="106" s="1"/>
  <c r="K173" i="5"/>
  <c r="K6" i="4" s="1"/>
  <c r="B3570" i="106" s="1"/>
  <c r="D3570" i="106" s="1"/>
  <c r="D10" i="7"/>
  <c r="B1765" i="106" s="1"/>
  <c r="D1765" i="106" s="1"/>
  <c r="B6835" i="106"/>
  <c r="D6835" i="106" s="1"/>
  <c r="B7064" i="106"/>
  <c r="D7064" i="106" s="1"/>
  <c r="E29" i="108"/>
  <c r="K168" i="29"/>
  <c r="D13" i="7"/>
  <c r="B3726" i="106" s="1"/>
  <c r="D3726" i="106" s="1"/>
  <c r="C41" i="3"/>
  <c r="B93" i="106" s="1"/>
  <c r="D93" i="106" s="1"/>
  <c r="H109" i="5"/>
  <c r="F61" i="34"/>
  <c r="B139" i="106"/>
  <c r="D139" i="106" s="1"/>
  <c r="E41" i="3"/>
  <c r="I352" i="29"/>
  <c r="B7230" i="106"/>
  <c r="D7230" i="106" s="1"/>
  <c r="B6885" i="106"/>
  <c r="D6885" i="106" s="1"/>
  <c r="B7047" i="106"/>
  <c r="D7047" i="106" s="1"/>
  <c r="H273" i="5"/>
  <c r="B4441" i="106" s="1"/>
  <c r="D4441" i="106" s="1"/>
  <c r="B6838" i="106"/>
  <c r="D6838" i="106" s="1"/>
  <c r="F37" i="34"/>
  <c r="B1104" i="106"/>
  <c r="D1104" i="106" s="1"/>
  <c r="F49" i="34"/>
  <c r="B6897" i="106"/>
  <c r="D6897" i="106" s="1"/>
  <c r="B7103" i="106"/>
  <c r="D7103" i="106" s="1"/>
  <c r="I312" i="29"/>
  <c r="B7116" i="106" s="1"/>
  <c r="D7116" i="106" s="1"/>
  <c r="B5165" i="106"/>
  <c r="D5165" i="106" s="1"/>
  <c r="F107" i="34"/>
  <c r="B1120" i="106"/>
  <c r="D1120" i="106" s="1"/>
  <c r="B1314" i="106"/>
  <c r="D1314" i="106" s="1"/>
  <c r="J109" i="5"/>
  <c r="B6352" i="106" s="1"/>
  <c r="D6352" i="106" s="1"/>
  <c r="B5096" i="106"/>
  <c r="D5096" i="106" s="1"/>
  <c r="F50" i="34"/>
  <c r="B6899" i="106"/>
  <c r="D6899" i="106" s="1"/>
  <c r="E17" i="145"/>
  <c r="G17" i="145" s="1"/>
  <c r="B5893" i="106"/>
  <c r="D5893" i="106" s="1"/>
  <c r="H173" i="5"/>
  <c r="B5304" i="106"/>
  <c r="D5304" i="106" s="1"/>
  <c r="F136" i="34"/>
  <c r="B1345" i="106"/>
  <c r="D1345" i="106" s="1"/>
  <c r="D210" i="29"/>
  <c r="B1346" i="106" s="1"/>
  <c r="D1346" i="106" s="1"/>
  <c r="B1308" i="106"/>
  <c r="D1308" i="106" s="1"/>
  <c r="B4202" i="106"/>
  <c r="D4202" i="106" s="1"/>
  <c r="B3647" i="106"/>
  <c r="D3647" i="106" s="1"/>
  <c r="G352" i="29"/>
  <c r="B6997" i="106"/>
  <c r="D6997" i="106" s="1"/>
  <c r="B5592" i="106"/>
  <c r="D5592" i="106" s="1"/>
  <c r="F5" i="4"/>
  <c r="B3408" i="106" s="1"/>
  <c r="D3408" i="106" s="1"/>
  <c r="F38" i="34"/>
  <c r="B1107" i="106"/>
  <c r="D1107" i="106" s="1"/>
  <c r="F48" i="34"/>
  <c r="B6895" i="106"/>
  <c r="D6895" i="106" s="1"/>
  <c r="B1124" i="106"/>
  <c r="D1124" i="106" s="1"/>
  <c r="E14" i="145"/>
  <c r="G14" i="145" s="1"/>
  <c r="H44" i="4"/>
  <c r="B6289" i="106"/>
  <c r="D6289" i="106" s="1"/>
  <c r="F71" i="34"/>
  <c r="C172" i="5"/>
  <c r="B6191" i="106"/>
  <c r="D6191" i="106" s="1"/>
  <c r="J41" i="3"/>
  <c r="B1109" i="106"/>
  <c r="D1109" i="106" s="1"/>
  <c r="K42" i="29"/>
  <c r="G41" i="3"/>
  <c r="B188" i="106"/>
  <c r="D188" i="106" s="1"/>
  <c r="B5102" i="106"/>
  <c r="D5102" i="106" s="1"/>
  <c r="F95" i="34"/>
  <c r="B1123" i="106"/>
  <c r="D1123" i="106" s="1"/>
  <c r="B5178" i="106"/>
  <c r="D5178" i="106" s="1"/>
  <c r="F111" i="34"/>
  <c r="B1128" i="106"/>
  <c r="D1128" i="106" s="1"/>
  <c r="F28" i="108"/>
  <c r="E28" i="108"/>
  <c r="F35" i="34"/>
  <c r="B6853" i="106"/>
  <c r="D6853" i="106" s="1"/>
  <c r="B1547" i="106"/>
  <c r="D1547" i="106" s="1"/>
  <c r="K270" i="29"/>
  <c r="B1500" i="106" s="1"/>
  <c r="D1500" i="106" s="1"/>
  <c r="J273" i="5"/>
  <c r="B7041" i="106" s="1"/>
  <c r="D7041" i="106" s="1"/>
  <c r="B6839" i="106"/>
  <c r="D6839" i="106" s="1"/>
  <c r="F70" i="34"/>
  <c r="B1470" i="106"/>
  <c r="D1470" i="106" s="1"/>
  <c r="B6891" i="106"/>
  <c r="D6891" i="106" s="1"/>
  <c r="F46" i="34"/>
  <c r="F40" i="34"/>
  <c r="B6879" i="106"/>
  <c r="D6879" i="106" s="1"/>
  <c r="B6848" i="106"/>
  <c r="D6848" i="106" s="1"/>
  <c r="F34" i="34"/>
  <c r="B7786" i="106"/>
  <c r="D7786" i="106" s="1"/>
  <c r="B1746" i="106"/>
  <c r="D1746" i="106" s="1"/>
  <c r="D6" i="7"/>
  <c r="B1762" i="106" s="1"/>
  <c r="D1762" i="106" s="1"/>
  <c r="F64" i="34"/>
  <c r="B5369" i="106"/>
  <c r="D5369" i="106" s="1"/>
  <c r="D172" i="5"/>
  <c r="B3702" i="106"/>
  <c r="D3702" i="106" s="1"/>
  <c r="K76" i="4"/>
  <c r="F56" i="34"/>
  <c r="B2805" i="106"/>
  <c r="D2805" i="106" s="1"/>
  <c r="D14" i="4"/>
  <c r="B2570" i="106" s="1"/>
  <c r="D2570" i="106" s="1"/>
  <c r="K277" i="29"/>
  <c r="B1508" i="106" s="1"/>
  <c r="D1508" i="106" s="1"/>
  <c r="B1501" i="106"/>
  <c r="D1501" i="106" s="1"/>
  <c r="B3252" i="106"/>
  <c r="D3252" i="106" s="1"/>
  <c r="F77" i="4"/>
  <c r="B3255" i="106" s="1"/>
  <c r="D3255" i="106" s="1"/>
  <c r="J312" i="29"/>
  <c r="B7117" i="106" s="1"/>
  <c r="D7117" i="106" s="1"/>
  <c r="B7104" i="106"/>
  <c r="D7104" i="106" s="1"/>
  <c r="D41" i="3"/>
  <c r="I41" i="3"/>
  <c r="B2910" i="106"/>
  <c r="D2910" i="106" s="1"/>
  <c r="B1489" i="106"/>
  <c r="D1489" i="106" s="1"/>
  <c r="K261" i="29"/>
  <c r="B1491" i="106" s="1"/>
  <c r="D1491" i="106" s="1"/>
  <c r="B1511" i="106"/>
  <c r="D1511" i="106" s="1"/>
  <c r="B5534" i="106"/>
  <c r="D5534" i="106" s="1"/>
  <c r="E173" i="5"/>
  <c r="B5125" i="106"/>
  <c r="D5125" i="106" s="1"/>
  <c r="C5" i="4"/>
  <c r="B3405" i="106" s="1"/>
  <c r="D3405" i="106" s="1"/>
  <c r="B6893" i="106"/>
  <c r="D6893" i="106" s="1"/>
  <c r="F47" i="34"/>
  <c r="B1751" i="106"/>
  <c r="D1751" i="106" s="1"/>
  <c r="D9" i="7"/>
  <c r="B1767" i="106" s="1"/>
  <c r="D1767" i="106" s="1"/>
  <c r="B7126" i="106"/>
  <c r="D7126" i="106" s="1"/>
  <c r="K137" i="29"/>
  <c r="B7776" i="106"/>
  <c r="D7776" i="106" s="1"/>
  <c r="D26" i="108"/>
  <c r="F26" i="108"/>
  <c r="K65" i="29"/>
  <c r="B1133" i="106" s="1"/>
  <c r="D1133" i="106" s="1"/>
  <c r="B1121" i="106"/>
  <c r="D1121" i="106" s="1"/>
  <c r="D5" i="4"/>
  <c r="B3406" i="106" s="1"/>
  <c r="D3406" i="106" s="1"/>
  <c r="B5360" i="106"/>
  <c r="D5360" i="106" s="1"/>
  <c r="B6889" i="106"/>
  <c r="D6889" i="106" s="1"/>
  <c r="F45" i="34"/>
  <c r="B1486" i="106"/>
  <c r="D1486" i="106" s="1"/>
  <c r="E352" i="29"/>
  <c r="B3633" i="106"/>
  <c r="D3633" i="106" s="1"/>
  <c r="B281" i="106"/>
  <c r="D281" i="106" s="1"/>
  <c r="D54" i="36"/>
  <c r="A7261" i="106"/>
  <c r="B288" i="106"/>
  <c r="D288" i="106" s="1"/>
  <c r="G29" i="108" l="1"/>
  <c r="B6014" i="106"/>
  <c r="D6014" i="106" s="1"/>
  <c r="G172" i="5"/>
  <c r="F161" i="34"/>
  <c r="E196" i="29"/>
  <c r="B1352" i="106" s="1"/>
  <c r="D1352" i="106" s="1"/>
  <c r="B2823" i="106"/>
  <c r="D2823" i="106" s="1"/>
  <c r="G273" i="5"/>
  <c r="B5863" i="106" s="1"/>
  <c r="D5863" i="106" s="1"/>
  <c r="G74" i="29"/>
  <c r="G114" i="29" s="1"/>
  <c r="K33" i="29"/>
  <c r="G19" i="108" s="1"/>
  <c r="K57" i="29"/>
  <c r="K257" i="29"/>
  <c r="B1488" i="106" s="1"/>
  <c r="D1488" i="106" s="1"/>
  <c r="L279" i="29"/>
  <c r="L295" i="29" s="1"/>
  <c r="L151" i="29"/>
  <c r="L74" i="29"/>
  <c r="K53" i="29"/>
  <c r="C129" i="29"/>
  <c r="C151" i="29" s="1"/>
  <c r="B1226" i="106" s="1"/>
  <c r="D1226" i="106" s="1"/>
  <c r="I109" i="5"/>
  <c r="B5260" i="106"/>
  <c r="D5260" i="106" s="1"/>
  <c r="F130" i="34"/>
  <c r="B19" i="7"/>
  <c r="B1759" i="106" s="1"/>
  <c r="D1759" i="106" s="1"/>
  <c r="K340" i="29"/>
  <c r="E129" i="29"/>
  <c r="D279" i="29"/>
  <c r="K194" i="29"/>
  <c r="L367" i="29"/>
  <c r="K334" i="29"/>
  <c r="G129" i="29"/>
  <c r="G151" i="29" s="1"/>
  <c r="L102" i="29"/>
  <c r="K72" i="29"/>
  <c r="B1141" i="106" s="1"/>
  <c r="D1141" i="106" s="1"/>
  <c r="K100" i="29"/>
  <c r="B7013" i="106" s="1"/>
  <c r="D7013" i="106" s="1"/>
  <c r="K285" i="29"/>
  <c r="G15" i="4" s="1"/>
  <c r="B6032" i="106" s="1"/>
  <c r="D6032" i="106" s="1"/>
  <c r="K238" i="29"/>
  <c r="K279" i="29" s="1"/>
  <c r="K204" i="29"/>
  <c r="K208" i="29" s="1"/>
  <c r="F16" i="4" s="1"/>
  <c r="B2599" i="106" s="1"/>
  <c r="D2599" i="106" s="1"/>
  <c r="H312" i="29"/>
  <c r="B1554" i="106" s="1"/>
  <c r="D1554" i="106" s="1"/>
  <c r="K330" i="29"/>
  <c r="C74" i="29"/>
  <c r="K127" i="29"/>
  <c r="E44" i="4"/>
  <c r="B3274" i="106" s="1"/>
  <c r="D3274" i="106" s="1"/>
  <c r="G4" i="4"/>
  <c r="E39" i="108"/>
  <c r="D17" i="7"/>
  <c r="B4104" i="106" s="1"/>
  <c r="D4104" i="106" s="1"/>
  <c r="B7203" i="106"/>
  <c r="D7203" i="106" s="1"/>
  <c r="H274" i="5"/>
  <c r="H275" i="5" s="1"/>
  <c r="B5915" i="106" s="1"/>
  <c r="D5915" i="106" s="1"/>
  <c r="B6995" i="106"/>
  <c r="D6995" i="106" s="1"/>
  <c r="G274" i="5"/>
  <c r="G7" i="4" s="1"/>
  <c r="B2605" i="106" s="1"/>
  <c r="D2605" i="106" s="1"/>
  <c r="K310" i="29"/>
  <c r="B1417" i="106"/>
  <c r="D1417" i="106" s="1"/>
  <c r="B1144" i="106"/>
  <c r="D1144" i="106" s="1"/>
  <c r="I173" i="5"/>
  <c r="E38" i="108"/>
  <c r="C4" i="4"/>
  <c r="B2551" i="106" s="1"/>
  <c r="D2551" i="106" s="1"/>
  <c r="K350" i="29"/>
  <c r="K352" i="29" s="1"/>
  <c r="J352" i="29"/>
  <c r="G5" i="4"/>
  <c r="B3409" i="106" s="1"/>
  <c r="D3409" i="106" s="1"/>
  <c r="G14" i="4"/>
  <c r="B2609" i="106" s="1"/>
  <c r="D2609" i="106" s="1"/>
  <c r="G38" i="108"/>
  <c r="D55" i="36"/>
  <c r="B1748" i="106"/>
  <c r="D1748" i="106" s="1"/>
  <c r="F52" i="34"/>
  <c r="E33" i="108"/>
  <c r="B3670" i="106"/>
  <c r="D3670" i="106" s="1"/>
  <c r="B1053" i="106"/>
  <c r="D1053" i="106" s="1"/>
  <c r="K147" i="29"/>
  <c r="K149" i="29" s="1"/>
  <c r="G33" i="108"/>
  <c r="B1134" i="106"/>
  <c r="D1134" i="106" s="1"/>
  <c r="B1146" i="106"/>
  <c r="D1146" i="106" s="1"/>
  <c r="B1529" i="106"/>
  <c r="D1529" i="106" s="1"/>
  <c r="C14" i="4"/>
  <c r="B2558" i="106" s="1"/>
  <c r="D2558" i="106" s="1"/>
  <c r="K274" i="5"/>
  <c r="B6022" i="106" s="1"/>
  <c r="D6022" i="106" s="1"/>
  <c r="B1387" i="106"/>
  <c r="D1387" i="106" s="1"/>
  <c r="B7205" i="106"/>
  <c r="D7205" i="106" s="1"/>
  <c r="B169" i="106"/>
  <c r="D169" i="106" s="1"/>
  <c r="B4157" i="106"/>
  <c r="D4157" i="106" s="1"/>
  <c r="G39" i="108"/>
  <c r="F62" i="34"/>
  <c r="J4" i="4"/>
  <c r="B6220" i="106" s="1"/>
  <c r="D6220" i="106" s="1"/>
  <c r="K160" i="29"/>
  <c r="B6916" i="106"/>
  <c r="D6916" i="106" s="1"/>
  <c r="B3626" i="106"/>
  <c r="D3626" i="106" s="1"/>
  <c r="F14" i="4"/>
  <c r="B2597" i="106" s="1"/>
  <c r="D2597" i="106" s="1"/>
  <c r="K13" i="4"/>
  <c r="F114" i="29"/>
  <c r="B931" i="106" s="1"/>
  <c r="D931" i="106" s="1"/>
  <c r="B1753" i="106"/>
  <c r="D1753" i="106" s="1"/>
  <c r="D12" i="7"/>
  <c r="B1769" i="106" s="1"/>
  <c r="D1769" i="106" s="1"/>
  <c r="B7206" i="106"/>
  <c r="D7206" i="106" s="1"/>
  <c r="J342" i="29"/>
  <c r="B7223" i="106" s="1"/>
  <c r="D7223" i="106" s="1"/>
  <c r="B1116" i="106"/>
  <c r="D1116" i="106" s="1"/>
  <c r="K47" i="29"/>
  <c r="K74" i="29" s="1"/>
  <c r="B3446" i="106"/>
  <c r="D3446" i="106" s="1"/>
  <c r="D16" i="7"/>
  <c r="B3447" i="106" s="1"/>
  <c r="D3447" i="106" s="1"/>
  <c r="E30" i="108"/>
  <c r="B1130" i="106"/>
  <c r="D1130" i="106" s="1"/>
  <c r="G30" i="108"/>
  <c r="B2789" i="106"/>
  <c r="D2789" i="106" s="1"/>
  <c r="E102" i="29"/>
  <c r="B2790" i="106" s="1"/>
  <c r="D2790" i="106" s="1"/>
  <c r="B7204" i="106"/>
  <c r="D7204" i="106" s="1"/>
  <c r="H342" i="29"/>
  <c r="B7221" i="106" s="1"/>
  <c r="D7221" i="106" s="1"/>
  <c r="B1108" i="106"/>
  <c r="D1108" i="106" s="1"/>
  <c r="B1139" i="106"/>
  <c r="D1139" i="106" s="1"/>
  <c r="B211" i="106"/>
  <c r="D211" i="106" s="1"/>
  <c r="B4156" i="106"/>
  <c r="D4156" i="106" s="1"/>
  <c r="B1541" i="106"/>
  <c r="D1541" i="106" s="1"/>
  <c r="F312" i="29"/>
  <c r="B1542" i="106" s="1"/>
  <c r="D1542" i="106" s="1"/>
  <c r="B6902" i="106"/>
  <c r="D6902" i="106" s="1"/>
  <c r="I114" i="29"/>
  <c r="H365" i="29"/>
  <c r="B7242" i="106" s="1"/>
  <c r="D7242" i="106" s="1"/>
  <c r="B3658" i="106"/>
  <c r="D3658" i="106" s="1"/>
  <c r="B1358" i="106"/>
  <c r="D1358" i="106" s="1"/>
  <c r="F210" i="29"/>
  <c r="B1359" i="106" s="1"/>
  <c r="D1359" i="106" s="1"/>
  <c r="B6238" i="106"/>
  <c r="D6238" i="106" s="1"/>
  <c r="J77" i="4"/>
  <c r="B6262" i="106" s="1"/>
  <c r="D6262" i="106" s="1"/>
  <c r="B2105" i="106"/>
  <c r="D2105" i="106" s="1"/>
  <c r="I76" i="4"/>
  <c r="B3318" i="106" s="1"/>
  <c r="D3318" i="106" s="1"/>
  <c r="F37" i="108"/>
  <c r="B6840" i="106"/>
  <c r="D6840" i="106" s="1"/>
  <c r="B6357" i="106"/>
  <c r="D6357" i="106" s="1"/>
  <c r="J173" i="5"/>
  <c r="B1756" i="106"/>
  <c r="D1756" i="106" s="1"/>
  <c r="D15" i="7"/>
  <c r="B1772" i="106" s="1"/>
  <c r="D1772" i="106" s="1"/>
  <c r="B5232" i="106"/>
  <c r="D5232" i="106" s="1"/>
  <c r="F127" i="34"/>
  <c r="C352" i="29"/>
  <c r="B3619" i="106"/>
  <c r="D3619" i="106" s="1"/>
  <c r="B1351" i="106"/>
  <c r="D1351" i="106" s="1"/>
  <c r="E210" i="29"/>
  <c r="B1353" i="106" s="1"/>
  <c r="D1353" i="106" s="1"/>
  <c r="F69" i="34"/>
  <c r="B7078" i="106"/>
  <c r="D7078" i="106" s="1"/>
  <c r="B785" i="106"/>
  <c r="D785" i="106" s="1"/>
  <c r="D74" i="29"/>
  <c r="B813" i="106" s="1"/>
  <c r="D813" i="106" s="1"/>
  <c r="F15" i="145"/>
  <c r="F19" i="145" s="1"/>
  <c r="E26" i="108"/>
  <c r="B1274" i="106"/>
  <c r="D1274" i="106" s="1"/>
  <c r="G26" i="108"/>
  <c r="F352" i="29"/>
  <c r="B3640" i="106"/>
  <c r="D3640" i="106" s="1"/>
  <c r="B4373" i="106"/>
  <c r="D4373" i="106" s="1"/>
  <c r="I274" i="5"/>
  <c r="B6887" i="106"/>
  <c r="D6887" i="106" s="1"/>
  <c r="F44" i="34"/>
  <c r="B5246" i="106"/>
  <c r="D5246" i="106" s="1"/>
  <c r="F129" i="34"/>
  <c r="B4411" i="106"/>
  <c r="D4411" i="106" s="1"/>
  <c r="F131" i="34"/>
  <c r="E312" i="29"/>
  <c r="B1536" i="106" s="1"/>
  <c r="D1536" i="106" s="1"/>
  <c r="K109" i="5"/>
  <c r="K4" i="4" s="1"/>
  <c r="K84" i="29"/>
  <c r="B2088" i="106" s="1"/>
  <c r="D2088" i="106" s="1"/>
  <c r="F36" i="34"/>
  <c r="B6858" i="106"/>
  <c r="D6858" i="106" s="1"/>
  <c r="C312" i="29"/>
  <c r="B1524" i="106" s="1"/>
  <c r="D1524" i="106" s="1"/>
  <c r="B1523" i="106"/>
  <c r="D1523" i="106" s="1"/>
  <c r="H352" i="29"/>
  <c r="B3654" i="106"/>
  <c r="D3654" i="106" s="1"/>
  <c r="B7199" i="106"/>
  <c r="D7199" i="106" s="1"/>
  <c r="C342" i="29"/>
  <c r="B7216" i="106" s="1"/>
  <c r="D7216" i="106" s="1"/>
  <c r="F172" i="5"/>
  <c r="B5614" i="106"/>
  <c r="D5614" i="106" s="1"/>
  <c r="B6883" i="106"/>
  <c r="D6883" i="106" s="1"/>
  <c r="F42" i="34"/>
  <c r="E109" i="5"/>
  <c r="B5513" i="106"/>
  <c r="D5513" i="106" s="1"/>
  <c r="K293" i="29"/>
  <c r="B1512" i="106"/>
  <c r="D1512" i="106" s="1"/>
  <c r="B7202" i="106"/>
  <c r="D7202" i="106" s="1"/>
  <c r="F342" i="29"/>
  <c r="B7219" i="106" s="1"/>
  <c r="D7219" i="106" s="1"/>
  <c r="F128" i="34"/>
  <c r="B4395" i="106"/>
  <c r="D4395" i="106" s="1"/>
  <c r="B1137" i="106"/>
  <c r="D1137" i="106" s="1"/>
  <c r="D36" i="108"/>
  <c r="F36" i="108"/>
  <c r="F27" i="108"/>
  <c r="D27" i="108"/>
  <c r="B1127" i="106"/>
  <c r="D1127" i="106" s="1"/>
  <c r="E16" i="145"/>
  <c r="G16" i="145" s="1"/>
  <c r="D31" i="108"/>
  <c r="F41" i="34"/>
  <c r="C273" i="5"/>
  <c r="B1555" i="106"/>
  <c r="D1555" i="106" s="1"/>
  <c r="K303" i="29"/>
  <c r="K312" i="29" s="1"/>
  <c r="B1560" i="106" s="1"/>
  <c r="D1560" i="106" s="1"/>
  <c r="B4103" i="106"/>
  <c r="D4103" i="106" s="1"/>
  <c r="D18" i="7"/>
  <c r="B4105" i="106" s="1"/>
  <c r="D4105" i="106" s="1"/>
  <c r="B4087" i="106"/>
  <c r="D4087" i="106" s="1"/>
  <c r="K184" i="29"/>
  <c r="B3565" i="106"/>
  <c r="D3565" i="106" s="1"/>
  <c r="K41" i="3"/>
  <c r="B6901" i="106"/>
  <c r="D6901" i="106" s="1"/>
  <c r="F51" i="34"/>
  <c r="B6917" i="106"/>
  <c r="D6917" i="106" s="1"/>
  <c r="J74" i="29"/>
  <c r="B3235" i="106"/>
  <c r="D3235" i="106" s="1"/>
  <c r="D77" i="4"/>
  <c r="B3238" i="106" s="1"/>
  <c r="D3238" i="106" s="1"/>
  <c r="B3390" i="106"/>
  <c r="D3390" i="106" s="1"/>
  <c r="K229" i="29"/>
  <c r="D7" i="7"/>
  <c r="B1747" i="106"/>
  <c r="D1747" i="106" s="1"/>
  <c r="B6877" i="106"/>
  <c r="D6877" i="106" s="1"/>
  <c r="F39" i="34"/>
  <c r="B1258" i="106"/>
  <c r="D1258" i="106" s="1"/>
  <c r="E19" i="108"/>
  <c r="E77" i="4"/>
  <c r="B3277" i="106" s="1"/>
  <c r="D3277" i="106" s="1"/>
  <c r="B7200" i="106"/>
  <c r="D7200" i="106" s="1"/>
  <c r="G77" i="4"/>
  <c r="B3261" i="106" s="1"/>
  <c r="D3261" i="106" s="1"/>
  <c r="C12" i="4"/>
  <c r="B2556" i="106" s="1"/>
  <c r="D2556" i="106" s="1"/>
  <c r="F31" i="108"/>
  <c r="E342" i="29"/>
  <c r="B7218" i="106" s="1"/>
  <c r="D7218" i="106" s="1"/>
  <c r="B7201" i="106"/>
  <c r="D7201" i="106" s="1"/>
  <c r="F105" i="34"/>
  <c r="B5147" i="106"/>
  <c r="D5147" i="106" s="1"/>
  <c r="H196" i="29"/>
  <c r="B2830" i="106" s="1"/>
  <c r="D2830" i="106" s="1"/>
  <c r="B2828" i="106"/>
  <c r="D2828" i="106" s="1"/>
  <c r="F273" i="5"/>
  <c r="B4397" i="106"/>
  <c r="D4397" i="106" s="1"/>
  <c r="B5161" i="106"/>
  <c r="D5161" i="106" s="1"/>
  <c r="F106" i="34"/>
  <c r="B1136" i="106"/>
  <c r="D1136" i="106" s="1"/>
  <c r="G35" i="108"/>
  <c r="E35" i="108"/>
  <c r="H295" i="29"/>
  <c r="B1454" i="106" s="1"/>
  <c r="D1454" i="106" s="1"/>
  <c r="B1452" i="106"/>
  <c r="D1452" i="106" s="1"/>
  <c r="D14" i="7"/>
  <c r="B1770" i="106" s="1"/>
  <c r="D1770" i="106" s="1"/>
  <c r="B1754" i="106"/>
  <c r="D1754" i="106" s="1"/>
  <c r="B2091" i="106"/>
  <c r="D2091" i="106" s="1"/>
  <c r="H139" i="29"/>
  <c r="B1267" i="106" s="1"/>
  <c r="D1267" i="106" s="1"/>
  <c r="B7794" i="106"/>
  <c r="D7794" i="106" s="1"/>
  <c r="B3674" i="106"/>
  <c r="D3674" i="106" s="1"/>
  <c r="G34" i="108"/>
  <c r="E34" i="108"/>
  <c r="B1135" i="106"/>
  <c r="D1135" i="106" s="1"/>
  <c r="B3229" i="106"/>
  <c r="D3229" i="106" s="1"/>
  <c r="C77" i="4"/>
  <c r="B3232" i="106" s="1"/>
  <c r="D3232" i="106" s="1"/>
  <c r="B1364" i="106"/>
  <c r="D1364" i="106" s="1"/>
  <c r="G210" i="29"/>
  <c r="K243" i="29"/>
  <c r="B1485" i="106" s="1"/>
  <c r="D1485" i="106" s="1"/>
  <c r="B1482" i="106"/>
  <c r="D1482" i="106" s="1"/>
  <c r="B4372" i="106"/>
  <c r="D4372" i="106" s="1"/>
  <c r="E274" i="5"/>
  <c r="D11" i="7"/>
  <c r="B1768" i="106" s="1"/>
  <c r="D1768" i="106" s="1"/>
  <c r="E13" i="145"/>
  <c r="G13" i="145" s="1"/>
  <c r="G19" i="145" s="1"/>
  <c r="J20" i="145" s="1"/>
  <c r="B2724" i="106"/>
  <c r="D2724" i="106" s="1"/>
  <c r="K357" i="29"/>
  <c r="K15" i="4" s="1"/>
  <c r="B3573" i="106" s="1"/>
  <c r="D3573" i="106" s="1"/>
  <c r="B7792" i="106"/>
  <c r="D7792" i="106" s="1"/>
  <c r="B3673" i="106"/>
  <c r="D3673" i="106" s="1"/>
  <c r="E15" i="145"/>
  <c r="G15" i="145" s="1"/>
  <c r="B1126" i="106"/>
  <c r="D1126" i="106" s="1"/>
  <c r="F151" i="29"/>
  <c r="B1250" i="106" s="1"/>
  <c r="D1250" i="106" s="1"/>
  <c r="B1249" i="106"/>
  <c r="D1249" i="106" s="1"/>
  <c r="B5557" i="106"/>
  <c r="D5557" i="106" s="1"/>
  <c r="F109" i="5"/>
  <c r="F73" i="34"/>
  <c r="B3724" i="106"/>
  <c r="D3724" i="106" s="1"/>
  <c r="K365" i="29"/>
  <c r="B3676" i="106"/>
  <c r="D3676" i="106" s="1"/>
  <c r="B987" i="106"/>
  <c r="D987" i="106" s="1"/>
  <c r="B5356" i="106"/>
  <c r="D5356" i="106" s="1"/>
  <c r="D4" i="4"/>
  <c r="B2564" i="106" s="1"/>
  <c r="D2564" i="106" s="1"/>
  <c r="E151" i="29"/>
  <c r="B1242" i="106" s="1"/>
  <c r="D1242" i="106" s="1"/>
  <c r="B1241" i="106"/>
  <c r="D1241" i="106" s="1"/>
  <c r="I151" i="29"/>
  <c r="B7037" i="106"/>
  <c r="D7037" i="106" s="1"/>
  <c r="F66" i="34"/>
  <c r="B7071" i="106"/>
  <c r="D7071" i="106" s="1"/>
  <c r="H114" i="29"/>
  <c r="B1054" i="106" s="1"/>
  <c r="D1054" i="106" s="1"/>
  <c r="B1045" i="106"/>
  <c r="D1045" i="106" s="1"/>
  <c r="D151" i="29"/>
  <c r="B1234" i="106" s="1"/>
  <c r="D1234" i="106" s="1"/>
  <c r="B1233" i="106"/>
  <c r="D1233" i="106" s="1"/>
  <c r="J151" i="29"/>
  <c r="B7052" i="106" s="1"/>
  <c r="D7052" i="106" s="1"/>
  <c r="B7038" i="106"/>
  <c r="D7038" i="106" s="1"/>
  <c r="D41" i="108"/>
  <c r="E43" i="108" s="1"/>
  <c r="K102" i="29"/>
  <c r="H174" i="29"/>
  <c r="B1318" i="106" s="1"/>
  <c r="D1318" i="106" s="1"/>
  <c r="B1446" i="106"/>
  <c r="D1446" i="106" s="1"/>
  <c r="D295" i="29"/>
  <c r="B1448" i="106" s="1"/>
  <c r="D1448" i="106" s="1"/>
  <c r="B1375" i="106"/>
  <c r="D1375" i="106" s="1"/>
  <c r="H210" i="29"/>
  <c r="B1376" i="106" s="1"/>
  <c r="D1376" i="106" s="1"/>
  <c r="B1279" i="106"/>
  <c r="D1279" i="106" s="1"/>
  <c r="K129" i="29"/>
  <c r="B1266" i="106"/>
  <c r="D1266" i="106" s="1"/>
  <c r="H151" i="29"/>
  <c r="B1273" i="106" s="1"/>
  <c r="D1273" i="106" s="1"/>
  <c r="B5501" i="106"/>
  <c r="D5501" i="106" s="1"/>
  <c r="D274" i="5"/>
  <c r="B5412" i="106"/>
  <c r="D5412" i="106" s="1"/>
  <c r="D173" i="5"/>
  <c r="J274" i="5"/>
  <c r="B5869" i="106"/>
  <c r="D5869" i="106" s="1"/>
  <c r="B5214" i="106"/>
  <c r="D5214" i="106" s="1"/>
  <c r="C173" i="5"/>
  <c r="B5770" i="106"/>
  <c r="D5770" i="106" s="1"/>
  <c r="G173" i="5"/>
  <c r="D44" i="36"/>
  <c r="K172" i="29"/>
  <c r="K174" i="29" s="1"/>
  <c r="B1328" i="106"/>
  <c r="D1328" i="106" s="1"/>
  <c r="H4" i="4"/>
  <c r="B6025" i="106"/>
  <c r="D6025" i="106" s="1"/>
  <c r="B141" i="106"/>
  <c r="D141" i="106" s="1"/>
  <c r="D46" i="36"/>
  <c r="B2093" i="106"/>
  <c r="D2093" i="106" s="1"/>
  <c r="K139" i="29"/>
  <c r="D367" i="29"/>
  <c r="B3629" i="106" s="1"/>
  <c r="D3629" i="106" s="1"/>
  <c r="B3628" i="106"/>
  <c r="D3628" i="106" s="1"/>
  <c r="D49" i="36"/>
  <c r="B213" i="106"/>
  <c r="D213" i="106" s="1"/>
  <c r="H6" i="4"/>
  <c r="B2656" i="106" s="1"/>
  <c r="D2656" i="106" s="1"/>
  <c r="B5906" i="106"/>
  <c r="D5906" i="106" s="1"/>
  <c r="K77" i="4"/>
  <c r="B3587" i="106" s="1"/>
  <c r="D3587" i="106" s="1"/>
  <c r="B3586" i="106"/>
  <c r="D3586" i="106" s="1"/>
  <c r="J13" i="4"/>
  <c r="B7207" i="106"/>
  <c r="D7207" i="106" s="1"/>
  <c r="B2102" i="106"/>
  <c r="D2102" i="106" s="1"/>
  <c r="H15" i="4"/>
  <c r="B2660" i="106" s="1"/>
  <c r="D2660" i="106" s="1"/>
  <c r="G24" i="108"/>
  <c r="E24" i="108"/>
  <c r="B1125" i="106"/>
  <c r="D1125" i="106" s="1"/>
  <c r="B3296" i="106"/>
  <c r="D3296" i="106" s="1"/>
  <c r="H77" i="4"/>
  <c r="B3299" i="106" s="1"/>
  <c r="D3299" i="106" s="1"/>
  <c r="B6026" i="106"/>
  <c r="D6026" i="106" s="1"/>
  <c r="I4" i="4"/>
  <c r="H7" i="4"/>
  <c r="B2657" i="106" s="1"/>
  <c r="D2657" i="106" s="1"/>
  <c r="E367" i="29"/>
  <c r="B3636" i="106" s="1"/>
  <c r="D3636" i="106" s="1"/>
  <c r="B3635" i="106"/>
  <c r="D3635" i="106" s="1"/>
  <c r="E15" i="4"/>
  <c r="B2633" i="106" s="1"/>
  <c r="D2633" i="106" s="1"/>
  <c r="F60" i="34"/>
  <c r="B1115" i="106"/>
  <c r="D1115" i="106" s="1"/>
  <c r="G21" i="108"/>
  <c r="E21" i="108"/>
  <c r="D50" i="36"/>
  <c r="B2913" i="106"/>
  <c r="D2913" i="106" s="1"/>
  <c r="J15" i="4"/>
  <c r="B7796" i="106" s="1"/>
  <c r="D7796" i="106" s="1"/>
  <c r="B7790" i="106"/>
  <c r="D7790" i="106" s="1"/>
  <c r="F74" i="34"/>
  <c r="D51" i="36"/>
  <c r="B6216" i="106"/>
  <c r="D6216" i="106" s="1"/>
  <c r="G367" i="29"/>
  <c r="B3650" i="106" s="1"/>
  <c r="D3650" i="106" s="1"/>
  <c r="B3649" i="106"/>
  <c r="D3649" i="106" s="1"/>
  <c r="I367" i="29"/>
  <c r="B7234" i="106"/>
  <c r="D7234" i="106" s="1"/>
  <c r="B1151" i="106"/>
  <c r="D1151" i="106" s="1"/>
  <c r="K112" i="29"/>
  <c r="D48" i="36"/>
  <c r="B190" i="106"/>
  <c r="D190" i="106" s="1"/>
  <c r="E6" i="4"/>
  <c r="B2631" i="106" s="1"/>
  <c r="D2631" i="106" s="1"/>
  <c r="B5544" i="106"/>
  <c r="D5544" i="106" s="1"/>
  <c r="B124" i="106"/>
  <c r="D124" i="106" s="1"/>
  <c r="D45" i="36"/>
  <c r="B1122" i="106"/>
  <c r="D1122" i="106" s="1"/>
  <c r="G23" i="108"/>
  <c r="E23" i="108"/>
  <c r="K7" i="4"/>
  <c r="B3718" i="106" s="1"/>
  <c r="D3718" i="106" s="1"/>
  <c r="B7235" i="106"/>
  <c r="D7235" i="106" s="1"/>
  <c r="J367" i="29"/>
  <c r="B7245" i="106" s="1"/>
  <c r="D7245" i="106" s="1"/>
  <c r="I6" i="4"/>
  <c r="B5011" i="106" s="1"/>
  <c r="D5011" i="106" s="1"/>
  <c r="B4216" i="106"/>
  <c r="D4216" i="106" s="1"/>
  <c r="I275" i="5"/>
  <c r="B5946" i="106" s="1"/>
  <c r="D5946" i="106" s="1"/>
  <c r="D47" i="36"/>
  <c r="B171" i="106"/>
  <c r="D171" i="106" s="1"/>
  <c r="B2603" i="106"/>
  <c r="D2603" i="106" s="1"/>
  <c r="B3572" i="106"/>
  <c r="D3572" i="106" s="1"/>
  <c r="A7262" i="106"/>
  <c r="D7261" i="106"/>
  <c r="F178" i="34" l="1"/>
  <c r="E114" i="29"/>
  <c r="B873" i="106" s="1"/>
  <c r="D873" i="106" s="1"/>
  <c r="B1225" i="106"/>
  <c r="D1225" i="106" s="1"/>
  <c r="B7215" i="106"/>
  <c r="D7215" i="106" s="1"/>
  <c r="J16" i="4"/>
  <c r="B6226" i="106" s="1"/>
  <c r="D6226" i="106" s="1"/>
  <c r="B1481" i="106"/>
  <c r="D1481" i="106" s="1"/>
  <c r="B7048" i="106"/>
  <c r="D7048" i="106" s="1"/>
  <c r="L114" i="29"/>
  <c r="F41" i="108"/>
  <c r="G43" i="108" s="1"/>
  <c r="K342" i="29"/>
  <c r="K114" i="29"/>
  <c r="F8" i="34" s="1"/>
  <c r="E19" i="145"/>
  <c r="B1763" i="106"/>
  <c r="D1763" i="106" s="1"/>
  <c r="D19" i="7"/>
  <c r="B1775" i="106" s="1"/>
  <c r="D1775" i="106" s="1"/>
  <c r="B2837" i="106"/>
  <c r="D2837" i="106" s="1"/>
  <c r="K196" i="29"/>
  <c r="B6978" i="106"/>
  <c r="D6978" i="106" s="1"/>
  <c r="J114" i="29"/>
  <c r="B7021" i="106" s="1"/>
  <c r="D7021" i="106" s="1"/>
  <c r="D114" i="29"/>
  <c r="B815" i="106" s="1"/>
  <c r="D815" i="106" s="1"/>
  <c r="B755" i="106"/>
  <c r="D755" i="106" s="1"/>
  <c r="C114" i="29"/>
  <c r="B757" i="106" s="1"/>
  <c r="D757" i="106" s="1"/>
  <c r="B5914" i="106"/>
  <c r="D5914" i="106" s="1"/>
  <c r="B5320" i="106"/>
  <c r="D5320" i="106" s="1"/>
  <c r="C274" i="5"/>
  <c r="B5713" i="106"/>
  <c r="D5713" i="106" s="1"/>
  <c r="F274" i="5"/>
  <c r="B5644" i="106"/>
  <c r="D5644" i="106" s="1"/>
  <c r="F173" i="5"/>
  <c r="K367" i="29"/>
  <c r="B3678" i="106" s="1"/>
  <c r="D3678" i="106" s="1"/>
  <c r="B3672" i="106"/>
  <c r="D3672" i="106" s="1"/>
  <c r="I77" i="4"/>
  <c r="B3319" i="106" s="1"/>
  <c r="D3319" i="106" s="1"/>
  <c r="B3569" i="106"/>
  <c r="D3569" i="106" s="1"/>
  <c r="K8" i="4"/>
  <c r="B1515" i="106"/>
  <c r="D1515" i="106" s="1"/>
  <c r="G16" i="4"/>
  <c r="B2611" i="106" s="1"/>
  <c r="D2611" i="106" s="1"/>
  <c r="F55" i="34"/>
  <c r="B7020" i="106"/>
  <c r="D7020" i="106" s="1"/>
  <c r="B3568" i="106"/>
  <c r="D3568" i="106" s="1"/>
  <c r="D52" i="36"/>
  <c r="K275" i="5"/>
  <c r="B6023" i="106" s="1"/>
  <c r="D6023" i="106" s="1"/>
  <c r="F58" i="34"/>
  <c r="B1259" i="106"/>
  <c r="D1259" i="106" s="1"/>
  <c r="F13" i="4"/>
  <c r="K210" i="29"/>
  <c r="B1381" i="106"/>
  <c r="D1381" i="106" s="1"/>
  <c r="B5527" i="106"/>
  <c r="D5527" i="106" s="1"/>
  <c r="E4" i="4"/>
  <c r="E275" i="5"/>
  <c r="B5552" i="106" s="1"/>
  <c r="D5552" i="106" s="1"/>
  <c r="B3656" i="106"/>
  <c r="D3656" i="106" s="1"/>
  <c r="H367" i="29"/>
  <c r="B3660" i="106" s="1"/>
  <c r="D3660" i="106" s="1"/>
  <c r="B1119" i="106"/>
  <c r="D1119" i="106" s="1"/>
  <c r="E22" i="108"/>
  <c r="E41" i="108" s="1"/>
  <c r="E44" i="108" s="1"/>
  <c r="E45" i="108" s="1"/>
  <c r="G22" i="108"/>
  <c r="G41" i="108" s="1"/>
  <c r="G44" i="108" s="1"/>
  <c r="G45" i="108" s="1"/>
  <c r="I7" i="4"/>
  <c r="B4444" i="106" s="1"/>
  <c r="D4444" i="106" s="1"/>
  <c r="B4435" i="106"/>
  <c r="D4435" i="106" s="1"/>
  <c r="E7" i="4"/>
  <c r="B4443" i="106" s="1"/>
  <c r="D4443" i="106" s="1"/>
  <c r="B4434" i="106"/>
  <c r="D4434" i="106" s="1"/>
  <c r="B3642" i="106"/>
  <c r="D3642" i="106" s="1"/>
  <c r="F367" i="29"/>
  <c r="B3643" i="106" s="1"/>
  <c r="D3643" i="106" s="1"/>
  <c r="J6" i="4"/>
  <c r="B6397" i="106"/>
  <c r="D6397" i="106" s="1"/>
  <c r="B6028" i="106"/>
  <c r="D6028" i="106" s="1"/>
  <c r="F4" i="4"/>
  <c r="B5588" i="106"/>
  <c r="D5588" i="106" s="1"/>
  <c r="B1152" i="106"/>
  <c r="D1152" i="106" s="1"/>
  <c r="B1559" i="106"/>
  <c r="D1559" i="106" s="1"/>
  <c r="H13" i="4"/>
  <c r="B1474" i="106"/>
  <c r="D1474" i="106" s="1"/>
  <c r="G12" i="4"/>
  <c r="F65" i="34"/>
  <c r="B1365" i="106"/>
  <c r="D1365" i="106" s="1"/>
  <c r="C367" i="29"/>
  <c r="B3622" i="106" s="1"/>
  <c r="D3622" i="106" s="1"/>
  <c r="B3621" i="106"/>
  <c r="D3621" i="106" s="1"/>
  <c r="K151" i="29"/>
  <c r="B1281" i="106"/>
  <c r="D1281" i="106" s="1"/>
  <c r="D13" i="4"/>
  <c r="D275" i="5"/>
  <c r="B5508" i="106" s="1"/>
  <c r="D5508" i="106" s="1"/>
  <c r="B5421" i="106"/>
  <c r="D5421" i="106" s="1"/>
  <c r="D6" i="4"/>
  <c r="B2566" i="106" s="1"/>
  <c r="D2566" i="106" s="1"/>
  <c r="G275" i="5"/>
  <c r="B5870" i="106" s="1"/>
  <c r="D5870" i="106" s="1"/>
  <c r="B5778" i="106"/>
  <c r="D5778" i="106" s="1"/>
  <c r="G6" i="4"/>
  <c r="F59" i="34"/>
  <c r="B7051" i="106"/>
  <c r="D7051" i="106" s="1"/>
  <c r="B989" i="106"/>
  <c r="D989" i="106" s="1"/>
  <c r="F54" i="34"/>
  <c r="B7243" i="106"/>
  <c r="D7243" i="106" s="1"/>
  <c r="K16" i="4"/>
  <c r="B3574" i="106" s="1"/>
  <c r="D3574" i="106" s="1"/>
  <c r="C275" i="5"/>
  <c r="B5327" i="106" s="1"/>
  <c r="D5327" i="106" s="1"/>
  <c r="C6" i="4"/>
  <c r="B5223" i="106"/>
  <c r="D5223" i="106" s="1"/>
  <c r="B1145" i="106"/>
  <c r="D1145" i="106" s="1"/>
  <c r="C15" i="4"/>
  <c r="B2559" i="106" s="1"/>
  <c r="D2559" i="106" s="1"/>
  <c r="F53" i="34"/>
  <c r="D16" i="4"/>
  <c r="B2572" i="106" s="1"/>
  <c r="D2572" i="106" s="1"/>
  <c r="B1287" i="106"/>
  <c r="D1287" i="106" s="1"/>
  <c r="B7244" i="106"/>
  <c r="D7244" i="106" s="1"/>
  <c r="F17" i="11"/>
  <c r="J275" i="5"/>
  <c r="B7055" i="106" s="1"/>
  <c r="D7055" i="106" s="1"/>
  <c r="B7054" i="106"/>
  <c r="D7054" i="106" s="1"/>
  <c r="J7" i="4"/>
  <c r="B6222" i="106" s="1"/>
  <c r="D6222" i="106" s="1"/>
  <c r="D7" i="4"/>
  <c r="B2567" i="106" s="1"/>
  <c r="D2567" i="106" s="1"/>
  <c r="B5507" i="106"/>
  <c r="D5507" i="106" s="1"/>
  <c r="H8" i="4"/>
  <c r="B2655" i="106"/>
  <c r="D2655" i="106" s="1"/>
  <c r="K313" i="29"/>
  <c r="B1561" i="106" s="1"/>
  <c r="D1561" i="106" s="1"/>
  <c r="E17" i="4"/>
  <c r="E19" i="4" s="1"/>
  <c r="B4138" i="106" s="1"/>
  <c r="D4138" i="106" s="1"/>
  <c r="B1331" i="106"/>
  <c r="D1331" i="106" s="1"/>
  <c r="E16" i="4"/>
  <c r="B2634" i="106" s="1"/>
  <c r="D2634" i="106" s="1"/>
  <c r="B1282" i="106"/>
  <c r="D1282" i="106" s="1"/>
  <c r="F57" i="34"/>
  <c r="D15" i="4"/>
  <c r="B2571" i="106" s="1"/>
  <c r="D2571" i="106" s="1"/>
  <c r="C16" i="4"/>
  <c r="B2560" i="106" s="1"/>
  <c r="D2560" i="106" s="1"/>
  <c r="B7019" i="106"/>
  <c r="D7019" i="106" s="1"/>
  <c r="B3225" i="106"/>
  <c r="D3225" i="106" s="1"/>
  <c r="I8" i="4"/>
  <c r="F10" i="34"/>
  <c r="B1332" i="106"/>
  <c r="D1332" i="106" s="1"/>
  <c r="J17" i="4"/>
  <c r="B7042" i="106"/>
  <c r="D7042" i="106" s="1"/>
  <c r="C13" i="4"/>
  <c r="B1143" i="106"/>
  <c r="D1143" i="106" s="1"/>
  <c r="F13" i="34"/>
  <c r="B7224" i="106"/>
  <c r="D7224" i="106" s="1"/>
  <c r="K295" i="29"/>
  <c r="G13" i="4"/>
  <c r="B2608" i="106" s="1"/>
  <c r="D2608" i="106" s="1"/>
  <c r="B1510" i="106"/>
  <c r="D1510" i="106" s="1"/>
  <c r="B3571" i="106"/>
  <c r="D3571" i="106" s="1"/>
  <c r="K10" i="4"/>
  <c r="B4130" i="106" s="1"/>
  <c r="D4130" i="106" s="1"/>
  <c r="A7263" i="106"/>
  <c r="D7262" i="106"/>
  <c r="B2553" i="106" l="1"/>
  <c r="D2553" i="106" s="1"/>
  <c r="B2604" i="106"/>
  <c r="D2604" i="106" s="1"/>
  <c r="G8" i="4"/>
  <c r="B5653" i="106"/>
  <c r="D5653" i="106" s="1"/>
  <c r="F6" i="4"/>
  <c r="B2593" i="106" s="1"/>
  <c r="D2593" i="106" s="1"/>
  <c r="B6221" i="106"/>
  <c r="D6221" i="106" s="1"/>
  <c r="J8" i="4"/>
  <c r="B2635" i="106"/>
  <c r="D2635" i="106" s="1"/>
  <c r="F275" i="5"/>
  <c r="D8" i="4"/>
  <c r="B2557" i="106"/>
  <c r="D2557" i="106" s="1"/>
  <c r="C17" i="4"/>
  <c r="J20" i="4"/>
  <c r="F76" i="34"/>
  <c r="K17" i="4"/>
  <c r="B1382" i="106"/>
  <c r="D1382" i="106" s="1"/>
  <c r="F63" i="34"/>
  <c r="F15" i="4"/>
  <c r="B2598" i="106" s="1"/>
  <c r="D2598" i="106" s="1"/>
  <c r="K368" i="29"/>
  <c r="B3681" i="106" s="1"/>
  <c r="D3681" i="106" s="1"/>
  <c r="F7" i="4"/>
  <c r="B2594" i="106" s="1"/>
  <c r="D2594" i="106" s="1"/>
  <c r="B5719" i="106"/>
  <c r="D5719" i="106" s="1"/>
  <c r="C7" i="4"/>
  <c r="B2554" i="106" s="1"/>
  <c r="D2554" i="106" s="1"/>
  <c r="B5326" i="106"/>
  <c r="D5326" i="106" s="1"/>
  <c r="K175" i="29"/>
  <c r="B1333" i="106" s="1"/>
  <c r="D1333" i="106" s="1"/>
  <c r="B2659" i="106"/>
  <c r="D2659" i="106" s="1"/>
  <c r="H17" i="4"/>
  <c r="B2607" i="106"/>
  <c r="D2607" i="106" s="1"/>
  <c r="G17" i="4"/>
  <c r="F11" i="34"/>
  <c r="B1388" i="106"/>
  <c r="D1388" i="106" s="1"/>
  <c r="B2596" i="106"/>
  <c r="D2596" i="106" s="1"/>
  <c r="K115" i="29"/>
  <c r="B1153" i="106" s="1"/>
  <c r="D1153" i="106" s="1"/>
  <c r="K343" i="29"/>
  <c r="B7225" i="106" s="1"/>
  <c r="D7225" i="106" s="1"/>
  <c r="B2591" i="106"/>
  <c r="D2591" i="106" s="1"/>
  <c r="F8" i="4"/>
  <c r="K211" i="29"/>
  <c r="B1389" i="106" s="1"/>
  <c r="D1389" i="106" s="1"/>
  <c r="B5720" i="106"/>
  <c r="D5720" i="106" s="1"/>
  <c r="B2630" i="106"/>
  <c r="D2630" i="106" s="1"/>
  <c r="E8" i="4"/>
  <c r="D17" i="4"/>
  <c r="B2569" i="106"/>
  <c r="D2569" i="106" s="1"/>
  <c r="K152" i="29"/>
  <c r="B1289" i="106" s="1"/>
  <c r="D1289" i="106" s="1"/>
  <c r="B1288" i="106"/>
  <c r="D1288" i="106" s="1"/>
  <c r="F9" i="34"/>
  <c r="B7624" i="106"/>
  <c r="I17" i="11"/>
  <c r="B2658" i="106"/>
  <c r="D2658" i="106" s="1"/>
  <c r="H20" i="4"/>
  <c r="H10" i="4"/>
  <c r="B4127" i="106" s="1"/>
  <c r="D4127" i="106" s="1"/>
  <c r="J78" i="4"/>
  <c r="J81" i="4" s="1"/>
  <c r="B6230" i="106"/>
  <c r="D6230" i="106" s="1"/>
  <c r="J19" i="4"/>
  <c r="B6229" i="106" s="1"/>
  <c r="D6229" i="106" s="1"/>
  <c r="B6227" i="106"/>
  <c r="D6227" i="106" s="1"/>
  <c r="B1517" i="106"/>
  <c r="D1517" i="106" s="1"/>
  <c r="F12" i="34"/>
  <c r="K296" i="29"/>
  <c r="B1518" i="106" s="1"/>
  <c r="D1518" i="106" s="1"/>
  <c r="I10" i="4"/>
  <c r="B4128" i="106" s="1"/>
  <c r="D4128" i="106" s="1"/>
  <c r="B3226" i="106"/>
  <c r="D3226" i="106" s="1"/>
  <c r="I20" i="4"/>
  <c r="E8" i="146"/>
  <c r="E10" i="146" s="1"/>
  <c r="A7264" i="106"/>
  <c r="D7263" i="106"/>
  <c r="B3575" i="106" l="1"/>
  <c r="D3575" i="106" s="1"/>
  <c r="K20" i="4"/>
  <c r="K19" i="4"/>
  <c r="B4144" i="106" s="1"/>
  <c r="D4144" i="106" s="1"/>
  <c r="J10" i="4"/>
  <c r="B6225" i="106" s="1"/>
  <c r="D6225" i="106" s="1"/>
  <c r="B6223" i="106"/>
  <c r="D6223" i="106" s="1"/>
  <c r="B2561" i="106"/>
  <c r="D2561" i="106" s="1"/>
  <c r="C19" i="4"/>
  <c r="B4136" i="106" s="1"/>
  <c r="D4136" i="106" s="1"/>
  <c r="F16" i="37"/>
  <c r="B9" i="146"/>
  <c r="F14" i="34"/>
  <c r="F77" i="34" s="1"/>
  <c r="B2606" i="106"/>
  <c r="D2606" i="106" s="1"/>
  <c r="G10" i="4"/>
  <c r="B4126" i="106" s="1"/>
  <c r="D4126" i="106" s="1"/>
  <c r="B2568" i="106"/>
  <c r="D2568" i="106" s="1"/>
  <c r="C8" i="146"/>
  <c r="D10" i="4"/>
  <c r="B4123" i="106" s="1"/>
  <c r="D4123" i="106" s="1"/>
  <c r="C8" i="4"/>
  <c r="D10" i="171"/>
  <c r="D19" i="171" s="1"/>
  <c r="D32" i="171" s="1"/>
  <c r="D49" i="171" s="1"/>
  <c r="F17" i="4"/>
  <c r="B2600" i="106" s="1"/>
  <c r="D2600" i="106" s="1"/>
  <c r="B6263" i="106"/>
  <c r="D6263" i="106" s="1"/>
  <c r="F20" i="4"/>
  <c r="B2595" i="106"/>
  <c r="D2595" i="106" s="1"/>
  <c r="D8" i="146"/>
  <c r="D10" i="146" s="1"/>
  <c r="F10" i="4"/>
  <c r="B4125" i="106" s="1"/>
  <c r="D4125" i="106" s="1"/>
  <c r="B2612" i="106"/>
  <c r="D2612" i="106" s="1"/>
  <c r="G19" i="4"/>
  <c r="B4140" i="106" s="1"/>
  <c r="D4140" i="106" s="1"/>
  <c r="G20" i="4"/>
  <c r="F19" i="4"/>
  <c r="B4139" i="106" s="1"/>
  <c r="D4139" i="106" s="1"/>
  <c r="D9" i="146"/>
  <c r="H19" i="4"/>
  <c r="B4141" i="106" s="1"/>
  <c r="D4141" i="106" s="1"/>
  <c r="B2661" i="106"/>
  <c r="D2661" i="106" s="1"/>
  <c r="B2632" i="106"/>
  <c r="D2632" i="106" s="1"/>
  <c r="E10" i="4"/>
  <c r="B4124" i="106" s="1"/>
  <c r="D4124" i="106" s="1"/>
  <c r="E20" i="4"/>
  <c r="B2573" i="106"/>
  <c r="D2573" i="106" s="1"/>
  <c r="H17" i="118"/>
  <c r="H25" i="118" s="1"/>
  <c r="K24" i="118" s="1"/>
  <c r="O23" i="118" s="1"/>
  <c r="O25" i="118" s="1"/>
  <c r="D19" i="4"/>
  <c r="B4137" i="106" s="1"/>
  <c r="D4137" i="106" s="1"/>
  <c r="D20" i="4"/>
  <c r="C9" i="146"/>
  <c r="C10" i="146" s="1"/>
  <c r="F179" i="34"/>
  <c r="F79" i="34"/>
  <c r="B7625" i="106"/>
  <c r="I18" i="11"/>
  <c r="H78" i="4"/>
  <c r="B2662" i="106"/>
  <c r="D2662" i="106" s="1"/>
  <c r="B3227" i="106"/>
  <c r="D3227" i="106" s="1"/>
  <c r="I78" i="4"/>
  <c r="J82" i="4"/>
  <c r="B6266" i="106"/>
  <c r="D6266" i="106" s="1"/>
  <c r="D64" i="36"/>
  <c r="A7265" i="106"/>
  <c r="D7264" i="106"/>
  <c r="C10" i="4" l="1"/>
  <c r="B4122" i="106" s="1"/>
  <c r="D4122" i="106" s="1"/>
  <c r="D16" i="37"/>
  <c r="H16" i="37" s="1"/>
  <c r="C20" i="4"/>
  <c r="B8" i="146"/>
  <c r="B2555" i="106"/>
  <c r="D2555" i="106" s="1"/>
  <c r="H13" i="118"/>
  <c r="H18" i="118"/>
  <c r="K17" i="118" s="1"/>
  <c r="K78" i="4"/>
  <c r="B3576" i="106"/>
  <c r="D3576" i="106" s="1"/>
  <c r="F9" i="146"/>
  <c r="G78" i="4"/>
  <c r="B2613" i="106"/>
  <c r="D2613" i="106" s="1"/>
  <c r="E78" i="4"/>
  <c r="B2636" i="106"/>
  <c r="D2636" i="106" s="1"/>
  <c r="F78" i="4"/>
  <c r="B2601" i="106"/>
  <c r="D2601" i="106" s="1"/>
  <c r="B2574" i="106"/>
  <c r="D2574" i="106" s="1"/>
  <c r="D78" i="4"/>
  <c r="F180" i="34"/>
  <c r="F181" i="34" s="1"/>
  <c r="F183" i="34" s="1"/>
  <c r="B7631" i="106"/>
  <c r="H81" i="4"/>
  <c r="B3300" i="106"/>
  <c r="D3300" i="106" s="1"/>
  <c r="B3320" i="106"/>
  <c r="D3320" i="106" s="1"/>
  <c r="I81" i="4"/>
  <c r="J83" i="4"/>
  <c r="B6283" i="106" s="1"/>
  <c r="D6283" i="106" s="1"/>
  <c r="B6274" i="106"/>
  <c r="D6274" i="106" s="1"/>
  <c r="A7266" i="106"/>
  <c r="D7265" i="106"/>
  <c r="F8" i="146" l="1"/>
  <c r="F10" i="146" s="1"/>
  <c r="B10" i="146"/>
  <c r="C78" i="4"/>
  <c r="B2562" i="106"/>
  <c r="D2562" i="106" s="1"/>
  <c r="B3588" i="106"/>
  <c r="D3588" i="106" s="1"/>
  <c r="K81" i="4"/>
  <c r="B3278" i="106"/>
  <c r="D3278" i="106" s="1"/>
  <c r="E81" i="4"/>
  <c r="F81" i="4"/>
  <c r="B3256" i="106"/>
  <c r="D3256" i="106" s="1"/>
  <c r="G81" i="4"/>
  <c r="B3262" i="106"/>
  <c r="D3262" i="106" s="1"/>
  <c r="K20" i="118"/>
  <c r="J20" i="118"/>
  <c r="O16" i="118"/>
  <c r="D81" i="4"/>
  <c r="B3239" i="106"/>
  <c r="D3239" i="106" s="1"/>
  <c r="D62" i="36"/>
  <c r="B1700" i="106"/>
  <c r="D1700" i="106" s="1"/>
  <c r="H82" i="4"/>
  <c r="I82" i="4"/>
  <c r="D63" i="36"/>
  <c r="E11" i="146"/>
  <c r="B3323" i="106"/>
  <c r="D3323" i="106" s="1"/>
  <c r="A7267" i="106"/>
  <c r="D7266" i="106"/>
  <c r="C81" i="4" l="1"/>
  <c r="B3233" i="106"/>
  <c r="D3233" i="106" s="1"/>
  <c r="D65" i="36"/>
  <c r="K82" i="4"/>
  <c r="B3591" i="106"/>
  <c r="D3591" i="106" s="1"/>
  <c r="D11" i="146"/>
  <c r="F82" i="4"/>
  <c r="B1672" i="106"/>
  <c r="D1672" i="106" s="1"/>
  <c r="D60" i="36"/>
  <c r="E82" i="4"/>
  <c r="B1658" i="106"/>
  <c r="D1658" i="106" s="1"/>
  <c r="D59" i="36"/>
  <c r="B1686" i="106"/>
  <c r="D1686" i="106" s="1"/>
  <c r="G82" i="4"/>
  <c r="D61" i="36"/>
  <c r="O17" i="118"/>
  <c r="O20" i="118" s="1"/>
  <c r="C11" i="146"/>
  <c r="B1644" i="106"/>
  <c r="D1644" i="106" s="1"/>
  <c r="D82" i="4"/>
  <c r="D58" i="36"/>
  <c r="H12" i="118"/>
  <c r="K12" i="118" s="1"/>
  <c r="O11" i="118" s="1"/>
  <c r="O13" i="118" s="1"/>
  <c r="O35" i="118" s="1"/>
  <c r="O37" i="118" s="1"/>
  <c r="H83" i="4"/>
  <c r="B6281" i="106" s="1"/>
  <c r="D6281" i="106" s="1"/>
  <c r="B6272" i="106"/>
  <c r="D6272" i="106" s="1"/>
  <c r="B6273" i="106"/>
  <c r="D6273" i="106" s="1"/>
  <c r="I83" i="4"/>
  <c r="B6282" i="106" s="1"/>
  <c r="D6282" i="106" s="1"/>
  <c r="A7268" i="106"/>
  <c r="D7267" i="106"/>
  <c r="B6275" i="106" l="1"/>
  <c r="D6275" i="106" s="1"/>
  <c r="K83" i="4"/>
  <c r="B6284" i="106" s="1"/>
  <c r="D6284" i="106" s="1"/>
  <c r="J16" i="37"/>
  <c r="B4269" i="106" s="1"/>
  <c r="D4269" i="106" s="1"/>
  <c r="C82" i="4"/>
  <c r="B11" i="146"/>
  <c r="F11" i="146" s="1"/>
  <c r="B1630" i="106"/>
  <c r="D1630" i="106" s="1"/>
  <c r="D57" i="36"/>
  <c r="B6269" i="106"/>
  <c r="D6269" i="106" s="1"/>
  <c r="E83" i="4"/>
  <c r="B6278" i="106" s="1"/>
  <c r="D6278" i="106" s="1"/>
  <c r="F83" i="4"/>
  <c r="B6279" i="106" s="1"/>
  <c r="D6279" i="106" s="1"/>
  <c r="B6270" i="106"/>
  <c r="D6270" i="106" s="1"/>
  <c r="B6271" i="106"/>
  <c r="D6271" i="106" s="1"/>
  <c r="G83" i="4"/>
  <c r="B6280" i="106" s="1"/>
  <c r="D6280" i="106" s="1"/>
  <c r="D83" i="4"/>
  <c r="B6277" i="106" s="1"/>
  <c r="D6277" i="106" s="1"/>
  <c r="B6268" i="106"/>
  <c r="D6268" i="106" s="1"/>
  <c r="A7269" i="106"/>
  <c r="D7268" i="106"/>
  <c r="C12" i="146" l="1"/>
  <c r="D29" i="36"/>
  <c r="J24" i="24" s="1"/>
  <c r="C83" i="4"/>
  <c r="B6276" i="106" s="1"/>
  <c r="D6276" i="106" s="1"/>
  <c r="B6267" i="106"/>
  <c r="D6267" i="106"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<sst xmlns="http://schemas.openxmlformats.org/spreadsheetml/2006/main" count="5322" uniqueCount="2228">
  <si>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</si>
  <si>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</si>
  <si>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</si>
  <si>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</si>
  <si>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</si>
  <si>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</si>
  <si>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</si>
  <si>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</si>
  <si>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</si>
  <si>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</si>
  <si>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</si>
  <si>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</si>
  <si>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</si>
  <si>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</si>
  <si>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</si>
  <si>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</si>
  <si>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</si>
  <si>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</si>
  <si>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</si>
  <si>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</si>
  <si>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</si>
  <si>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</si>
  <si>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</si>
  <si>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</si>
  <si>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</si>
  <si>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</si>
  <si>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</si>
  <si>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</si>
  <si>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</si>
  <si>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</si>
  <si>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</si>
  <si>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</si>
  <si>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</si>
  <si>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</si>
  <si>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</si>
  <si>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</si>
  <si>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</si>
  <si>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</si>
  <si>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</si>
  <si>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</si>
  <si>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</si>
  <si>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</si>
  <si>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</si>
  <si>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</si>
  <si>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</si>
  <si>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</si>
  <si>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</si>
  <si>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</si>
  <si>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</si>
  <si>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</si>
  <si>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</si>
  <si>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</si>
  <si>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</si>
  <si>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</si>
  <si>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</si>
  <si>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</si>
  <si>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</si>
  <si>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</si>
  <si>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</si>
  <si>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</si>
  <si>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</si>
  <si>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</si>
  <si>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</si>
  <si>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</si>
  <si>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</si>
  <si>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</si>
  <si>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</si>
  <si>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</si>
  <si>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</si>
  <si>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</si>
  <si>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</si>
  <si>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</si>
  <si>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</si>
  <si>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</si>
  <si>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</si>
  <si>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</si>
  <si>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</si>
  <si>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</si>
  <si>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</si>
  <si>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</si>
  <si>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</si>
  <si>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</si>
  <si>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</si>
  <si>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</si>
  <si>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</si>
  <si>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</si>
  <si>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</si>
  <si>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</si>
  <si>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</si>
  <si>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</si>
  <si>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</si>
  <si>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</si>
  <si>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</si>
  <si>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</si>
  <si>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</si>
  <si>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</si>
  <si>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</si>
  <si>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</si>
  <si>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</si>
  <si>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</si>
  <si>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</si>
  <si>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</si>
  <si>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</si>
  <si>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</si>
  <si>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</si>
  <si>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</si>
  <si>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</si>
  <si>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</si>
  <si>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</si>
  <si>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</si>
  <si>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</si>
  <si>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</si>
  <si>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</si>
  <si>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</si>
  <si>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</si>
  <si>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</si>
  <si>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</si>
  <si>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</si>
  <si>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</si>
  <si>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</si>
  <si>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</si>
  <si>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</si>
  <si>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</si>
  <si>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</si>
  <si>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</si>
  <si>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</si>
  <si>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</si>
  <si>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</si>
  <si>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</si>
  <si>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</si>
  <si>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</si>
  <si>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</si>
  <si>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</si>
  <si>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</si>
  <si>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</si>
  <si>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</si>
  <si>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</si>
  <si>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</si>
  <si>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</si>
  <si>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</si>
  <si>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</si>
  <si>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</si>
  <si>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</si>
  <si>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</si>
  <si>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</si>
  <si>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</si>
  <si>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</si>
  <si>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</si>
  <si>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</si>
  <si>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</si>
  <si>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</si>
  <si>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</si>
  <si>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</si>
  <si>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</si>
  <si>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</si>
  <si>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</si>
  <si>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</si>
  <si>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</si>
  <si>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</si>
  <si>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</si>
  <si>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</si>
  <si>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</si>
  <si>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</si>
  <si>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</si>
  <si>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</si>
  <si>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</si>
  <si>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</si>
  <si>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</si>
  <si>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</si>
  <si>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</si>
  <si>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</si>
  <si>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</si>
  <si>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</si>
  <si>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</si>
  <si>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</si>
  <si>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</si>
  <si>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</si>
  <si>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</si>
  <si>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</si>
  <si>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</si>
  <si>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</si>
  <si>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</si>
  <si>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</si>
  <si>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</si>
  <si>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</si>
  <si>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</si>
  <si>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</si>
  <si>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</si>
  <si>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</si>
  <si>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</si>
  <si>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</si>
  <si>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</si>
  <si>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</si>
  <si>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</si>
  <si>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</si>
  <si>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</si>
  <si>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</si>
  <si>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</si>
  <si>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</si>
  <si>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</si>
  <si>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</si>
  <si>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</si>
  <si>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</si>
  <si>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</si>
  <si>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</si>
  <si>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</si>
  <si>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</si>
  <si>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</si>
  <si>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</si>
  <si>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</si>
  <si>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</si>
  <si>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</si>
  <si>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</si>
  <si>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</si>
  <si>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</si>
  <si>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</si>
  <si>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</si>
  <si>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</si>
  <si>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</si>
  <si>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</si>
  <si>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</si>
  <si>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</si>
  <si>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</si>
  <si>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</si>
  <si>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</si>
  <si>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</si>
  <si>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</si>
  <si>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</si>
  <si>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</si>
  <si>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</si>
  <si>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</si>
  <si>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</si>
  <si>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</si>
  <si>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</si>
  <si>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</si>
  <si>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</si>
  <si>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</si>
  <si>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</si>
  <si>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</si>
  <si>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</si>
  <si>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</si>
  <si>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</si>
  <si>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</si>
  <si>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</si>
  <si>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</si>
  <si>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</si>
  <si>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</si>
  <si>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</si>
  <si>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</si>
  <si>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</si>
  <si>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</si>
  <si>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</si>
  <si>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</si>
  <si>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</si>
  <si>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</si>
  <si>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</si>
  <si>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</si>
  <si>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</si>
  <si>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</si>
  <si>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</si>
  <si>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</si>
  <si>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</si>
  <si>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</si>
  <si>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</si>
  <si>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</si>
  <si>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</si>
  <si>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</si>
  <si>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</si>
  <si>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</si>
  <si>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</si>
  <si>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</si>
  <si>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</si>
  <si>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</si>
  <si>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</si>
  <si>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</si>
  <si>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</si>
  <si>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</si>
  <si>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</si>
  <si>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</si>
  <si>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</si>
  <si>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</si>
  <si>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</si>
  <si>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</si>
  <si>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</si>
  <si>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</si>
  <si>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</si>
  <si>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</si>
  <si>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</si>
  <si>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</si>
  <si>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</si>
  <si>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</si>
  <si>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</si>
  <si>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</si>
  <si>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</si>
  <si>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</si>
  <si>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</si>
  <si>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</si>
  <si>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</si>
  <si>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</si>
  <si>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</si>
  <si>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</si>
  <si>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</si>
  <si>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</si>
  <si>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</si>
  <si>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</si>
  <si>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</si>
  <si>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</si>
  <si>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</si>
  <si>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</si>
  <si>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</si>
  <si>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</si>
  <si>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</si>
  <si>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</si>
  <si>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</si>
  <si>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</si>
  <si>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</si>
  <si>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</si>
  <si>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</si>
  <si>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</si>
  <si>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</si>
  <si>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</si>
  <si>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</si>
  <si>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</si>
  <si>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</si>
  <si>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</si>
  <si>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</si>
  <si>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</si>
  <si>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</si>
  <si>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</si>
  <si>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</si>
  <si>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</si>
  <si>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</si>
  <si>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</si>
  <si>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</si>
  <si>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</si>
  <si>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</si>
  <si>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</si>
  <si>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</si>
  <si>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</si>
  <si>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</si>
  <si>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</si>
  <si>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</si>
  <si>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</si>
  <si>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</si>
  <si>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</si>
  <si>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</si>
  <si>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</si>
  <si>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</si>
  <si>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</si>
  <si>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</si>
  <si>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</si>
  <si>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</si>
  <si>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</si>
  <si>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</si>
  <si>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</si>
  <si>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</si>
  <si>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</si>
  <si>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</si>
  <si>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</si>
  <si>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</si>
  <si>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</si>
  <si>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</si>
  <si>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</si>
  <si>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</si>
  <si>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</si>
  <si>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</si>
  <si>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</si>
  <si>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</si>
  <si>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</si>
  <si>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</si>
  <si>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</si>
  <si>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</si>
  <si>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</si>
  <si>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</si>
  <si>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</si>
  <si>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</si>
  <si>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</si>
  <si>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</si>
  <si>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</si>
  <si>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</si>
  <si>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</si>
  <si>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</si>
  <si>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</si>
  <si>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</si>
  <si>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</si>
  <si>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</si>
  <si>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</si>
  <si>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</si>
  <si>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</si>
  <si>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</si>
  <si>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</si>
  <si>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</si>
  <si>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</si>
  <si>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</si>
  <si>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</si>
  <si>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</si>
  <si>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</si>
  <si>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</si>
  <si>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</si>
  <si>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</si>
  <si>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</si>
  <si>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</si>
  <si>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</si>
  <si>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</si>
  <si>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</si>
  <si>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</si>
  <si>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</si>
  <si>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</si>
  <si>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</si>
  <si>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</si>
  <si>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</si>
  <si>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</si>
  <si>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</si>
  <si>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</si>
  <si>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</si>
  <si>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</si>
  <si>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</si>
  <si>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</si>
  <si>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</si>
  <si>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</si>
  <si>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</si>
  <si>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</si>
  <si>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</si>
  <si>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</si>
  <si>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</si>
  <si>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</si>
  <si>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</si>
  <si>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</si>
  <si>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</si>
  <si>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</si>
  <si>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</si>
  <si>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</si>
  <si>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</si>
  <si>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</si>
  <si>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</si>
  <si>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</si>
  <si>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</si>
  <si>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</si>
  <si>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</si>
  <si>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</si>
  <si>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</si>
  <si>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</si>
  <si>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</si>
  <si>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</si>
  <si>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</si>
  <si>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</si>
  <si>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</si>
  <si>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</si>
  <si>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</si>
  <si>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</si>
  <si>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</si>
  <si>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</si>
  <si>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</si>
  <si>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</si>
  <si>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</si>
  <si>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</si>
  <si>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</si>
  <si>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</si>
  <si>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</si>
  <si>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</si>
  <si>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</si>
  <si>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</si>
  <si>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</si>
  <si>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</si>
  <si>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</si>
  <si>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</si>
  <si>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</si>
  <si>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</si>
  <si>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</si>
  <si>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</si>
  <si>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</si>
  <si>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</si>
  <si>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</si>
  <si>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</si>
  <si>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</si>
  <si>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</si>
  <si>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</si>
  <si>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</si>
  <si>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</si>
  <si>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</si>
  <si>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</si>
  <si>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</si>
  <si>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</si>
  <si>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</si>
  <si>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</si>
  <si>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</si>
  <si>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</si>
  <si>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</si>
  <si>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</si>
  <si>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</si>
  <si>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</si>
  <si>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</si>
  <si>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</si>
  <si>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</si>
  <si>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</si>
  <si>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</si>
  <si>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</si>
  <si>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</si>
  <si>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</si>
  <si>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</si>
  <si>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</si>
  <si>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</si>
  <si>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</si>
  <si>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</si>
  <si>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</si>
  <si>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</si>
  <si>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</si>
  <si>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</si>
  <si>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</si>
  <si>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</si>
  <si>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</si>
  <si>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</si>
  <si>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</si>
  <si>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</si>
  <si>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</si>
  <si>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</si>
  <si>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</si>
  <si>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</si>
  <si>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</si>
  <si>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</si>
  <si>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</si>
  <si>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</si>
  <si>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</si>
  <si>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</si>
  <si>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</si>
  <si>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</si>
  <si>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</si>
  <si>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</si>
  <si>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</si>
  <si>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</si>
  <si>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</si>
  <si>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</si>
  <si>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</si>
  <si>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</si>
  <si>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</si>
  <si>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</si>
  <si>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</si>
  <si>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</si>
  <si>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</si>
  <si>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</si>
  <si>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</si>
  <si>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</si>
  <si>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</si>
  <si>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</si>
  <si>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</si>
  <si>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</si>
  <si>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</si>
  <si>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</si>
  <si>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</si>
  <si>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</si>
  <si>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</si>
  <si>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</si>
  <si>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</si>
  <si>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</si>
  <si>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</si>
  <si>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</si>
  <si>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</si>
  <si>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</si>
  <si>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</si>
  <si>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</si>
  <si>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</si>
  <si>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</si>
  <si>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</si>
  <si>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</si>
  <si>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</si>
  <si>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</si>
  <si>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</si>
  <si>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</si>
  <si>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</si>
  <si>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</si>
  <si>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</si>
  <si>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</si>
  <si>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</si>
  <si>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</si>
  <si>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</si>
  <si>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</si>
  <si>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</si>
  <si>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</si>
  <si>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</si>
  <si>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</si>
  <si>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</si>
  <si>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</si>
  <si>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</si>
  <si>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</si>
  <si>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</si>
  <si>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</si>
  <si>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</si>
  <si>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</si>
  <si>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</si>
  <si>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</si>
  <si>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</si>
  <si>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</si>
  <si>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</si>
  <si>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</si>
  <si>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</si>
  <si>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</si>
  <si>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</si>
  <si>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</si>
  <si>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</si>
  <si>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</si>
  <si>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</si>
  <si>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</si>
  <si>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</si>
  <si>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</si>
  <si>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</si>
  <si>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</si>
  <si>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</si>
  <si>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</si>
  <si>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</si>
  <si>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</si>
  <si>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</si>
  <si>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</si>
  <si>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</si>
  <si>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</si>
  <si>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</si>
  <si>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</si>
  <si>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</si>
  <si>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</si>
  <si>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</si>
  <si>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</si>
  <si>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</si>
  <si>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</si>
  <si>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</si>
  <si>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</si>
  <si>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</si>
  <si>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</si>
  <si>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</si>
  <si>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</si>
  <si>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</si>
  <si>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</si>
  <si>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</si>
  <si>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</si>
  <si>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</si>
  <si>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</si>
  <si>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</si>
  <si>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</si>
  <si>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</si>
  <si>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</si>
  <si>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</si>
  <si>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</si>
  <si>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</si>
  <si>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</si>
  <si>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</si>
  <si>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</si>
  <si>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</si>
  <si>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</si>
  <si>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</si>
  <si>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</si>
  <si>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</si>
  <si>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</si>
  <si>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</si>
  <si>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</si>
  <si>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</si>
  <si>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</si>
  <si>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</si>
  <si>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</si>
  <si>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</si>
  <si>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</si>
  <si>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</si>
  <si>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</si>
  <si>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</si>
  <si>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</si>
  <si>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</si>
  <si>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</si>
  <si>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</si>
  <si>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</si>
  <si>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</si>
  <si>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</si>
  <si>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</si>
  <si>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</si>
  <si>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</si>
  <si>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</si>
  <si>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</si>
  <si>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</si>
  <si>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</si>
  <si>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</si>
  <si>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</si>
  <si>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</si>
  <si>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</si>
  <si>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</si>
  <si>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</si>
  <si>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</si>
  <si>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</si>
  <si>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</si>
  <si>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</si>
  <si>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</si>
  <si>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</si>
  <si>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</si>
  <si>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</si>
  <si>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</si>
  <si>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</si>
  <si>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</si>
  <si>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</si>
  <si>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</si>
  <si>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</si>
  <si>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</si>
  <si>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</si>
  <si>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</si>
  <si>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</si>
  <si>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</si>
  <si>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</si>
  <si>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</si>
  <si>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</si>
  <si>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</si>
  <si>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</si>
  <si>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</si>
  <si>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</si>
  <si>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</si>
  <si>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</si>
  <si>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</si>
  <si>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</si>
  <si>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</si>
  <si>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</si>
  <si>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</si>
  <si>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</si>
  <si>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</si>
  <si>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</si>
  <si>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</si>
  <si>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</si>
  <si>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</si>
  <si>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</si>
  <si>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</si>
  <si>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</si>
  <si>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</si>
  <si>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</si>
  <si>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</si>
  <si>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</si>
  <si>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</si>
  <si>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</si>
  <si>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</si>
  <si>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</si>
  <si>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</si>
  <si>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</si>
  <si>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</si>
  <si>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</si>
  <si>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</si>
  <si>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</si>
  <si>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</si>
  <si>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</si>
  <si>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</si>
  <si>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</si>
  <si>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</si>
  <si>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</si>
  <si>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</si>
  <si>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</si>
  <si>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</si>
  <si>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</si>
  <si>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</si>
  <si>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</si>
  <si>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</si>
  <si>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</si>
  <si>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</si>
  <si>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</si>
  <si>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</si>
  <si>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</si>
  <si>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</si>
  <si>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</si>
  <si>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</si>
  <si>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</si>
  <si>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</si>
  <si>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</si>
  <si>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</si>
  <si>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</si>
  <si>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</si>
  <si>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</si>
  <si>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</si>
  <si>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</si>
  <si>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</si>
  <si>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</si>
  <si>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</si>
  <si>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</si>
  <si>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</si>
  <si>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</si>
  <si>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</si>
  <si>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</si>
  <si>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</si>
  <si>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</si>
  <si>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</si>
  <si>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</si>
  <si>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</si>
  <si>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</si>
  <si>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</si>
  <si>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</si>
  <si>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</si>
  <si>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</si>
  <si>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</si>
  <si>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</si>
  <si>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</si>
  <si>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</si>
  <si>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</si>
  <si>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</si>
  <si>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</si>
  <si>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</si>
  <si>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</si>
  <si>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</si>
  <si>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</si>
  <si>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</si>
  <si>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</si>
  <si>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</si>
  <si>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</si>
  <si>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</si>
  <si>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</si>
  <si>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</si>
  <si>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</si>
  <si>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</si>
  <si>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</si>
  <si>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</si>
  <si>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</si>
  <si>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</si>
  <si>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</si>
  <si>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</si>
  <si>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</si>
  <si>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</si>
  <si>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</si>
  <si>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</si>
  <si>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</si>
  <si>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</si>
  <si>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</si>
  <si>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</si>
  <si>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</si>
  <si>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</si>
  <si>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</si>
  <si>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</si>
  <si>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</si>
  <si>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</si>
  <si>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</si>
  <si>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</si>
  <si>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</si>
  <si>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</si>
  <si>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</si>
  <si>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</si>
  <si>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</si>
  <si>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</si>
  <si>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</si>
  <si>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</si>
  <si>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</si>
  <si>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</si>
  <si>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</si>
  <si>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</si>
  <si>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</si>
  <si>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</si>
  <si>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</si>
  <si>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</si>
  <si>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</si>
  <si>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</si>
  <si>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</si>
  <si>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</si>
  <si>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</si>
  <si>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</si>
  <si>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</si>
  <si>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</si>
  <si>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</si>
  <si>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</si>
  <si>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</si>
  <si>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</si>
  <si>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</si>
  <si>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</si>
  <si>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</si>
  <si>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</si>
  <si>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</si>
  <si>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</si>
  <si>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</si>
  <si>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</si>
  <si>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</si>
  <si>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</si>
  <si>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</si>
  <si>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</si>
  <si>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</si>
  <si>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</si>
  <si>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</si>
  <si>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</si>
  <si>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</si>
  <si>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</si>
  <si>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</si>
  <si>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</si>
  <si>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</si>
  <si>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</si>
  <si>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</si>
  <si>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</si>
  <si>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</si>
  <si>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</si>
  <si>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</si>
  <si>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</si>
  <si>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</si>
  <si>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</si>
  <si>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</si>
  <si>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</si>
  <si>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</si>
  <si>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</si>
  <si>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</si>
  <si>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</si>
  <si>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</si>
  <si>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</si>
  <si>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</si>
  <si>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</si>
  <si>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</si>
  <si>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</si>
  <si>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</si>
  <si>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</si>
  <si>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</si>
  <si>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</si>
  <si>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</si>
  <si>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</si>
  <si>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</si>
  <si>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</si>
  <si>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</si>
  <si>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</si>
  <si>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</si>
  <si>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</si>
  <si>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</si>
  <si>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</si>
  <si>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</si>
  <si>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</si>
  <si>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</si>
  <si>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</si>
  <si>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</si>
  <si>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</si>
  <si>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</si>
  <si>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</si>
  <si>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</si>
  <si>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</si>
  <si>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</si>
  <si>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</si>
  <si>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</si>
  <si>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</si>
  <si>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</si>
  <si>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</si>
  <si>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</si>
  <si>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</si>
  <si>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</si>
  <si>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</si>
  <si>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</si>
  <si>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</si>
  <si>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</si>
  <si>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</si>
  <si>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</si>
  <si>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</si>
  <si>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</si>
  <si>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</si>
  <si>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</si>
  <si>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</si>
  <si>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</si>
  <si>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</si>
  <si>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</si>
  <si>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</si>
  <si>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</si>
  <si>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</si>
  <si>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</si>
  <si>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</si>
  <si>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</si>
  <si>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</si>
  <si>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</si>
  <si>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</si>
  <si>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</si>
  <si>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</si>
  <si>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</si>
  <si>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</si>
  <si>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</si>
  <si>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</si>
  <si>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</si>
  <si>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</si>
  <si>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</si>
  <si>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</si>
  <si>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</si>
  <si>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</si>
  <si>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</si>
  <si>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</si>
  <si>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</si>
  <si>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</si>
  <si>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</si>
  <si>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</si>
  <si>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</si>
  <si>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</si>
  <si>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</si>
  <si>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</si>
  <si>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</si>
  <si>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</si>
  <si>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</si>
  <si>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</si>
  <si>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</si>
  <si>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</si>
  <si>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</si>
  <si>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</si>
  <si>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</si>
  <si>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</si>
  <si>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</si>
  <si>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</si>
  <si>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</si>
  <si>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</si>
  <si>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</si>
  <si>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</si>
  <si>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</si>
  <si>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</si>
  <si>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</si>
  <si>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</si>
  <si>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</si>
  <si>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</si>
  <si>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</si>
  <si>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</si>
  <si>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</si>
  <si>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</si>
  <si>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</si>
  <si>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</si>
  <si>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</si>
  <si>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</si>
  <si>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</si>
  <si>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</si>
  <si>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</si>
  <si>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</si>
  <si>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</si>
  <si>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</si>
  <si>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</si>
  <si>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</si>
  <si>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</si>
  <si>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</si>
  <si>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</si>
  <si>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</si>
  <si>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</si>
  <si>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</si>
  <si>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</si>
  <si>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</si>
  <si>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</si>
  <si>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</si>
  <si>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</si>
  <si>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</si>
  <si>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</si>
  <si>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</si>
  <si>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</si>
  <si>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</si>
  <si>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</si>
  <si>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</si>
  <si>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</si>
  <si>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</si>
  <si>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</si>
  <si>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</si>
  <si>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</si>
  <si>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</si>
  <si>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</si>
  <si>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</si>
  <si>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</si>
  <si>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</si>
  <si>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</si>
  <si>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</si>
  <si>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</si>
  <si>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</si>
  <si>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</si>
  <si>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</si>
  <si>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</si>
  <si>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</si>
  <si>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</si>
  <si>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</si>
  <si>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</si>
  <si>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</si>
  <si>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</si>
  <si>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</si>
  <si>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</si>
  <si>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</si>
  <si>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</si>
  <si>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</si>
  <si>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</si>
  <si>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</si>
  <si>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</si>
  <si>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</si>
  <si>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</si>
  <si>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</si>
  <si>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</si>
  <si>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</si>
  <si>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</si>
  <si>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</si>
  <si>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</si>
  <si>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</si>
  <si>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</si>
  <si>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</si>
  <si>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</si>
  <si>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</si>
  <si>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</si>
  <si>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</si>
  <si>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</si>
  <si>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</si>
  <si>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</si>
  <si>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</si>
  <si>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</si>
  <si>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</si>
  <si>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</si>
  <si>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</si>
  <si>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</si>
  <si>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</si>
  <si>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</si>
  <si>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</si>
  <si>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</si>
  <si>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</si>
  <si>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</si>
  <si>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</si>
  <si>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</si>
  <si>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</si>
  <si>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</si>
  <si>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</si>
  <si>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</si>
  <si>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</si>
  <si>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</si>
  <si>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</si>
  <si>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</si>
  <si>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</si>
  <si>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</si>
  <si>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</si>
  <si>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</si>
  <si>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</si>
  <si>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</si>
  <si>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</si>
  <si>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</si>
  <si>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</si>
  <si>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</si>
  <si>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</si>
  <si>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</si>
  <si>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</si>
  <si>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</si>
  <si>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</si>
  <si>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</si>
  <si>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</si>
  <si>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</si>
  <si>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</si>
  <si>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</si>
  <si>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</si>
  <si>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</si>
  <si>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</si>
  <si>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</si>
  <si>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</si>
  <si>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</si>
  <si>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</si>
  <si>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</si>
  <si>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</si>
  <si>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</si>
  <si>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</si>
  <si>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</si>
  <si>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</si>
  <si>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</si>
  <si>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</si>
  <si>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</si>
  <si>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</si>
  <si>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</si>
  <si>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</si>
  <si>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</si>
  <si>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</si>
  <si>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</si>
  <si>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</si>
  <si>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</si>
  <si>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</si>
  <si>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</si>
  <si>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</si>
  <si>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</si>
  <si>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</si>
  <si>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</si>
  <si>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</si>
  <si>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</si>
  <si>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</si>
  <si>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</si>
  <si>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</si>
  <si>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</si>
  <si>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</si>
  <si>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</si>
  <si>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</si>
  <si>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</si>
  <si>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</si>
  <si>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</si>
  <si>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</si>
  <si>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</si>
  <si>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</si>
  <si>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</si>
  <si>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</si>
  <si>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</si>
  <si>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</si>
  <si>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</si>
  <si>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</si>
  <si>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</si>
  <si>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</si>
  <si>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</si>
  <si>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</si>
  <si>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</si>
  <si>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</si>
  <si>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</si>
  <si>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</si>
  <si>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</si>
  <si>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</si>
  <si>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</si>
  <si>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</si>
  <si>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</si>
  <si>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</si>
  <si>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</si>
  <si>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</si>
  <si>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</si>
  <si>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</si>
  <si>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</si>
  <si>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</si>
  <si>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</si>
  <si>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</si>
  <si>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</si>
  <si>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</si>
  <si>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</si>
  <si>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</si>
  <si>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</si>
  <si>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</si>
  <si>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</si>
  <si>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</si>
  <si>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</si>
  <si>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</si>
  <si>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</si>
  <si>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</si>
  <si>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</si>
  <si>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</si>
  <si>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</si>
  <si>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</si>
  <si>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</si>
  <si>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</si>
  <si>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</si>
  <si>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</si>
  <si>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</si>
  <si>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</si>
  <si>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</si>
  <si>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</si>
  <si>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</si>
  <si>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</si>
  <si>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</si>
  <si>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</si>
  <si>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</si>
  <si>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</si>
  <si>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</si>
  <si>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</si>
  <si>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</si>
  <si>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</si>
  <si>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</si>
  <si>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</si>
  <si>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</si>
  <si>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</si>
  <si>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</si>
  <si>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</si>
  <si>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</si>
  <si>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</si>
  <si>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</si>
  <si>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</si>
  <si>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</si>
  <si>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</si>
  <si>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</si>
  <si>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</si>
  <si>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</si>
  <si>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</si>
  <si>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</si>
  <si>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</si>
  <si>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</si>
  <si>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</si>
  <si>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</si>
  <si>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</si>
  <si>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</si>
  <si>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</si>
  <si>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</si>
  <si>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</si>
  <si>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</si>
  <si>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</si>
  <si>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</si>
  <si>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</si>
  <si>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</si>
  <si>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</si>
  <si>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</si>
  <si>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</si>
  <si>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</si>
  <si>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</si>
  <si>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</si>
  <si>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</si>
  <si>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</si>
  <si>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</si>
  <si>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</si>
  <si>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</si>
  <si>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</si>
  <si>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</si>
  <si>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</si>
  <si>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</si>
  <si>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</si>
  <si>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</si>
  <si>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</si>
  <si>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</si>
  <si>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</si>
  <si>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</si>
  <si>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</si>
  <si>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</si>
  <si>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</si>
  <si>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</si>
  <si>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</si>
  <si>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</si>
  <si>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</si>
  <si>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</si>
  <si>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</si>
  <si>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</si>
  <si>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</si>
  <si>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</si>
  <si>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</si>
  <si>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</si>
  <si>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</si>
  <si>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</si>
  <si>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</si>
  <si>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</si>
  <si>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</si>
  <si>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</si>
  <si>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</si>
  <si>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</si>
  <si>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</si>
  <si>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</si>
  <si>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</si>
  <si>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</si>
  <si>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</si>
  <si>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</si>
  <si>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</si>
  <si>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</si>
  <si>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</si>
  <si>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</si>
  <si>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</si>
  <si>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</si>
  <si>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</si>
  <si>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</si>
  <si>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</si>
  <si>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</si>
  <si>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</si>
  <si>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</si>
  <si>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</si>
  <si>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</si>
  <si>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</si>
  <si>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</si>
  <si>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</si>
  <si>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</si>
  <si>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</si>
  <si>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</si>
  <si>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</si>
  <si>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</si>
  <si>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</si>
  <si>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</si>
  <si>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</si>
  <si>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</si>
  <si>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</si>
  <si>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</si>
  <si>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</si>
  <si>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</si>
  <si>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</si>
  <si>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</si>
  <si>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</si>
  <si>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</si>
  <si>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</si>
  <si>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</si>
  <si>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</si>
  <si>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</si>
  <si>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</si>
  <si>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</si>
  <si>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</si>
  <si>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</si>
  <si>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</si>
  <si>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</si>
  <si>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</si>
  <si>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</si>
  <si>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</si>
  <si>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</si>
  <si>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</si>
  <si>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</si>
  <si>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</si>
  <si>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</si>
  <si>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</si>
  <si>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</si>
  <si>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</si>
  <si>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</si>
  <si>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</si>
  <si>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</si>
  <si>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</si>
  <si>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</si>
  <si>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</si>
  <si>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</si>
  <si>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</si>
  <si>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</si>
  <si>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</si>
  <si>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</si>
  <si>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</si>
  <si>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</si>
  <si>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</si>
  <si>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</si>
  <si>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</si>
  <si>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</si>
  <si>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</si>
  <si>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</si>
  <si>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</si>
  <si>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</si>
  <si>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</si>
  <si>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</si>
  <si>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</si>
  <si>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</si>
  <si>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</si>
  <si>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</si>
  <si>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</si>
  <si>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</si>
  <si>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</si>
  <si>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</si>
  <si>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</si>
  <si>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</si>
  <si>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</si>
  <si>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</si>
  <si>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</si>
  <si>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</si>
  <si>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</si>
  <si>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</si>
  <si>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</si>
  <si>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</si>
  <si>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</si>
  <si>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</si>
  <si>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</si>
  <si>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</si>
  <si>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</si>
  <si>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</si>
  <si>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</si>
  <si>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</si>
  <si>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</si>
  <si>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</si>
  <si>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</si>
  <si>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</si>
  <si>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</si>
  <si>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</si>
  <si>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</si>
  <si>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</si>
  <si>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</si>
  <si>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</si>
  <si>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</si>
  <si>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</si>
  <si>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</si>
  <si>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</si>
  <si>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</si>
  <si>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</si>
  <si>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</si>
  <si>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</si>
  <si>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</si>
  <si>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</si>
  <si>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</si>
  <si>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</si>
  <si>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</si>
  <si>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</si>
  <si>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</si>
  <si>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</si>
  <si>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</si>
  <si>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</si>
  <si>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</si>
  <si>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</si>
  <si>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</si>
  <si>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</si>
  <si>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</si>
  <si>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</si>
  <si>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</si>
  <si>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</si>
  <si>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</si>
  <si>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</si>
  <si>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</si>
  <si>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</si>
  <si>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</si>
  <si>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</si>
  <si>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</si>
  <si>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</si>
  <si>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</si>
  <si>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</si>
  <si>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</si>
  <si>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</si>
  <si>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</si>
  <si>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</si>
  <si>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</si>
  <si>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</si>
  <si>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</si>
  <si>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</si>
  <si>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</si>
  <si>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</si>
  <si>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</si>
  <si>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</si>
  <si>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</si>
  <si>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</si>
  <si>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</si>
  <si>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</si>
  <si>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</si>
  <si>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</si>
  <si>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</si>
  <si>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</si>
  <si>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</si>
  <si>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</si>
  <si>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</si>
  <si>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</si>
  <si>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</si>
  <si>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</si>
  <si>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</si>
  <si>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</si>
  <si>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</si>
  <si>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</si>
  <si>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</si>
  <si>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</si>
  <si>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</si>
  <si>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</si>
  <si>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</si>
  <si>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</si>
  <si>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</si>
  <si>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</si>
  <si>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</si>
  <si>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</si>
  <si>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</si>
  <si>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</si>
  <si>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</si>
  <si>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</si>
  <si>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</si>
  <si>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</si>
  <si>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</si>
  <si>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</si>
  <si>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</si>
  <si>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</si>
  <si>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</si>
  <si>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</si>
  <si>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</si>
  <si>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</si>
  <si>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</si>
  <si>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</si>
  <si>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</si>
  <si>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</si>
  <si>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</si>
  <si>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</si>
  <si>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</si>
  <si>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</si>
  <si>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</si>
  <si>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</si>
  <si>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</si>
  <si>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</si>
  <si>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</si>
  <si>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</si>
  <si>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</si>
  <si>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</si>
  <si>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</si>
  <si>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</si>
  <si>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</si>
  <si>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</si>
  <si>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</si>
  <si>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</si>
  <si>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</si>
  <si>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</si>
  <si>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</si>
  <si>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</si>
  <si>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</si>
  <si>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</si>
  <si>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</si>
  <si>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</si>
  <si>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</si>
  <si>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</si>
  <si>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</si>
  <si>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</si>
  <si>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</si>
  <si>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</si>
  <si>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</si>
  <si>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</si>
  <si>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</si>
  <si>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</si>
  <si>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</si>
  <si>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</si>
  <si>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</si>
  <si>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</si>
  <si>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</si>
  <si>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</si>
  <si>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</si>
  <si>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</si>
  <si>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</si>
  <si>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</si>
  <si>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</si>
  <si>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</si>
  <si>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</si>
  <si>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</si>
  <si>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</si>
  <si>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</si>
  <si>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</si>
  <si>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</si>
  <si>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</si>
  <si>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</si>
  <si>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</si>
  <si>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</si>
  <si>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</si>
  <si>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</si>
  <si>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</si>
  <si>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</si>
  <si>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</si>
  <si>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</si>
  <si>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</si>
  <si>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</si>
  <si>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</si>
  <si>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</si>
  <si>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</si>
  <si>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</si>
  <si>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</si>
  <si>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</si>
  <si>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</si>
  <si>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</si>
  <si>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</si>
  <si>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</si>
  <si>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</si>
  <si>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</si>
  <si>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</si>
  <si>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</si>
  <si>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</si>
  <si>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</si>
  <si>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</si>
  <si>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</si>
  <si>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</si>
  <si>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</si>
  <si>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</si>
  <si>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</si>
  <si>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</si>
  <si>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</si>
  <si>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</si>
  <si>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</si>
  <si>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</si>
  <si>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</si>
  <si>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</si>
  <si>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</si>
  <si>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</si>
  <si>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</si>
  <si>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</si>
  <si>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</si>
  <si>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</si>
  <si>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</si>
  <si>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</si>
  <si>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</si>
  <si>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</si>
  <si>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</si>
  <si>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</si>
  <si>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</si>
  <si>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</si>
  <si>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</si>
  <si>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</si>
  <si>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</si>
  <si>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</si>
  <si>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</si>
  <si>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</si>
  <si>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</si>
  <si>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</si>
  <si>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</si>
  <si>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</si>
  <si>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</si>
  <si>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</si>
  <si>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</si>
  <si>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</si>
  <si>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</si>
  <si>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</si>
  <si>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</si>
  <si>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</si>
  <si>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</si>
  <si>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</si>
  <si>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</si>
  <si>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</si>
  <si>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</si>
  <si>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</si>
  <si>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</si>
  <si>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</si>
  <si>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</si>
  <si>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</si>
  <si>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</si>
  <si>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</si>
  <si>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</si>
  <si>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</si>
  <si>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</si>
  <si>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</si>
  <si>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</si>
  <si>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</si>
  <si>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</si>
  <si>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</si>
  <si>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</si>
  <si>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</si>
  <si>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</si>
  <si>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</si>
  <si>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</si>
  <si>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</si>
  <si>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</si>
  <si>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</si>
  <si>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</si>
  <si>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</si>
  <si>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</si>
  <si>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</si>
  <si>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</si>
  <si>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</si>
  <si>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</si>
  <si>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</si>
  <si>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</si>
  <si>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</si>
  <si>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</si>
  <si>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</si>
  <si>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</si>
  <si>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</si>
  <si>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</si>
  <si>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</si>
  <si>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</si>
  <si>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</si>
  <si>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</si>
  <si>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</si>
  <si>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</si>
  <si>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</si>
  <si>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</si>
  <si>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</si>
  <si>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</si>
  <si>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</si>
  <si>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</si>
  <si>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</si>
  <si>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</si>
  <si>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</si>
  <si>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</si>
  <si>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</si>
  <si>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</si>
  <si>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</si>
  <si>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</si>
  <si>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</si>
  <si>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</si>
  <si>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</si>
  <si>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</si>
  <si>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</si>
  <si>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</si>
  <si>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</si>
  <si>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</si>
  <si>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</si>
  <si>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</si>
  <si>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</si>
  <si>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</si>
  <si>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</si>
  <si>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</si>
  <si>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</si>
  <si>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</si>
  <si>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</si>
  <si>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</si>
  <si>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</si>
  <si>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</si>
  <si>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</si>
  <si>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</si>
  <si>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</si>
  <si>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</si>
  <si>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</si>
  <si>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</si>
  <si>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</si>
  <si>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</si>
  <si>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</si>
  <si>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</si>
  <si>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</si>
  <si>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</si>
  <si>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</si>
  <si>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</si>
  <si>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</si>
  <si>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</si>
  <si>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</si>
  <si>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</si>
  <si>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</si>
  <si>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</si>
  <si>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</si>
  <si>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</si>
  <si>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</si>
  <si>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</si>
  <si>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</si>
  <si>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</si>
  <si>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</si>
  <si>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</si>
  <si>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</si>
  <si>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</si>
  <si>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</si>
  <si>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</si>
  <si>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</si>
  <si>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</si>
  <si>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</si>
  <si>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</si>
  <si>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</si>
  <si>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</si>
  <si>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</si>
  <si>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</si>
  <si>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</si>
  <si>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</si>
  <si>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</si>
  <si>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</si>
  <si>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</si>
  <si>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</si>
  <si>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</si>
  <si>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</si>
  <si>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</si>
  <si>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</si>
  <si>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</si>
  <si>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</si>
  <si>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</si>
  <si>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</si>
  <si>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</si>
  <si>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</si>
  <si>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</si>
  <si>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</si>
  <si>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</si>
  <si>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</si>
  <si>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</si>
  <si>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</si>
  <si>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</si>
  <si>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</si>
  <si>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</si>
  <si>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</si>
  <si>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</si>
  <si>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</si>
  <si>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</si>
  <si>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</si>
  <si>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</si>
  <si>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</si>
  <si>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</si>
  <si>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</si>
  <si>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</si>
  <si>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</si>
  <si>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</si>
  <si>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</si>
  <si>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</si>
  <si>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</si>
  <si>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</si>
  <si>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</si>
  <si>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</si>
  <si>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</si>
  <si>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</si>
  <si>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</si>
  <si>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</si>
  <si>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</si>
  <si>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</si>
  <si>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</si>
  <si>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</si>
  <si>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</si>
  <si>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</si>
  <si>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</si>
  <si>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</si>
  <si>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</si>
  <si>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</si>
  <si>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</si>
  <si>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</si>
  <si>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</si>
  <si>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</si>
  <si>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</si>
  <si>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</si>
  <si>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</si>
  <si>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</si>
  <si>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</si>
  <si>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</si>
  <si>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</si>
  <si>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</si>
  <si>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</si>
  <si>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</si>
  <si>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</si>
  <si>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</si>
  <si>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</si>
  <si>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</si>
  <si>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</si>
  <si>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</si>
  <si>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</si>
  <si>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</si>
  <si>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</si>
  <si>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</si>
  <si>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</si>
  <si>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</si>
  <si>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</si>
  <si>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</si>
  <si>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</si>
  <si>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</si>
  <si>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</si>
  <si>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</si>
  <si>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</si>
  <si>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</si>
  <si>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</si>
  <si>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</si>
  <si>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</si>
  <si>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</si>
  <si>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</si>
  <si>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</si>
  <si>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</si>
  <si>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</si>
  <si>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</si>
  <si>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</si>
  <si>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</si>
  <si>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</si>
  <si>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</si>
  <si>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</si>
  <si>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</si>
  <si>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</si>
  <si>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</si>
  <si>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</si>
  <si>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</si>
  <si>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</si>
  <si>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</si>
  <si>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</si>
  <si>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</si>
  <si>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</si>
  <si>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</si>
  <si>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</si>
  <si>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</si>
  <si>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</si>
  <si>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</si>
  <si>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</si>
  <si>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</si>
  <si>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</si>
  <si>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</si>
  <si>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</si>
  <si>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</si>
  <si>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</si>
  <si>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</si>
  <si>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</si>
  <si>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</si>
  <si>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</si>
  <si>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</si>
  <si>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</si>
  <si>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</si>
  <si>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</si>
  <si>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</si>
  <si>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</si>
  <si>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</si>
  <si>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</si>
  <si>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</si>
  <si>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</si>
  <si>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</si>
  <si>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</si>
  <si>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</si>
  <si>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</si>
  <si>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</si>
  <si>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</si>
  <si>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</si>
  <si>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</si>
  <si>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</si>
  <si>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</si>
  <si>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</si>
  <si>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</si>
  <si>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</si>
  <si>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</si>
  <si>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</si>
  <si>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</si>
  <si>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</si>
  <si>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</si>
  <si>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</si>
  <si>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</si>
  <si>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</si>
  <si>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</si>
  <si>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</si>
  <si>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</si>
  <si>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</si>
  <si>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</si>
  <si>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</si>
  <si>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</si>
  <si>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</si>
  <si>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</si>
  <si>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</si>
  <si>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</si>
  <si>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</si>
  <si>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</si>
  <si>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</si>
  <si>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</si>
  <si>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</si>
  <si>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</si>
  <si>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</si>
  <si>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</si>
  <si>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</si>
  <si>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</si>
  <si>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</si>
  <si>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</si>
  <si>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</si>
  <si>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</si>
  <si>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</si>
  <si>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</si>
  <si>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</si>
  <si>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</si>
  <si>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</si>
  <si>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</si>
  <si>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</si>
  <si>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</si>
  <si>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</si>
  <si>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</si>
  <si>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</si>
  <si>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</si>
  <si>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</si>
  <si>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</si>
  <si>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</si>
  <si>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</si>
  <si>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</si>
  <si>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</si>
  <si>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</si>
  <si>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</si>
  <si>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</si>
  <si>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</si>
  <si>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</si>
  <si>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</si>
  <si>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</si>
  <si>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</si>
  <si>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</si>
  <si>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</si>
  <si>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</si>
  <si>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</si>
  <si>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</si>
  <si>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</si>
  <si>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</si>
  <si>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</si>
  <si>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</si>
  <si>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</si>
  <si>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</si>
  <si>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</si>
  <si>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</si>
  <si>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</si>
  <si>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</si>
  <si>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</si>
  <si>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</si>
  <si>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</si>
  <si>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</si>
  <si>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</si>
  <si>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</si>
  <si>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</si>
  <si>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</si>
  <si>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</si>
  <si>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</si>
  <si>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</si>
  <si>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</si>
  <si>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</si>
  <si>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</si>
  <si>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</si>
  <si>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</si>
  <si>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</si>
  <si>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</si>
  <si>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</si>
  <si>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</si>
  <si>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</si>
  <si>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</si>
  <si>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</si>
  <si>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</si>
  <si>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</si>
  <si>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</si>
  <si>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</si>
  <si>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</si>
  <si>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</si>
  <si>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</si>
  <si>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</si>
  <si>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</si>
  <si>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</si>
  <si>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</si>
  <si>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</si>
  <si>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</si>
  <si>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</si>
  <si>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</si>
  <si>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</si>
  <si>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</si>
  <si>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</si>
  <si>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</si>
  <si>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</si>
  <si>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</si>
  <si>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</si>
  <si>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</si>
  <si>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</si>
  <si>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</si>
  <si>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</si>
  <si>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</si>
  <si>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</si>
  <si>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</si>
  <si>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</si>
  <si>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</si>
  <si>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</si>
  <si>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</si>
  <si>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</si>
  <si>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</si>
  <si>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</si>
  <si>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</si>
  <si>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</si>
  <si>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</si>
  <si>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</si>
  <si>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</si>
  <si>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</si>
  <si>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</si>
  <si>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</si>
  <si>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</si>
  <si>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</si>
  <si>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</si>
  <si>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</si>
  <si>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</si>
  <si>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</si>
  <si>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</si>
  <si>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</si>
  <si>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</si>
  <si>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</si>
  <si>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</si>
  <si>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</si>
  <si>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</si>
  <si>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</si>
  <si>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</si>
  <si>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</si>
  <si>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</si>
  <si>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</si>
  <si>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</si>
  <si>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</si>
  <si>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19-022-0070-02</t>
  </si>
  <si>
    <t>DuPage</t>
  </si>
  <si>
    <t>Wood Dale School District No. 7</t>
  </si>
  <si>
    <t>543 North Wood Dale Road</t>
  </si>
  <si>
    <t xml:space="preserve">Wood Dale </t>
  </si>
  <si>
    <t>swilt@wdsd7.org</t>
  </si>
  <si>
    <t>60191-1587</t>
  </si>
  <si>
    <t>bmathieson@MMAadvisors.com</t>
  </si>
  <si>
    <t>Coordinate with Fenton H.S. and Bensenville District 2</t>
  </si>
  <si>
    <t>Educational Benefit Cooperative (EBC)</t>
  </si>
  <si>
    <t>Illinois Gas Cooperative and Vanguard Energy</t>
  </si>
  <si>
    <t>Dist. 7 shares equip with other local parks and school districts</t>
  </si>
  <si>
    <t>School Employees Loss Fund (SELF) and Suburban School</t>
  </si>
  <si>
    <t>Illinois School District Liquid Asset Fund (ISDLAF)</t>
  </si>
  <si>
    <t>Wood Dale Tax Appeal Consortium</t>
  </si>
  <si>
    <t>Wood Dale Park District</t>
  </si>
  <si>
    <t>Participate with other local school districts</t>
  </si>
  <si>
    <t>North DuPage Special Ed Cooperative (NDSEC)</t>
  </si>
  <si>
    <t>State programs for maintenance supplies and copy paper</t>
  </si>
  <si>
    <t>Special Ed Coop uses consolidated bid for transportation</t>
  </si>
  <si>
    <t>Wood Dale City Salt Purchases</t>
  </si>
  <si>
    <t>Wood Dale Community Newsletter</t>
  </si>
  <si>
    <t>Series 2005A</t>
  </si>
  <si>
    <t>Series 2013</t>
  </si>
  <si>
    <t>Series 2014</t>
  </si>
  <si>
    <t>Series 2015</t>
  </si>
  <si>
    <t>Canon Copiers</t>
  </si>
  <si>
    <t>1,3</t>
  </si>
  <si>
    <t>Capital Lease</t>
  </si>
  <si>
    <t>Fox Valley Fire and Safety</t>
  </si>
  <si>
    <t>Arbor Management</t>
  </si>
  <si>
    <t>Comcast Business</t>
  </si>
  <si>
    <t>Schindler Elevator</t>
  </si>
  <si>
    <t>Flood Brothers</t>
  </si>
  <si>
    <t>20-2540-300</t>
  </si>
  <si>
    <t>10-2560-300</t>
  </si>
  <si>
    <t>ED-Food Services-Purchased services</t>
  </si>
  <si>
    <t>O&amp;M-Operation &amp; Maintenance of Plant Services-Purchased Services</t>
  </si>
  <si>
    <r>
      <t xml:space="preserve">The following amounts were expended in the form of non-cash assistance by </t>
    </r>
    <r>
      <rPr>
        <b/>
        <sz val="9"/>
        <rFont val="Calibri"/>
        <family val="2"/>
        <scheme val="minor"/>
      </rPr>
      <t>Wood Dale School District No.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</si>
  <si>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Year Ended June 30, 2018</t>
  </si>
  <si>
    <t>Page 1 of 2</t>
  </si>
  <si>
    <t>ISBE</t>
  </si>
  <si>
    <t xml:space="preserve">  Federal Grantor/Pass-Through Grantor/</t>
  </si>
  <si>
    <t>Project Number</t>
  </si>
  <si>
    <t>Expenditure/Disbursements</t>
  </si>
  <si>
    <t>Number</t>
  </si>
  <si>
    <t>7-1-16 to</t>
  </si>
  <si>
    <t>7-1-17 to</t>
  </si>
  <si>
    <t>Year 7-1-16 to</t>
  </si>
  <si>
    <t>Year 7-1-17 to</t>
  </si>
  <si>
    <t>Final</t>
  </si>
  <si>
    <t>or Contract #</t>
  </si>
  <si>
    <t>6-30-17</t>
  </si>
  <si>
    <t>6-30-18</t>
  </si>
  <si>
    <t xml:space="preserve">Pass through to </t>
  </si>
  <si>
    <t>U.S. Department of Education:</t>
  </si>
  <si>
    <t>Illinois State Board of Education:</t>
  </si>
  <si>
    <t>(1)</t>
  </si>
  <si>
    <r>
      <t xml:space="preserve">Title I - Low Income </t>
    </r>
    <r>
      <rPr>
        <b/>
        <sz val="9"/>
        <rFont val="Times New Roman"/>
        <family val="1"/>
      </rPr>
      <t>(M)</t>
    </r>
  </si>
  <si>
    <t>84.010A</t>
  </si>
  <si>
    <t>17-4300-00</t>
  </si>
  <si>
    <t>18-4300-00</t>
  </si>
  <si>
    <t>Subtotal 84.010A</t>
  </si>
  <si>
    <t>84.367A</t>
  </si>
  <si>
    <t>18-4932-00</t>
  </si>
  <si>
    <t>17-4932-00</t>
  </si>
  <si>
    <t>Title III - LIPLEP</t>
  </si>
  <si>
    <t>84.365A</t>
  </si>
  <si>
    <t>17-4909-00</t>
  </si>
  <si>
    <t>18-4909-00</t>
  </si>
  <si>
    <t>(3)</t>
  </si>
  <si>
    <r>
      <t xml:space="preserve">I.D.E.A. Room &amp; Board </t>
    </r>
    <r>
      <rPr>
        <b/>
        <sz val="9"/>
        <rFont val="Times New Roman"/>
        <family val="1"/>
      </rPr>
      <t>(M)</t>
    </r>
  </si>
  <si>
    <t>84.027A</t>
  </si>
  <si>
    <t>14-4625-XC</t>
  </si>
  <si>
    <t>Title III - IEP</t>
  </si>
  <si>
    <t>17-4905-00</t>
  </si>
  <si>
    <t>(2)</t>
  </si>
  <si>
    <t>Title III - Sheltered Instruction</t>
  </si>
  <si>
    <t>16-4998-00</t>
  </si>
  <si>
    <t>Title III - Bilingual Ed Excellence Grant</t>
  </si>
  <si>
    <t>Subtotal 84.365A</t>
  </si>
  <si>
    <t>17-4625-XC</t>
  </si>
  <si>
    <t>N/A</t>
  </si>
  <si>
    <t>North DuPage Special Education Cooperative:</t>
  </si>
  <si>
    <r>
      <t xml:space="preserve">I.D.E.A. Part B Flowthrough </t>
    </r>
    <r>
      <rPr>
        <b/>
        <sz val="9"/>
        <rFont val="Times New Roman"/>
        <family val="1"/>
      </rPr>
      <t>(M)</t>
    </r>
  </si>
  <si>
    <t>18-4620-00</t>
  </si>
  <si>
    <t>17-4620-00</t>
  </si>
  <si>
    <t>Subtotal 84.027A</t>
  </si>
  <si>
    <r>
      <t xml:space="preserve">I.D.E.A. Preschool Flowthrough </t>
    </r>
    <r>
      <rPr>
        <b/>
        <sz val="9"/>
        <rFont val="Times New Roman"/>
        <family val="1"/>
      </rPr>
      <t>(M)</t>
    </r>
  </si>
  <si>
    <t>84.173A</t>
  </si>
  <si>
    <t>17-4600-00</t>
  </si>
  <si>
    <t>18-4600-00</t>
  </si>
  <si>
    <t>Subtotal 84.173A</t>
  </si>
  <si>
    <t>TOTAL U.S. DEPARTMENT OF EDUCATION</t>
  </si>
  <si>
    <t>Page 2 of 2</t>
  </si>
  <si>
    <t>U.S. Department of Agriculture:</t>
  </si>
  <si>
    <t xml:space="preserve">School Lunch Program </t>
  </si>
  <si>
    <t>10.555</t>
  </si>
  <si>
    <t>17-4210-00</t>
  </si>
  <si>
    <t>18-4210-00</t>
  </si>
  <si>
    <t>Non-Cash USDA Foods</t>
  </si>
  <si>
    <t>17-4299-00</t>
  </si>
  <si>
    <t>18-4299-00</t>
  </si>
  <si>
    <t>DoD Fruits and Vegetables</t>
  </si>
  <si>
    <t>Subtotal 10.555</t>
  </si>
  <si>
    <t xml:space="preserve">Special Milk Program </t>
  </si>
  <si>
    <t>10.556</t>
  </si>
  <si>
    <t>17-4215-00</t>
  </si>
  <si>
    <t>18-4215-00</t>
  </si>
  <si>
    <t>Subtotal 10.556</t>
  </si>
  <si>
    <t xml:space="preserve">School Breakfast Program </t>
  </si>
  <si>
    <t>10.553</t>
  </si>
  <si>
    <t>17-4220-00</t>
  </si>
  <si>
    <t>18-4220-00</t>
  </si>
  <si>
    <t>Subtotal 10.553</t>
  </si>
  <si>
    <t>TOTAL U.S. DEPARTMENT OF AGRICULTURE</t>
  </si>
  <si>
    <t>Department of Health and Human Services:</t>
  </si>
  <si>
    <t>Illinois Department of Healthcare and Family Services:</t>
  </si>
  <si>
    <t>Medicaid Administrative Outreach</t>
  </si>
  <si>
    <t>93.778</t>
  </si>
  <si>
    <t>17-4991-00</t>
  </si>
  <si>
    <t>18-4991-00</t>
  </si>
  <si>
    <t>Subtotal 93.778</t>
  </si>
  <si>
    <t>TOTAL DEPT. OF HEALTH AND HUMAN SERVICES</t>
  </si>
  <si>
    <t>TOTAL FEDERAL FUNDING</t>
  </si>
  <si>
    <r>
      <t xml:space="preserve">(M) Program was audited as Major Program by </t>
    </r>
    <r>
      <rPr>
        <b/>
        <sz val="9"/>
        <rFont val="Calibri"/>
        <family val="2"/>
      </rPr>
      <t>§</t>
    </r>
    <r>
      <rPr>
        <b/>
        <sz val="9"/>
        <rFont val="Times New Roman"/>
        <family val="1"/>
      </rPr>
      <t>200.518</t>
    </r>
  </si>
  <si>
    <t>(1) Project ends August 31</t>
  </si>
  <si>
    <t>(2) Project ends September 30</t>
  </si>
  <si>
    <t>(3) Project ends October 31</t>
  </si>
  <si>
    <t>Unmodified</t>
  </si>
  <si>
    <t>84.027 and 80.173</t>
  </si>
  <si>
    <t>Special Education Cluster</t>
  </si>
  <si>
    <t>None</t>
  </si>
  <si>
    <t>2017-001</t>
  </si>
  <si>
    <t>Brett J. Mathieson</t>
  </si>
  <si>
    <t xml:space="preserve">The District made changes to the internal account </t>
  </si>
  <si>
    <t>structure during FY17, which caused some accounts</t>
  </si>
  <si>
    <t>to be overlooked when coding expenditures. This</t>
  </si>
  <si>
    <t>was corrected in FY18.</t>
  </si>
  <si>
    <t>Rounding</t>
  </si>
  <si>
    <r>
      <t xml:space="preserve">The accompanying Schedule of Expenditures of Federal Awards includes the federal grant activity of </t>
    </r>
    <r>
      <rPr>
        <b/>
        <sz val="9"/>
        <rFont val="Calibri"/>
        <family val="2"/>
        <scheme val="minor"/>
      </rPr>
      <t>Wood Dale School District No. 7</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</si>
  <si>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the District </t>
    </r>
    <r>
      <rPr>
        <sz val="9"/>
        <rFont val="Calibri"/>
        <family val="2"/>
        <scheme val="minor"/>
      </rPr>
      <t>provided federal awards to subrecipients as follows:</t>
    </r>
  </si>
  <si>
    <t>The District claimed expenditures on the grant</t>
  </si>
  <si>
    <t>expenditure reports that did not match the</t>
  </si>
  <si>
    <t>accounts in the general ledger system.</t>
  </si>
  <si>
    <t>Wood Dale 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</si>
</sst>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 numFmtId="182"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10"/>
      <name val="Times New Roman"/>
      <family val="1"/>
    </font>
    <font>
      <sz val="9"/>
      <name val="Times New Roman"/>
      <family val="1"/>
    </font>
    <font>
      <b/>
      <sz val="9"/>
      <name val="Times New Roman"/>
      <family val="1"/>
    </font>
    <font>
      <b/>
      <sz val="9"/>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8"/>
      </right>
      <top style="double">
        <color indexed="64"/>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diagonal/>
    </border>
    <border>
      <left style="thin">
        <color indexed="8"/>
      </left>
      <right style="thin">
        <color indexed="8"/>
      </right>
      <top style="thin">
        <color indexed="64"/>
      </top>
      <bottom/>
      <diagonal/>
    </border>
    <border>
      <left style="thin">
        <color indexed="64"/>
      </left>
      <right/>
      <top/>
      <bottom style="double">
        <color indexed="8"/>
      </bottom>
      <diagonal/>
    </border>
    <border>
      <left/>
      <right/>
      <top/>
      <bottom style="double">
        <color indexed="8"/>
      </bottom>
      <diagonal/>
    </border>
    <border>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thin">
        <color indexed="64"/>
      </right>
      <top/>
      <bottom style="double">
        <color indexed="8"/>
      </bottom>
      <diagonal/>
    </border>
    <border>
      <left/>
      <right style="thin">
        <color indexed="8"/>
      </right>
      <top style="thin">
        <color indexed="64"/>
      </top>
      <bottom/>
      <diagonal/>
    </border>
    <border>
      <left style="thin">
        <color indexed="8"/>
      </left>
      <right style="thin">
        <color indexed="64"/>
      </right>
      <top style="double">
        <color indexed="8"/>
      </top>
      <bottom/>
      <diagonal/>
    </border>
    <border>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8"/>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8"/>
      </right>
      <top/>
      <bottom style="medium">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6" fillId="0" borderId="0"/>
  </cellStyleXfs>
  <cellXfs count="26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37" fontId="136" fillId="0" borderId="166" xfId="20" applyFill="1" applyBorder="1"/>
    <xf numFmtId="37" fontId="136" fillId="0" borderId="167" xfId="20" applyFill="1" applyBorder="1"/>
    <xf numFmtId="37" fontId="136" fillId="0" borderId="168" xfId="20" applyFill="1" applyBorder="1"/>
    <xf numFmtId="37" fontId="136" fillId="0" borderId="169" xfId="20" applyFill="1" applyBorder="1"/>
    <xf numFmtId="37" fontId="136" fillId="0" borderId="170" xfId="20" applyFill="1" applyBorder="1" applyAlignment="1">
      <alignment horizontal="center"/>
    </xf>
    <xf numFmtId="37" fontId="136" fillId="0" borderId="0" xfId="20" applyFill="1"/>
    <xf numFmtId="37" fontId="136" fillId="0" borderId="170" xfId="20" applyFill="1" applyBorder="1"/>
    <xf numFmtId="37" fontId="136" fillId="0" borderId="0" xfId="20" applyFill="1" applyBorder="1"/>
    <xf numFmtId="37" fontId="136" fillId="0" borderId="97" xfId="20" applyFill="1" applyBorder="1"/>
    <xf numFmtId="37" fontId="136" fillId="0" borderId="171" xfId="20" applyFill="1" applyBorder="1" applyAlignment="1">
      <alignment horizontal="center"/>
    </xf>
    <xf numFmtId="37" fontId="136" fillId="0" borderId="96" xfId="20" applyFill="1" applyBorder="1" applyAlignment="1" applyProtection="1">
      <alignment horizontal="centerContinuous"/>
    </xf>
    <xf numFmtId="37" fontId="136" fillId="0" borderId="0" xfId="20" applyFill="1" applyBorder="1" applyAlignment="1">
      <alignment horizontal="centerContinuous"/>
    </xf>
    <xf numFmtId="37" fontId="136" fillId="0" borderId="170" xfId="20" applyFill="1" applyBorder="1" applyAlignment="1">
      <alignment horizontal="centerContinuous"/>
    </xf>
    <xf numFmtId="37" fontId="136" fillId="0" borderId="169" xfId="20" applyFill="1" applyBorder="1" applyAlignment="1" applyProtection="1">
      <alignment horizontal="center"/>
    </xf>
    <xf numFmtId="37" fontId="136" fillId="0" borderId="170" xfId="20" applyFill="1" applyBorder="1" applyAlignment="1" applyProtection="1">
      <alignment horizontal="centerContinuous"/>
    </xf>
    <xf numFmtId="37" fontId="136" fillId="0" borderId="172" xfId="20" applyFill="1" applyBorder="1" applyAlignment="1" applyProtection="1">
      <alignment horizontal="centerContinuous"/>
    </xf>
    <xf numFmtId="37" fontId="136" fillId="0" borderId="173" xfId="20" applyFill="1" applyBorder="1" applyAlignment="1">
      <alignment horizontal="centerContinuous"/>
    </xf>
    <xf numFmtId="37" fontId="136" fillId="0" borderId="174" xfId="20" applyFill="1" applyBorder="1" applyAlignment="1">
      <alignment horizontal="center"/>
    </xf>
    <xf numFmtId="37" fontId="0" fillId="0" borderId="170" xfId="20" quotePrefix="1" applyFont="1" applyFill="1" applyBorder="1" applyAlignment="1" applyProtection="1">
      <alignment horizontal="center"/>
    </xf>
    <xf numFmtId="37" fontId="0" fillId="0" borderId="175" xfId="20" quotePrefix="1" applyFont="1" applyFill="1" applyBorder="1" applyAlignment="1" applyProtection="1">
      <alignment horizontal="center"/>
    </xf>
    <xf numFmtId="37" fontId="136" fillId="0" borderId="170" xfId="20" applyFill="1" applyBorder="1" applyAlignment="1" applyProtection="1">
      <alignment horizontal="center"/>
    </xf>
    <xf numFmtId="37" fontId="136" fillId="0" borderId="174" xfId="20" applyFill="1" applyBorder="1" applyAlignment="1" applyProtection="1">
      <alignment horizontal="center"/>
    </xf>
    <xf numFmtId="37" fontId="136" fillId="0" borderId="174" xfId="20" applyFill="1" applyBorder="1"/>
    <xf numFmtId="37" fontId="136" fillId="0" borderId="176" xfId="20" applyFill="1" applyBorder="1" applyAlignment="1">
      <alignment horizontal="centerContinuous"/>
    </xf>
    <xf numFmtId="37" fontId="136" fillId="0" borderId="177" xfId="20" applyFill="1" applyBorder="1" applyAlignment="1">
      <alignment horizontal="centerContinuous"/>
    </xf>
    <xf numFmtId="37" fontId="136" fillId="0" borderId="178" xfId="20" applyFill="1" applyBorder="1" applyAlignment="1">
      <alignment horizontal="centerContinuous"/>
    </xf>
    <xf numFmtId="37" fontId="136" fillId="0" borderId="179" xfId="20" applyFill="1" applyBorder="1" applyAlignment="1" applyProtection="1">
      <alignment horizontal="center"/>
    </xf>
    <xf numFmtId="37" fontId="136" fillId="0" borderId="178" xfId="20" applyFill="1" applyBorder="1" applyAlignment="1" applyProtection="1">
      <alignment horizontal="centerContinuous"/>
    </xf>
    <xf numFmtId="37" fontId="136" fillId="0" borderId="178" xfId="20" applyFill="1" applyBorder="1" applyAlignment="1" applyProtection="1">
      <alignment horizontal="center"/>
    </xf>
    <xf numFmtId="37" fontId="136" fillId="0" borderId="180" xfId="20" applyFill="1" applyBorder="1" applyAlignment="1" applyProtection="1">
      <alignment horizontal="center"/>
    </xf>
    <xf numFmtId="37" fontId="0" fillId="0" borderId="170" xfId="20" applyFont="1" applyFill="1" applyBorder="1" applyAlignment="1">
      <alignment horizontal="center"/>
    </xf>
    <xf numFmtId="37" fontId="136" fillId="0" borderId="96" xfId="20" applyFill="1" applyBorder="1" applyAlignment="1">
      <alignment horizontal="centerContinuous"/>
    </xf>
    <xf numFmtId="182" fontId="139" fillId="0" borderId="170" xfId="1" applyNumberFormat="1" applyFont="1" applyFill="1" applyBorder="1" applyProtection="1"/>
    <xf numFmtId="37" fontId="138" fillId="0" borderId="0" xfId="20" applyFont="1" applyFill="1"/>
    <xf numFmtId="37" fontId="138" fillId="0" borderId="0" xfId="20" applyFont="1" applyFill="1" applyAlignment="1" applyProtection="1">
      <alignment horizontal="center"/>
    </xf>
    <xf numFmtId="37" fontId="138" fillId="0" borderId="140" xfId="20" applyFont="1" applyFill="1" applyBorder="1"/>
    <xf numFmtId="37" fontId="138" fillId="0" borderId="141" xfId="20" applyFont="1" applyFill="1" applyBorder="1"/>
    <xf numFmtId="37" fontId="138" fillId="0" borderId="181" xfId="20" applyFont="1" applyFill="1" applyBorder="1"/>
    <xf numFmtId="37" fontId="138" fillId="0" borderId="182" xfId="20" applyFont="1" applyFill="1" applyBorder="1"/>
    <xf numFmtId="37" fontId="138" fillId="0" borderId="142" xfId="20" applyFont="1" applyFill="1" applyBorder="1" applyAlignment="1">
      <alignment horizontal="center"/>
    </xf>
    <xf numFmtId="37" fontId="138" fillId="0" borderId="96" xfId="20" applyFont="1" applyFill="1" applyBorder="1"/>
    <xf numFmtId="37" fontId="138" fillId="0" borderId="0" xfId="20" applyFont="1" applyFill="1" applyBorder="1"/>
    <xf numFmtId="37" fontId="138" fillId="0" borderId="170" xfId="20" applyFont="1" applyFill="1" applyBorder="1"/>
    <xf numFmtId="41" fontId="138" fillId="0" borderId="170" xfId="20" applyNumberFormat="1" applyFont="1" applyFill="1" applyBorder="1"/>
    <xf numFmtId="41" fontId="138" fillId="0" borderId="174" xfId="20" applyNumberFormat="1" applyFont="1" applyFill="1" applyBorder="1" applyAlignment="1">
      <alignment horizontal="center"/>
    </xf>
    <xf numFmtId="37" fontId="139" fillId="0" borderId="96" xfId="20" applyFont="1" applyFill="1" applyBorder="1" applyAlignment="1" applyProtection="1">
      <alignment horizontal="left"/>
    </xf>
    <xf numFmtId="37" fontId="139" fillId="0" borderId="0" xfId="20" applyFont="1" applyFill="1" applyBorder="1"/>
    <xf numFmtId="37" fontId="139" fillId="0" borderId="170" xfId="20" applyFont="1" applyFill="1" applyBorder="1"/>
    <xf numFmtId="41" fontId="139" fillId="0" borderId="174" xfId="20" applyNumberFormat="1" applyFont="1" applyFill="1" applyBorder="1" applyProtection="1"/>
    <xf numFmtId="37" fontId="138" fillId="0" borderId="141" xfId="20" applyFont="1" applyFill="1" applyBorder="1" applyAlignment="1">
      <alignment horizontal="center"/>
    </xf>
    <xf numFmtId="37" fontId="138" fillId="0" borderId="0" xfId="20" applyFont="1" applyFill="1" applyBorder="1" applyAlignment="1">
      <alignment horizontal="center"/>
    </xf>
    <xf numFmtId="37" fontId="138" fillId="0" borderId="96" xfId="20" applyFont="1" applyFill="1" applyBorder="1" applyAlignment="1">
      <alignment horizontal="left" indent="1"/>
    </xf>
    <xf numFmtId="181" fontId="138" fillId="0" borderId="0" xfId="20" quotePrefix="1" applyNumberFormat="1" applyFont="1" applyFill="1" applyBorder="1" applyAlignment="1" applyProtection="1">
      <alignment horizontal="center"/>
    </xf>
    <xf numFmtId="37" fontId="138" fillId="0" borderId="0" xfId="20" quotePrefix="1" applyFont="1" applyFill="1" applyBorder="1" applyAlignment="1" applyProtection="1">
      <alignment horizontal="center"/>
    </xf>
    <xf numFmtId="41" fontId="138" fillId="0" borderId="0" xfId="20" applyNumberFormat="1" applyFont="1" applyFill="1" applyBorder="1" applyProtection="1"/>
    <xf numFmtId="37" fontId="138" fillId="0" borderId="97" xfId="20" applyFont="1" applyFill="1" applyBorder="1" applyAlignment="1" applyProtection="1">
      <alignment horizontal="center"/>
    </xf>
    <xf numFmtId="37" fontId="139" fillId="0" borderId="0" xfId="20" quotePrefix="1" applyFont="1" applyFill="1" applyBorder="1" applyAlignment="1" applyProtection="1">
      <alignment horizontal="right"/>
    </xf>
    <xf numFmtId="37" fontId="139" fillId="0" borderId="0" xfId="20" quotePrefix="1" applyFont="1" applyFill="1" applyBorder="1" applyAlignment="1" applyProtection="1"/>
    <xf numFmtId="37" fontId="139" fillId="0" borderId="0" xfId="20" quotePrefix="1" applyFont="1" applyFill="1" applyBorder="1" applyAlignment="1" applyProtection="1">
      <alignment horizontal="left"/>
    </xf>
    <xf numFmtId="37" fontId="138" fillId="0" borderId="0" xfId="20" applyFont="1" applyFill="1" applyAlignment="1">
      <alignment horizontal="center"/>
    </xf>
    <xf numFmtId="37" fontId="139" fillId="0" borderId="98" xfId="20" applyFont="1" applyFill="1" applyBorder="1" applyAlignment="1" applyProtection="1">
      <alignment horizontal="left"/>
    </xf>
    <xf numFmtId="37" fontId="138" fillId="0" borderId="78" xfId="20" applyFont="1" applyFill="1" applyBorder="1"/>
    <xf numFmtId="37" fontId="138" fillId="0" borderId="183" xfId="20" applyFont="1" applyFill="1" applyBorder="1"/>
    <xf numFmtId="37" fontId="138" fillId="0" borderId="99" xfId="20" applyFont="1" applyFill="1" applyBorder="1" applyAlignment="1">
      <alignment horizontal="center"/>
    </xf>
    <xf numFmtId="37" fontId="138" fillId="0" borderId="140" xfId="20" applyFont="1" applyFill="1" applyBorder="1" applyAlignment="1" applyProtection="1">
      <alignment horizontal="left"/>
    </xf>
    <xf numFmtId="49" fontId="138" fillId="0" borderId="181" xfId="20" applyNumberFormat="1" applyFont="1" applyFill="1" applyBorder="1" applyAlignment="1">
      <alignment horizontal="center"/>
    </xf>
    <xf numFmtId="41" fontId="138" fillId="0" borderId="181" xfId="20" quotePrefix="1" applyNumberFormat="1" applyFont="1" applyFill="1" applyBorder="1" applyAlignment="1" applyProtection="1">
      <alignment horizontal="center"/>
    </xf>
    <xf numFmtId="37" fontId="138" fillId="0" borderId="98" xfId="20" applyFont="1" applyFill="1" applyBorder="1" applyAlignment="1" applyProtection="1">
      <alignment horizontal="left" indent="1"/>
    </xf>
    <xf numFmtId="37" fontId="138" fillId="0" borderId="183" xfId="20" quotePrefix="1" applyFont="1" applyFill="1" applyBorder="1" applyAlignment="1" applyProtection="1">
      <alignment horizontal="center"/>
    </xf>
    <xf numFmtId="41" fontId="138" fillId="0" borderId="183" xfId="20" applyNumberFormat="1" applyFont="1" applyFill="1" applyBorder="1" applyProtection="1"/>
    <xf numFmtId="41" fontId="138" fillId="0" borderId="184" xfId="20" applyNumberFormat="1" applyFont="1" applyFill="1" applyBorder="1" applyAlignment="1" applyProtection="1">
      <alignment horizontal="center"/>
    </xf>
    <xf numFmtId="41" fontId="138" fillId="0" borderId="181" xfId="20" applyNumberFormat="1" applyFont="1" applyFill="1" applyBorder="1"/>
    <xf numFmtId="41" fontId="138" fillId="0" borderId="181" xfId="20" quotePrefix="1" applyNumberFormat="1" applyFont="1" applyFill="1" applyBorder="1" applyAlignment="1">
      <alignment horizontal="center"/>
    </xf>
    <xf numFmtId="41" fontId="138" fillId="0" borderId="185" xfId="20" applyNumberFormat="1" applyFont="1" applyFill="1" applyBorder="1" applyAlignment="1" applyProtection="1">
      <alignment horizontal="center"/>
    </xf>
    <xf numFmtId="37" fontId="138" fillId="0" borderId="98" xfId="20" applyFont="1" applyFill="1" applyBorder="1" applyAlignment="1" applyProtection="1">
      <alignment horizontal="left"/>
    </xf>
    <xf numFmtId="37" fontId="138" fillId="0" borderId="96" xfId="20" applyFont="1" applyFill="1" applyBorder="1" applyAlignment="1" applyProtection="1">
      <alignment horizontal="left"/>
    </xf>
    <xf numFmtId="37" fontId="138" fillId="0" borderId="170" xfId="20" quotePrefix="1" applyFont="1" applyFill="1" applyBorder="1" applyAlignment="1" applyProtection="1">
      <alignment horizontal="center"/>
    </xf>
    <xf numFmtId="41" fontId="138" fillId="0" borderId="170" xfId="20" applyNumberFormat="1" applyFont="1" applyFill="1" applyBorder="1" applyProtection="1"/>
    <xf numFmtId="41" fontId="138" fillId="0" borderId="174" xfId="20" applyNumberFormat="1" applyFont="1" applyFill="1" applyBorder="1" applyAlignment="1" applyProtection="1">
      <alignment horizontal="center"/>
    </xf>
    <xf numFmtId="37" fontId="138" fillId="0" borderId="140" xfId="20" quotePrefix="1" applyFont="1" applyFill="1" applyBorder="1" applyAlignment="1">
      <alignment horizontal="left" indent="1"/>
    </xf>
    <xf numFmtId="41" fontId="138" fillId="0" borderId="185" xfId="20" applyNumberFormat="1" applyFont="1" applyFill="1" applyBorder="1" applyAlignment="1">
      <alignment horizontal="center"/>
    </xf>
    <xf numFmtId="37" fontId="138" fillId="0" borderId="181" xfId="20" quotePrefix="1" applyFont="1" applyFill="1" applyBorder="1" applyAlignment="1" applyProtection="1">
      <alignment horizontal="center"/>
    </xf>
    <xf numFmtId="41" fontId="138" fillId="0" borderId="181" xfId="20" applyNumberFormat="1" applyFont="1" applyFill="1" applyBorder="1" applyAlignment="1">
      <alignment horizontal="center"/>
    </xf>
    <xf numFmtId="41" fontId="138" fillId="0" borderId="181" xfId="20" applyNumberFormat="1" applyFont="1" applyFill="1" applyBorder="1" applyProtection="1"/>
    <xf numFmtId="0" fontId="138" fillId="0" borderId="183" xfId="20" quotePrefix="1" applyNumberFormat="1" applyFont="1" applyFill="1" applyBorder="1" applyAlignment="1" applyProtection="1">
      <alignment horizontal="center"/>
    </xf>
    <xf numFmtId="37" fontId="138" fillId="0" borderId="96" xfId="20" applyFont="1" applyFill="1" applyBorder="1" applyAlignment="1" applyProtection="1">
      <alignment horizontal="left" indent="1"/>
    </xf>
    <xf numFmtId="0" fontId="138" fillId="0" borderId="170" xfId="20" quotePrefix="1" applyNumberFormat="1" applyFont="1" applyFill="1" applyBorder="1" applyAlignment="1" applyProtection="1">
      <alignment horizontal="center"/>
    </xf>
    <xf numFmtId="41" fontId="138" fillId="0" borderId="170" xfId="20" quotePrefix="1" applyNumberFormat="1" applyFont="1" applyFill="1" applyBorder="1" applyAlignment="1" applyProtection="1">
      <alignment horizontal="center"/>
    </xf>
    <xf numFmtId="41" fontId="138" fillId="0" borderId="170" xfId="20" quotePrefix="1" applyNumberFormat="1" applyFont="1" applyFill="1" applyBorder="1" applyAlignment="1">
      <alignment horizontal="center"/>
    </xf>
    <xf numFmtId="37" fontId="138" fillId="0" borderId="140" xfId="20" applyFont="1" applyFill="1" applyBorder="1" applyAlignment="1" applyProtection="1">
      <alignment horizontal="left" indent="1"/>
    </xf>
    <xf numFmtId="37" fontId="138" fillId="0" borderId="142" xfId="20" applyFont="1" applyFill="1" applyBorder="1"/>
    <xf numFmtId="0" fontId="138" fillId="0" borderId="150" xfId="20" quotePrefix="1" applyNumberFormat="1" applyFont="1" applyFill="1" applyBorder="1" applyAlignment="1" applyProtection="1">
      <alignment horizontal="center"/>
    </xf>
    <xf numFmtId="37" fontId="138" fillId="0" borderId="77" xfId="20" quotePrefix="1" applyFont="1" applyFill="1" applyBorder="1" applyAlignment="1" applyProtection="1">
      <alignment horizontal="center"/>
    </xf>
    <xf numFmtId="41" fontId="138" fillId="0" borderId="77" xfId="20" applyNumberFormat="1" applyFont="1" applyFill="1" applyBorder="1" applyProtection="1"/>
    <xf numFmtId="41" fontId="138" fillId="0" borderId="77" xfId="20" applyNumberFormat="1" applyFont="1" applyFill="1" applyBorder="1" applyAlignment="1" applyProtection="1">
      <alignment horizontal="center"/>
    </xf>
    <xf numFmtId="0" fontId="138" fillId="0" borderId="142" xfId="20" quotePrefix="1" applyNumberFormat="1" applyFont="1" applyFill="1" applyBorder="1" applyAlignment="1" applyProtection="1">
      <alignment horizontal="center"/>
    </xf>
    <xf numFmtId="37" fontId="138" fillId="0" borderId="156" xfId="20" quotePrefix="1" applyFont="1" applyFill="1" applyBorder="1" applyAlignment="1" applyProtection="1">
      <alignment horizontal="center"/>
    </xf>
    <xf numFmtId="41" fontId="138" fillId="0" borderId="156" xfId="20" applyNumberFormat="1" applyFont="1" applyFill="1" applyBorder="1" applyProtection="1"/>
    <xf numFmtId="41" fontId="138" fillId="0" borderId="156" xfId="20" applyNumberFormat="1" applyFont="1" applyFill="1" applyBorder="1" applyAlignment="1" applyProtection="1">
      <alignment horizontal="center"/>
    </xf>
    <xf numFmtId="37" fontId="138" fillId="0" borderId="98" xfId="20" applyFont="1" applyFill="1" applyBorder="1" applyAlignment="1">
      <alignment horizontal="left" indent="1"/>
    </xf>
    <xf numFmtId="37" fontId="138" fillId="0" borderId="99" xfId="20" applyFont="1" applyFill="1" applyBorder="1"/>
    <xf numFmtId="41" fontId="138" fillId="0" borderId="181" xfId="20" applyNumberFormat="1" applyFont="1" applyFill="1" applyBorder="1" applyAlignment="1" applyProtection="1">
      <alignment horizontal="center"/>
    </xf>
    <xf numFmtId="37" fontId="138" fillId="0" borderId="181" xfId="20" applyFont="1" applyFill="1" applyBorder="1" applyAlignment="1" applyProtection="1">
      <alignment horizontal="center"/>
    </xf>
    <xf numFmtId="181" fontId="138" fillId="0" borderId="186" xfId="20" quotePrefix="1" applyNumberFormat="1" applyFont="1" applyFill="1" applyBorder="1" applyAlignment="1" applyProtection="1">
      <alignment horizontal="center"/>
    </xf>
    <xf numFmtId="41" fontId="138" fillId="0" borderId="186" xfId="20" applyNumberFormat="1" applyFont="1" applyFill="1" applyBorder="1" applyProtection="1"/>
    <xf numFmtId="181" fontId="138" fillId="0" borderId="183" xfId="20" quotePrefix="1" applyNumberFormat="1" applyFont="1" applyFill="1" applyBorder="1" applyAlignment="1" applyProtection="1">
      <alignment horizontal="center"/>
    </xf>
    <xf numFmtId="41" fontId="138" fillId="0" borderId="183" xfId="20" applyNumberFormat="1" applyFont="1" applyFill="1" applyBorder="1"/>
    <xf numFmtId="37" fontId="138" fillId="0" borderId="187" xfId="20" applyFont="1" applyFill="1" applyBorder="1" applyAlignment="1">
      <alignment horizontal="left" indent="1"/>
    </xf>
    <xf numFmtId="37" fontId="138" fillId="0" borderId="188" xfId="20" applyFont="1" applyFill="1" applyBorder="1"/>
    <xf numFmtId="37" fontId="138" fillId="0" borderId="189" xfId="20" applyFont="1" applyFill="1" applyBorder="1"/>
    <xf numFmtId="181" fontId="138" fillId="0" borderId="189" xfId="20" quotePrefix="1" applyNumberFormat="1" applyFont="1" applyFill="1" applyBorder="1" applyAlignment="1" applyProtection="1">
      <alignment horizontal="center"/>
    </xf>
    <xf numFmtId="37" fontId="138" fillId="0" borderId="189" xfId="20" quotePrefix="1" applyFont="1" applyFill="1" applyBorder="1" applyAlignment="1" applyProtection="1">
      <alignment horizontal="center"/>
    </xf>
    <xf numFmtId="41" fontId="138" fillId="0" borderId="189" xfId="20" applyNumberFormat="1" applyFont="1" applyFill="1" applyBorder="1" applyProtection="1"/>
    <xf numFmtId="41" fontId="138" fillId="0" borderId="190" xfId="20" applyNumberFormat="1" applyFont="1" applyFill="1" applyBorder="1" applyAlignment="1" applyProtection="1">
      <alignment horizontal="center"/>
    </xf>
    <xf numFmtId="37" fontId="139" fillId="0" borderId="149" xfId="20" applyFont="1" applyFill="1" applyBorder="1" applyAlignment="1" applyProtection="1">
      <alignment horizontal="left"/>
    </xf>
    <xf numFmtId="37" fontId="138" fillId="0" borderId="76" xfId="20" applyFont="1" applyFill="1" applyBorder="1"/>
    <xf numFmtId="37" fontId="138" fillId="0" borderId="150" xfId="20" applyFont="1" applyFill="1" applyBorder="1"/>
    <xf numFmtId="37" fontId="138" fillId="0" borderId="77" xfId="20" applyFont="1" applyFill="1" applyBorder="1"/>
    <xf numFmtId="37" fontId="138" fillId="0" borderId="77" xfId="20" applyFont="1" applyFill="1" applyBorder="1" applyAlignment="1">
      <alignment horizontal="center"/>
    </xf>
    <xf numFmtId="37" fontId="138" fillId="0" borderId="97" xfId="20" applyFont="1" applyFill="1" applyBorder="1"/>
    <xf numFmtId="37" fontId="138" fillId="0" borderId="191" xfId="20" applyFont="1" applyFill="1" applyBorder="1" applyAlignment="1" applyProtection="1">
      <alignment horizontal="center"/>
    </xf>
    <xf numFmtId="49" fontId="138" fillId="0" borderId="156" xfId="20" applyNumberFormat="1" applyFont="1" applyFill="1" applyBorder="1" applyAlignment="1">
      <alignment horizontal="center"/>
    </xf>
    <xf numFmtId="37" fontId="138" fillId="0" borderId="156" xfId="20" applyFont="1" applyFill="1" applyBorder="1"/>
    <xf numFmtId="37" fontId="138" fillId="0" borderId="156" xfId="20" applyFont="1" applyFill="1" applyBorder="1" applyProtection="1"/>
    <xf numFmtId="41" fontId="138" fillId="0" borderId="156" xfId="20" quotePrefix="1" applyNumberFormat="1" applyFont="1" applyFill="1" applyBorder="1" applyAlignment="1">
      <alignment horizontal="center"/>
    </xf>
    <xf numFmtId="37" fontId="138" fillId="0" borderId="156" xfId="20" applyFont="1" applyFill="1" applyBorder="1" applyAlignment="1">
      <alignment horizontal="center"/>
    </xf>
    <xf numFmtId="37" fontId="138" fillId="0" borderId="183" xfId="20" applyFont="1" applyFill="1" applyBorder="1" applyAlignment="1" applyProtection="1">
      <alignment horizontal="center"/>
    </xf>
    <xf numFmtId="37" fontId="138" fillId="0" borderId="184" xfId="20" applyFont="1" applyFill="1" applyBorder="1" applyAlignment="1" applyProtection="1">
      <alignment horizontal="center"/>
    </xf>
    <xf numFmtId="37" fontId="138" fillId="0" borderId="185" xfId="20" applyFont="1" applyFill="1" applyBorder="1" applyAlignment="1">
      <alignment horizontal="center"/>
    </xf>
    <xf numFmtId="37" fontId="138" fillId="0" borderId="98" xfId="20" applyFont="1" applyFill="1" applyBorder="1"/>
    <xf numFmtId="37" fontId="138" fillId="0" borderId="96" xfId="20" quotePrefix="1" applyFont="1" applyFill="1" applyBorder="1" applyAlignment="1">
      <alignment horizontal="left" indent="1"/>
    </xf>
    <xf numFmtId="37" fontId="138" fillId="0" borderId="170" xfId="20" applyFont="1" applyFill="1" applyBorder="1" applyAlignment="1" applyProtection="1">
      <alignment horizontal="center"/>
    </xf>
    <xf numFmtId="37" fontId="138" fillId="0" borderId="174" xfId="20" applyFont="1" applyFill="1" applyBorder="1" applyAlignment="1" applyProtection="1">
      <alignment horizontal="center"/>
    </xf>
    <xf numFmtId="37" fontId="138" fillId="0" borderId="186" xfId="20" quotePrefix="1" applyFont="1" applyFill="1" applyBorder="1" applyAlignment="1" applyProtection="1">
      <alignment horizontal="center"/>
    </xf>
    <xf numFmtId="37" fontId="138" fillId="0" borderId="185" xfId="20" applyFont="1" applyFill="1" applyBorder="1" applyAlignment="1" applyProtection="1">
      <alignment horizontal="center"/>
    </xf>
    <xf numFmtId="181" fontId="138" fillId="0" borderId="98" xfId="20" quotePrefix="1" applyNumberFormat="1" applyFont="1" applyFill="1" applyBorder="1" applyAlignment="1" applyProtection="1">
      <alignment horizontal="center"/>
    </xf>
    <xf numFmtId="37" fontId="138" fillId="0" borderId="98" xfId="20" quotePrefix="1" applyFont="1" applyFill="1" applyBorder="1" applyAlignment="1" applyProtection="1">
      <alignment horizontal="center"/>
    </xf>
    <xf numFmtId="41" fontId="138" fillId="0" borderId="98" xfId="20" applyNumberFormat="1" applyFont="1" applyFill="1" applyBorder="1" applyProtection="1"/>
    <xf numFmtId="41" fontId="138" fillId="0" borderId="98" xfId="20" applyNumberFormat="1" applyFont="1" applyFill="1" applyBorder="1"/>
    <xf numFmtId="37" fontId="138" fillId="0" borderId="158" xfId="20" applyFont="1" applyFill="1" applyBorder="1" applyAlignment="1" applyProtection="1">
      <alignment horizontal="center"/>
    </xf>
    <xf numFmtId="181" fontId="138" fillId="0" borderId="191" xfId="20" quotePrefix="1" applyNumberFormat="1" applyFont="1" applyFill="1" applyBorder="1" applyAlignment="1" applyProtection="1">
      <alignment horizontal="center"/>
    </xf>
    <xf numFmtId="41" fontId="138" fillId="0" borderId="191" xfId="20" applyNumberFormat="1" applyFont="1" applyFill="1" applyBorder="1" applyProtection="1"/>
    <xf numFmtId="41" fontId="138" fillId="0" borderId="191" xfId="20" applyNumberFormat="1" applyFont="1" applyFill="1" applyBorder="1"/>
    <xf numFmtId="181" fontId="138" fillId="0" borderId="78" xfId="20" quotePrefix="1" applyNumberFormat="1" applyFont="1" applyFill="1" applyBorder="1" applyAlignment="1" applyProtection="1">
      <alignment horizontal="center"/>
    </xf>
    <xf numFmtId="41" fontId="138" fillId="0" borderId="158" xfId="20" applyNumberFormat="1" applyFont="1" applyFill="1" applyBorder="1" applyProtection="1"/>
    <xf numFmtId="41" fontId="138" fillId="0" borderId="158" xfId="20" applyNumberFormat="1" applyFont="1" applyFill="1" applyBorder="1"/>
    <xf numFmtId="37" fontId="138" fillId="0" borderId="99" xfId="20" applyFont="1" applyFill="1" applyBorder="1" applyAlignment="1" applyProtection="1">
      <alignment horizontal="center"/>
    </xf>
    <xf numFmtId="37" fontId="138" fillId="0" borderId="149" xfId="20" applyFont="1" applyFill="1" applyBorder="1" applyAlignment="1">
      <alignment horizontal="left" indent="1"/>
    </xf>
    <xf numFmtId="181" fontId="138" fillId="0" borderId="77" xfId="20" quotePrefix="1" applyNumberFormat="1" applyFont="1" applyFill="1" applyBorder="1" applyAlignment="1" applyProtection="1">
      <alignment horizontal="center"/>
    </xf>
    <xf numFmtId="37" fontId="138" fillId="0" borderId="149" xfId="20" quotePrefix="1" applyFont="1" applyFill="1" applyBorder="1" applyAlignment="1" applyProtection="1">
      <alignment horizontal="center"/>
    </xf>
    <xf numFmtId="41" fontId="138" fillId="0" borderId="149" xfId="20" applyNumberFormat="1" applyFont="1" applyFill="1" applyBorder="1" applyProtection="1"/>
    <xf numFmtId="37" fontId="138" fillId="0" borderId="77" xfId="20" applyFont="1" applyFill="1" applyBorder="1" applyAlignment="1" applyProtection="1">
      <alignment horizontal="center"/>
    </xf>
    <xf numFmtId="37" fontId="138" fillId="0" borderId="140" xfId="20" applyFont="1" applyFill="1" applyBorder="1" applyAlignment="1">
      <alignment horizontal="left" indent="1"/>
    </xf>
    <xf numFmtId="37" fontId="138" fillId="0" borderId="149" xfId="20" applyFont="1" applyFill="1" applyBorder="1"/>
    <xf numFmtId="37" fontId="138" fillId="0" borderId="192" xfId="20" applyFont="1" applyFill="1" applyBorder="1"/>
    <xf numFmtId="37" fontId="138" fillId="0" borderId="192" xfId="20" quotePrefix="1" applyFont="1" applyFill="1" applyBorder="1" applyAlignment="1" applyProtection="1">
      <alignment horizontal="center"/>
    </xf>
    <xf numFmtId="41" fontId="138" fillId="0" borderId="192" xfId="20" applyNumberFormat="1" applyFont="1" applyFill="1" applyBorder="1"/>
    <xf numFmtId="37" fontId="138" fillId="0" borderId="193" xfId="20" applyFont="1" applyFill="1" applyBorder="1" applyAlignment="1" applyProtection="1">
      <alignment horizontal="center"/>
    </xf>
    <xf numFmtId="181" fontId="138" fillId="0" borderId="170" xfId="20" quotePrefix="1" applyNumberFormat="1" applyFont="1" applyFill="1" applyBorder="1" applyAlignment="1" applyProtection="1">
      <alignment horizontal="center"/>
    </xf>
    <xf numFmtId="37" fontId="139" fillId="0" borderId="78" xfId="20" applyFont="1" applyFill="1" applyBorder="1"/>
    <xf numFmtId="37" fontId="139" fillId="0" borderId="183" xfId="20" applyFont="1" applyFill="1" applyBorder="1"/>
    <xf numFmtId="41" fontId="139" fillId="0" borderId="183" xfId="20" applyNumberFormat="1" applyFont="1" applyFill="1" applyBorder="1" applyProtection="1"/>
    <xf numFmtId="37" fontId="139" fillId="0" borderId="99" xfId="20" applyFont="1" applyFill="1" applyBorder="1" applyAlignment="1">
      <alignment horizontal="center"/>
    </xf>
    <xf numFmtId="37" fontId="139" fillId="0" borderId="140" xfId="20" applyFont="1" applyFill="1" applyBorder="1" applyAlignment="1" applyProtection="1">
      <alignment horizontal="left"/>
    </xf>
    <xf numFmtId="37" fontId="139" fillId="0" borderId="141" xfId="20" applyFont="1" applyFill="1" applyBorder="1"/>
    <xf numFmtId="37" fontId="139" fillId="0" borderId="142" xfId="20" applyFont="1" applyFill="1" applyBorder="1"/>
    <xf numFmtId="37" fontId="139" fillId="0" borderId="156" xfId="20" applyFont="1" applyFill="1" applyBorder="1"/>
    <xf numFmtId="41" fontId="139" fillId="0" borderId="156" xfId="20" applyNumberFormat="1" applyFont="1" applyFill="1" applyBorder="1" applyProtection="1"/>
    <xf numFmtId="41" fontId="139" fillId="0" borderId="0" xfId="20" applyNumberFormat="1" applyFont="1" applyFill="1" applyBorder="1" applyProtection="1"/>
    <xf numFmtId="37" fontId="139" fillId="0" borderId="156" xfId="20" applyFont="1" applyFill="1" applyBorder="1" applyAlignment="1">
      <alignment horizontal="center"/>
    </xf>
    <xf numFmtId="37" fontId="138" fillId="0" borderId="158" xfId="20" applyFont="1" applyFill="1" applyBorder="1"/>
    <xf numFmtId="37" fontId="138" fillId="0" borderId="158" xfId="20" applyFont="1" applyFill="1" applyBorder="1" applyAlignment="1">
      <alignment horizontal="center"/>
    </xf>
    <xf numFmtId="49" fontId="138" fillId="0" borderId="170" xfId="20" applyNumberFormat="1" applyFont="1" applyFill="1" applyBorder="1" applyAlignment="1">
      <alignment horizontal="center"/>
    </xf>
    <xf numFmtId="41" fontId="138" fillId="0" borderId="170" xfId="20" applyNumberFormat="1" applyFont="1" applyFill="1" applyBorder="1" applyAlignment="1" applyProtection="1">
      <alignment horizontal="center"/>
    </xf>
    <xf numFmtId="37" fontId="138" fillId="0" borderId="97" xfId="20" applyFont="1" applyFill="1" applyBorder="1" applyAlignment="1">
      <alignment horizontal="center"/>
    </xf>
    <xf numFmtId="41" fontId="138" fillId="0" borderId="186" xfId="20" applyNumberFormat="1" applyFont="1" applyFill="1" applyBorder="1"/>
    <xf numFmtId="37" fontId="138" fillId="0" borderId="187" xfId="20" applyFont="1" applyFill="1" applyBorder="1"/>
    <xf numFmtId="41" fontId="138" fillId="0" borderId="189" xfId="20" applyNumberFormat="1" applyFont="1" applyFill="1" applyBorder="1"/>
    <xf numFmtId="37" fontId="138" fillId="0" borderId="194" xfId="20" applyFont="1" applyFill="1" applyBorder="1" applyAlignment="1">
      <alignment horizontal="center"/>
    </xf>
    <xf numFmtId="37" fontId="138" fillId="0" borderId="195" xfId="20" applyFont="1" applyFill="1" applyBorder="1"/>
    <xf numFmtId="37" fontId="138" fillId="0" borderId="196" xfId="20" applyFont="1" applyFill="1" applyBorder="1"/>
    <xf numFmtId="41" fontId="138" fillId="0" borderId="196" xfId="20" applyNumberFormat="1" applyFont="1" applyFill="1" applyBorder="1"/>
    <xf numFmtId="37" fontId="139" fillId="0" borderId="197" xfId="20" applyFont="1" applyFill="1" applyBorder="1" applyAlignment="1" applyProtection="1">
      <alignment horizontal="left"/>
    </xf>
    <xf numFmtId="37" fontId="139" fillId="0" borderId="198" xfId="20" applyFont="1" applyFill="1" applyBorder="1"/>
    <xf numFmtId="37" fontId="139" fillId="0" borderId="199" xfId="20" applyFont="1" applyFill="1" applyBorder="1"/>
    <xf numFmtId="37" fontId="139" fillId="0" borderId="200" xfId="20" applyFont="1" applyFill="1" applyBorder="1"/>
    <xf numFmtId="41" fontId="139" fillId="0" borderId="200" xfId="20" applyNumberFormat="1" applyFont="1" applyFill="1" applyBorder="1" applyProtection="1"/>
    <xf numFmtId="37" fontId="139" fillId="0" borderId="199" xfId="20" applyFont="1" applyFill="1" applyBorder="1" applyAlignment="1">
      <alignment horizontal="center"/>
    </xf>
    <xf numFmtId="41" fontId="139" fillId="0" borderId="170" xfId="20" applyNumberFormat="1" applyFont="1" applyFill="1" applyBorder="1" applyProtection="1"/>
    <xf numFmtId="37" fontId="139" fillId="0" borderId="97" xfId="20" applyFont="1" applyFill="1" applyBorder="1" applyAlignment="1">
      <alignment horizontal="center"/>
    </xf>
    <xf numFmtId="37" fontId="139" fillId="0" borderId="201" xfId="20" applyFont="1" applyFill="1" applyBorder="1"/>
    <xf numFmtId="41" fontId="139" fillId="0" borderId="201" xfId="20" applyNumberFormat="1" applyFont="1" applyFill="1" applyBorder="1" applyProtection="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37" fontId="138" fillId="0" borderId="165" xfId="20" applyFont="1" applyFill="1" applyBorder="1" applyAlignment="1" applyProtection="1">
      <alignment horizontal="center"/>
    </xf>
    <xf numFmtId="37" fontId="136" fillId="0" borderId="96" xfId="20" applyFill="1" applyBorder="1" applyAlignment="1">
      <alignment horizontal="center"/>
    </xf>
    <xf numFmtId="37" fontId="136" fillId="0" borderId="0" xfId="20" applyFill="1" applyBorder="1" applyAlignment="1">
      <alignment horizontal="center"/>
    </xf>
    <xf numFmtId="37" fontId="136" fillId="0" borderId="170" xfId="20" applyFill="1" applyBorder="1" applyAlignment="1">
      <alignment horizontal="center"/>
    </xf>
    <xf numFmtId="37" fontId="137" fillId="0" borderId="0" xfId="20" quotePrefix="1" applyFont="1" applyFill="1" applyAlignment="1" applyProtection="1">
      <alignment horizontal="center"/>
    </xf>
    <xf numFmtId="37" fontId="139" fillId="0" borderId="0" xfId="20" applyFont="1" applyFill="1" applyAlignment="1" applyProtection="1">
      <alignment horizontal="center"/>
    </xf>
    <xf numFmtId="37" fontId="138" fillId="0" borderId="0" xfId="20" applyFont="1" applyFill="1" applyAlignment="1" applyProtection="1">
      <alignment horizont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28</xdr:row>
          <xdr:rowOff>19050</xdr:rowOff>
        </xdr:from>
        <xdr:to>
          <xdr:col>3</xdr:col>
          <xdr:colOff>323850</xdr:colOff>
          <xdr:row>32</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28575</xdr:rowOff>
        </xdr:from>
        <xdr:to>
          <xdr:col>5</xdr:col>
          <xdr:colOff>38100</xdr:colOff>
          <xdr:row>32</xdr:row>
          <xdr:rowOff>66675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28575</xdr:rowOff>
        </xdr:from>
        <xdr:to>
          <xdr:col>6</xdr:col>
          <xdr:colOff>352425</xdr:colOff>
          <xdr:row>32</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28</xdr:row>
          <xdr:rowOff>28575</xdr:rowOff>
        </xdr:from>
        <xdr:to>
          <xdr:col>8</xdr:col>
          <xdr:colOff>76200</xdr:colOff>
          <xdr:row>32</xdr:row>
          <xdr:rowOff>66675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28575</xdr:rowOff>
        </xdr:from>
        <xdr:to>
          <xdr:col>9</xdr:col>
          <xdr:colOff>390525</xdr:colOff>
          <xdr:row>32</xdr:row>
          <xdr:rowOff>66675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215" t="s">
        <v>425</v>
      </c>
      <c r="J1" s="2216"/>
      <c r="K1" s="2216"/>
      <c r="L1" s="2216"/>
      <c r="M1" s="2216"/>
      <c r="N1" s="2216"/>
      <c r="O1" s="2216"/>
      <c r="P1" s="2216"/>
      <c r="Q1" s="2216"/>
      <c r="R1" s="2216"/>
      <c r="S1" s="2216"/>
    </row>
    <row r="2" spans="1:28" ht="12" customHeight="1" x14ac:dyDescent="0.2">
      <c r="A2" s="47" t="s">
        <v>1684</v>
      </c>
      <c r="D2" s="48"/>
      <c r="I2" s="2217" t="s">
        <v>1036</v>
      </c>
      <c r="J2" s="2216"/>
      <c r="K2" s="2216"/>
      <c r="L2" s="2216"/>
      <c r="M2" s="2216"/>
      <c r="N2" s="2216"/>
      <c r="O2" s="2216"/>
      <c r="P2" s="2216"/>
      <c r="Q2" s="2216"/>
      <c r="R2" s="2216"/>
      <c r="S2" s="2216"/>
    </row>
    <row r="3" spans="1:28" ht="12" customHeight="1" x14ac:dyDescent="0.2">
      <c r="A3" s="155" t="s">
        <v>1685</v>
      </c>
      <c r="B3" s="156"/>
      <c r="C3" s="156"/>
      <c r="D3" s="157"/>
      <c r="I3" s="2217" t="s">
        <v>54</v>
      </c>
      <c r="J3" s="2216"/>
      <c r="K3" s="2216"/>
      <c r="L3" s="2216"/>
      <c r="M3" s="2216"/>
      <c r="N3" s="2216"/>
      <c r="O3" s="2216"/>
      <c r="P3" s="2216"/>
      <c r="Q3" s="2216"/>
      <c r="R3" s="2216"/>
      <c r="S3" s="2216"/>
    </row>
    <row r="4" spans="1:28" ht="12" customHeight="1" x14ac:dyDescent="0.2">
      <c r="A4" s="37"/>
      <c r="I4" s="2217" t="s">
        <v>545</v>
      </c>
      <c r="J4" s="2216"/>
      <c r="K4" s="2216"/>
      <c r="L4" s="2216"/>
      <c r="M4" s="2216"/>
      <c r="N4" s="2216"/>
      <c r="O4" s="2216"/>
      <c r="P4" s="2216"/>
      <c r="Q4" s="2216"/>
      <c r="R4" s="2216"/>
      <c r="S4" s="2216"/>
    </row>
    <row r="5" spans="1:28" ht="14.1" customHeight="1" x14ac:dyDescent="0.2">
      <c r="B5" s="104" t="s">
        <v>2081</v>
      </c>
      <c r="C5" s="26" t="s">
        <v>966</v>
      </c>
      <c r="D5" s="84"/>
      <c r="E5" s="84"/>
      <c r="H5" s="38"/>
      <c r="I5" s="2224" t="s">
        <v>701</v>
      </c>
      <c r="J5" s="2169"/>
      <c r="K5" s="2169"/>
      <c r="L5" s="2169"/>
      <c r="M5" s="2169"/>
      <c r="N5" s="2169"/>
      <c r="O5" s="2169"/>
      <c r="P5" s="2169"/>
      <c r="Q5" s="2169"/>
      <c r="R5" s="2169"/>
      <c r="S5" s="2169"/>
    </row>
    <row r="6" spans="1:28" ht="14.1" customHeight="1" x14ac:dyDescent="0.2">
      <c r="B6" s="104"/>
      <c r="C6" s="26" t="s">
        <v>967</v>
      </c>
      <c r="D6" s="84"/>
      <c r="E6" s="84"/>
      <c r="I6" s="2223" t="s">
        <v>938</v>
      </c>
      <c r="J6" s="2169"/>
      <c r="K6" s="2169"/>
      <c r="L6" s="2169"/>
      <c r="M6" s="2169"/>
      <c r="N6" s="2169"/>
      <c r="O6" s="2169"/>
      <c r="P6" s="2169"/>
      <c r="Q6" s="2169"/>
      <c r="R6" s="2169"/>
      <c r="S6" s="2169"/>
    </row>
    <row r="7" spans="1:28" ht="12.2" customHeight="1" x14ac:dyDescent="0.2">
      <c r="I7" s="2218">
        <v>43281</v>
      </c>
      <c r="J7" s="2219"/>
      <c r="K7" s="2219"/>
      <c r="L7" s="2219"/>
      <c r="M7" s="2219"/>
      <c r="N7" s="2219"/>
      <c r="O7" s="2219"/>
      <c r="P7" s="2219"/>
      <c r="Q7" s="2219"/>
      <c r="R7" s="2219"/>
      <c r="S7" s="22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20" t="s">
        <v>695</v>
      </c>
      <c r="J9" s="2221"/>
      <c r="K9" s="2221"/>
      <c r="L9" s="2221"/>
      <c r="M9" s="2221"/>
      <c r="N9" s="2221"/>
      <c r="O9" s="2221"/>
      <c r="P9" s="2221"/>
      <c r="Q9" s="2221"/>
      <c r="R9" s="2221"/>
      <c r="S9" s="2222"/>
      <c r="T9" s="2165" t="s">
        <v>554</v>
      </c>
      <c r="U9" s="2166"/>
      <c r="V9" s="2166"/>
      <c r="W9" s="2166"/>
      <c r="X9" s="2166"/>
      <c r="Y9" s="2166"/>
      <c r="Z9" s="2166"/>
      <c r="AA9" s="2167"/>
    </row>
    <row r="10" spans="1:28" ht="13.5" customHeight="1" x14ac:dyDescent="0.2">
      <c r="A10" s="2174" t="s">
        <v>696</v>
      </c>
      <c r="B10" s="2175"/>
      <c r="C10" s="2175"/>
      <c r="D10" s="2175"/>
      <c r="E10" s="2175"/>
      <c r="F10" s="2175"/>
      <c r="G10" s="2175"/>
      <c r="H10" s="2176"/>
      <c r="I10" s="29"/>
      <c r="J10" s="30"/>
      <c r="K10" s="28"/>
      <c r="R10" s="30"/>
      <c r="S10" s="30"/>
      <c r="T10" s="2168"/>
      <c r="U10" s="2169"/>
      <c r="V10" s="2169"/>
      <c r="W10" s="2169"/>
      <c r="X10" s="2169"/>
      <c r="Y10" s="2169"/>
      <c r="Z10" s="2169"/>
      <c r="AA10" s="2170"/>
    </row>
    <row r="11" spans="1:28" ht="14.25" customHeight="1" x14ac:dyDescent="0.2">
      <c r="A11" s="2177" t="s">
        <v>1012</v>
      </c>
      <c r="B11" s="2178"/>
      <c r="C11" s="2178"/>
      <c r="D11" s="2178"/>
      <c r="E11" s="2178"/>
      <c r="F11" s="2178"/>
      <c r="G11" s="2178"/>
      <c r="H11" s="2179"/>
      <c r="I11" s="27"/>
      <c r="J11" s="74"/>
      <c r="K11" s="27"/>
      <c r="O11" s="148" t="s">
        <v>2081</v>
      </c>
      <c r="P11" s="100" t="s">
        <v>210</v>
      </c>
      <c r="Q11" s="30"/>
      <c r="R11" s="28"/>
      <c r="S11" s="27"/>
      <c r="T11" s="2171"/>
      <c r="U11" s="2172"/>
      <c r="V11" s="2172"/>
      <c r="W11" s="2172"/>
      <c r="X11" s="2172"/>
      <c r="Y11" s="2172"/>
      <c r="Z11" s="2172"/>
      <c r="AA11" s="217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85">
        <v>19022007002</v>
      </c>
      <c r="B13" s="2186"/>
      <c r="C13" s="2186"/>
      <c r="D13" s="2186"/>
      <c r="E13" s="2186"/>
      <c r="F13" s="2186"/>
      <c r="G13" s="2186"/>
      <c r="H13" s="2187"/>
      <c r="I13" s="31"/>
      <c r="J13" s="30"/>
      <c r="K13" s="28"/>
      <c r="L13" s="30"/>
      <c r="M13" s="30"/>
      <c r="N13" s="30"/>
      <c r="O13" s="30"/>
      <c r="P13" s="30"/>
      <c r="Q13" s="30"/>
      <c r="R13" s="30"/>
      <c r="S13" s="30"/>
      <c r="T13" s="2190" t="s">
        <v>2074</v>
      </c>
      <c r="U13" s="2191"/>
      <c r="V13" s="2191"/>
      <c r="W13" s="2191"/>
      <c r="X13" s="2191"/>
      <c r="Y13" s="2192"/>
      <c r="Z13" s="2192"/>
      <c r="AA13" s="219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83" t="s">
        <v>2083</v>
      </c>
      <c r="B15" s="2188"/>
      <c r="C15" s="2188"/>
      <c r="D15" s="2188"/>
      <c r="E15" s="2188"/>
      <c r="F15" s="2188"/>
      <c r="G15" s="2188"/>
      <c r="H15" s="2189"/>
      <c r="T15" s="2151" t="s">
        <v>2216</v>
      </c>
      <c r="U15" s="2152"/>
      <c r="V15" s="2152"/>
      <c r="W15" s="2152"/>
      <c r="X15" s="2152"/>
      <c r="Y15" s="2194"/>
      <c r="Z15" s="2194"/>
      <c r="AA15" s="219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43" t="s">
        <v>2227</v>
      </c>
      <c r="B17" s="2213"/>
      <c r="C17" s="2213"/>
      <c r="D17" s="2213"/>
      <c r="E17" s="2213"/>
      <c r="F17" s="2213"/>
      <c r="G17" s="2213"/>
      <c r="H17" s="2214"/>
      <c r="T17" s="2200" t="s">
        <v>2075</v>
      </c>
      <c r="U17" s="2201"/>
      <c r="V17" s="2201"/>
      <c r="W17" s="2201"/>
      <c r="X17" s="2201"/>
      <c r="Y17" s="2201"/>
      <c r="Z17" s="2201"/>
      <c r="AA17" s="2202"/>
    </row>
    <row r="18" spans="1:27" ht="13.5" customHeight="1" x14ac:dyDescent="0.2">
      <c r="A18" s="85" t="s">
        <v>551</v>
      </c>
      <c r="B18" s="76"/>
      <c r="C18" s="72"/>
      <c r="D18" s="76"/>
      <c r="E18" s="76"/>
      <c r="F18" s="76"/>
      <c r="G18" s="76"/>
      <c r="H18" s="56"/>
      <c r="I18" s="2210" t="s">
        <v>697</v>
      </c>
      <c r="J18" s="2211"/>
      <c r="K18" s="2211"/>
      <c r="L18" s="2211"/>
      <c r="M18" s="2211"/>
      <c r="N18" s="2211"/>
      <c r="O18" s="2211"/>
      <c r="P18" s="2211"/>
      <c r="Q18" s="2211"/>
      <c r="R18" s="2211"/>
      <c r="S18" s="2212"/>
      <c r="T18" s="85" t="s">
        <v>735</v>
      </c>
      <c r="U18" s="51"/>
      <c r="V18" s="72"/>
      <c r="W18" s="50"/>
      <c r="X18" s="85" t="s">
        <v>284</v>
      </c>
      <c r="Y18" s="81"/>
      <c r="Z18" s="159" t="s">
        <v>698</v>
      </c>
      <c r="AA18" s="46"/>
    </row>
    <row r="19" spans="1:27" ht="13.5" customHeight="1" x14ac:dyDescent="0.2">
      <c r="A19" s="2183" t="s">
        <v>2085</v>
      </c>
      <c r="B19" s="2184"/>
      <c r="C19" s="2184"/>
      <c r="D19" s="2184"/>
      <c r="E19" s="2184"/>
      <c r="F19" s="2184"/>
      <c r="G19" s="2184"/>
      <c r="H19" s="2182"/>
      <c r="I19" s="30"/>
      <c r="J19" s="99"/>
      <c r="K19" s="40"/>
      <c r="L19" s="38"/>
      <c r="M19" s="112" t="s">
        <v>333</v>
      </c>
      <c r="P19" s="27"/>
      <c r="Q19" s="27"/>
      <c r="R19" s="27"/>
      <c r="S19" s="31"/>
      <c r="T19" s="2183" t="s">
        <v>2076</v>
      </c>
      <c r="U19" s="2181"/>
      <c r="V19" s="2181"/>
      <c r="W19" s="2182"/>
      <c r="X19" s="2198" t="s">
        <v>2077</v>
      </c>
      <c r="Y19" s="2199"/>
      <c r="Z19" s="2196">
        <v>60187</v>
      </c>
      <c r="AA19" s="219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80" t="s">
        <v>2086</v>
      </c>
      <c r="B21" s="2181"/>
      <c r="C21" s="2181"/>
      <c r="D21" s="2181"/>
      <c r="E21" s="2181"/>
      <c r="F21" s="2181"/>
      <c r="G21" s="2181"/>
      <c r="H21" s="2182"/>
      <c r="I21" s="2206" t="s">
        <v>699</v>
      </c>
      <c r="J21" s="2169"/>
      <c r="K21" s="2169"/>
      <c r="L21" s="2169"/>
      <c r="M21" s="2169"/>
      <c r="N21" s="2169"/>
      <c r="O21" s="2169"/>
      <c r="P21" s="2169"/>
      <c r="Q21" s="2169"/>
      <c r="R21" s="2169"/>
      <c r="S21" s="2170"/>
      <c r="T21" s="2148" t="s">
        <v>2078</v>
      </c>
      <c r="U21" s="2149"/>
      <c r="V21" s="2149"/>
      <c r="W21" s="2149"/>
      <c r="X21" s="2162" t="s">
        <v>2079</v>
      </c>
      <c r="Y21" s="2163"/>
      <c r="Z21" s="2163"/>
      <c r="AA21" s="2164"/>
    </row>
    <row r="22" spans="1:27" ht="13.5" customHeight="1" x14ac:dyDescent="0.2">
      <c r="A22" s="87" t="s">
        <v>552</v>
      </c>
      <c r="B22" s="59"/>
      <c r="C22" s="59"/>
      <c r="D22" s="59"/>
      <c r="E22" s="59"/>
      <c r="F22" s="59"/>
      <c r="G22" s="59"/>
      <c r="H22" s="60"/>
      <c r="I22" s="2207" t="s">
        <v>1504</v>
      </c>
      <c r="J22" s="2208"/>
      <c r="K22" s="2208"/>
      <c r="L22" s="2208"/>
      <c r="M22" s="2208"/>
      <c r="N22" s="2208"/>
      <c r="O22" s="2208"/>
      <c r="P22" s="2208"/>
      <c r="Q22" s="2208"/>
      <c r="R22" s="2208"/>
      <c r="S22" s="2209"/>
      <c r="T22" s="85" t="s">
        <v>1596</v>
      </c>
      <c r="U22" s="51"/>
      <c r="V22" s="72"/>
      <c r="W22" s="51"/>
      <c r="X22" s="160" t="s">
        <v>1385</v>
      </c>
      <c r="Z22" s="45"/>
      <c r="AA22" s="46"/>
    </row>
    <row r="23" spans="1:27" ht="13.5" customHeight="1" x14ac:dyDescent="0.2">
      <c r="A23" s="2203" t="s">
        <v>2087</v>
      </c>
      <c r="B23" s="2204"/>
      <c r="C23" s="2204"/>
      <c r="D23" s="2204"/>
      <c r="E23" s="2204"/>
      <c r="F23" s="2204"/>
      <c r="G23" s="2204"/>
      <c r="H23" s="2205"/>
      <c r="T23" s="2143">
        <v>66003412</v>
      </c>
      <c r="U23" s="2144"/>
      <c r="V23" s="2144"/>
      <c r="W23" s="2144"/>
      <c r="X23" s="2159">
        <v>43434</v>
      </c>
      <c r="Y23" s="2160"/>
      <c r="Z23" s="2160"/>
      <c r="AA23" s="2161"/>
    </row>
    <row r="24" spans="1:27" ht="14.1" customHeight="1" x14ac:dyDescent="0.2">
      <c r="A24" s="88" t="s">
        <v>698</v>
      </c>
      <c r="B24" s="49"/>
      <c r="C24" s="49"/>
      <c r="D24" s="49"/>
      <c r="E24" s="49"/>
      <c r="F24" s="49"/>
      <c r="G24" s="49"/>
      <c r="H24" s="61"/>
      <c r="J24" s="2245">
        <f>IF(B5="x",IF(AUDITCHECK!D29="AFR form Incomplete.","",IF(AUDITCHECK!D29="Deficit reduction plan is required.","School District must complete a deficit reduction plan in the 2018-2019 Budget",)),"")</f>
        <v>0</v>
      </c>
      <c r="K24" s="2245"/>
      <c r="L24" s="2245"/>
      <c r="M24" s="2245"/>
      <c r="N24" s="2245"/>
      <c r="O24" s="2245"/>
      <c r="P24" s="2245"/>
      <c r="Q24" s="2245"/>
      <c r="R24" s="2245"/>
      <c r="S24" s="2246"/>
      <c r="T24" s="105" t="s">
        <v>552</v>
      </c>
      <c r="U24" s="106"/>
      <c r="V24" s="106"/>
      <c r="W24" s="106"/>
      <c r="X24" s="107"/>
      <c r="Y24" s="107"/>
      <c r="Z24" s="107"/>
      <c r="AA24" s="108"/>
    </row>
    <row r="25" spans="1:27" ht="14.1" customHeight="1" x14ac:dyDescent="0.2">
      <c r="A25" s="2180" t="s">
        <v>2088</v>
      </c>
      <c r="B25" s="2181"/>
      <c r="C25" s="2181"/>
      <c r="D25" s="2181"/>
      <c r="E25" s="2181"/>
      <c r="F25" s="2181"/>
      <c r="G25" s="2181"/>
      <c r="H25" s="2182"/>
      <c r="I25" s="113"/>
      <c r="J25" s="2247"/>
      <c r="K25" s="2247"/>
      <c r="L25" s="2247"/>
      <c r="M25" s="2247"/>
      <c r="N25" s="2247"/>
      <c r="O25" s="2247"/>
      <c r="P25" s="2247"/>
      <c r="Q25" s="2247"/>
      <c r="R25" s="2247"/>
      <c r="S25" s="2248"/>
      <c r="T25" s="2140" t="s">
        <v>2089</v>
      </c>
      <c r="U25" s="2141"/>
      <c r="V25" s="2141"/>
      <c r="W25" s="2141"/>
      <c r="X25" s="2141"/>
      <c r="Y25" s="2141"/>
      <c r="Z25" s="2141"/>
      <c r="AA25" s="21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38" t="s">
        <v>1591</v>
      </c>
      <c r="J27" s="2211"/>
      <c r="K27" s="2211"/>
      <c r="L27" s="2211"/>
      <c r="M27" s="2211"/>
      <c r="N27" s="2211"/>
      <c r="O27" s="2211"/>
      <c r="P27" s="2211"/>
      <c r="Q27" s="2211"/>
      <c r="R27" s="2211"/>
      <c r="S27" s="221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84"/>
      <c r="Q35" s="2181"/>
      <c r="R35" s="21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43"/>
      <c r="B38" s="2213"/>
      <c r="C38" s="2213"/>
      <c r="D38" s="2213"/>
      <c r="E38" s="2213"/>
      <c r="F38" s="2181"/>
      <c r="G38" s="2181"/>
      <c r="H38" s="2182"/>
      <c r="I38" s="2232"/>
      <c r="J38" s="2152"/>
      <c r="K38" s="2152"/>
      <c r="L38" s="2152"/>
      <c r="M38" s="2152"/>
      <c r="N38" s="2152"/>
      <c r="O38" s="2152"/>
      <c r="P38" s="2153"/>
      <c r="Q38" s="2153"/>
      <c r="R38" s="2153"/>
      <c r="S38" s="2154"/>
      <c r="T38" s="2151"/>
      <c r="U38" s="2152"/>
      <c r="V38" s="2152"/>
      <c r="W38" s="2152"/>
      <c r="X38" s="2153"/>
      <c r="Y38" s="2153"/>
      <c r="Z38" s="2153"/>
      <c r="AA38" s="2154"/>
    </row>
    <row r="39" spans="1:27" ht="12" customHeight="1" x14ac:dyDescent="0.2">
      <c r="A39" s="2236" t="s">
        <v>552</v>
      </c>
      <c r="B39" s="2237"/>
      <c r="C39" s="72"/>
      <c r="D39" s="69"/>
      <c r="E39" s="69"/>
      <c r="F39" s="79"/>
      <c r="G39" s="69"/>
      <c r="H39" s="56"/>
      <c r="I39" s="2236" t="s">
        <v>552</v>
      </c>
      <c r="J39" s="2237"/>
      <c r="K39" s="2237"/>
      <c r="L39" s="2237"/>
      <c r="M39" s="2237"/>
      <c r="N39" s="67"/>
      <c r="O39" s="72"/>
      <c r="P39" s="72"/>
      <c r="Q39" s="78"/>
      <c r="R39" s="72"/>
      <c r="S39" s="56"/>
      <c r="T39" s="72" t="s">
        <v>552</v>
      </c>
      <c r="U39" s="51"/>
      <c r="V39" s="72"/>
      <c r="W39" s="50"/>
      <c r="X39" s="78"/>
      <c r="Y39" s="45"/>
      <c r="Z39" s="45"/>
      <c r="AA39" s="46"/>
    </row>
    <row r="40" spans="1:27" ht="13.5" customHeight="1" x14ac:dyDescent="0.2">
      <c r="A40" s="2239"/>
      <c r="B40" s="2240"/>
      <c r="C40" s="2241"/>
      <c r="D40" s="2241"/>
      <c r="E40" s="2241"/>
      <c r="F40" s="2242"/>
      <c r="G40" s="2242"/>
      <c r="H40" s="2243"/>
      <c r="I40" s="2155"/>
      <c r="J40" s="2157"/>
      <c r="K40" s="2157"/>
      <c r="L40" s="2157"/>
      <c r="M40" s="2157"/>
      <c r="N40" s="2157"/>
      <c r="O40" s="2157"/>
      <c r="P40" s="2157"/>
      <c r="Q40" s="2157"/>
      <c r="R40" s="2157"/>
      <c r="S40" s="2158"/>
      <c r="T40" s="2155"/>
      <c r="U40" s="2156"/>
      <c r="V40" s="2157"/>
      <c r="W40" s="2157"/>
      <c r="X40" s="2157"/>
      <c r="Y40" s="2157"/>
      <c r="Z40" s="2157"/>
      <c r="AA40" s="215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229"/>
      <c r="B42" s="2230"/>
      <c r="C42" s="2231"/>
      <c r="D42" s="2244"/>
      <c r="E42" s="2230"/>
      <c r="F42" s="2230"/>
      <c r="G42" s="2230"/>
      <c r="H42" s="2231"/>
      <c r="I42" s="2150"/>
      <c r="J42" s="2146"/>
      <c r="K42" s="2146"/>
      <c r="L42" s="2146"/>
      <c r="M42" s="2146"/>
      <c r="N42" s="2146"/>
      <c r="O42" s="2147"/>
      <c r="P42" s="2145"/>
      <c r="Q42" s="2146"/>
      <c r="R42" s="2146"/>
      <c r="S42" s="2147"/>
      <c r="T42" s="2150"/>
      <c r="U42" s="2146"/>
      <c r="V42" s="2146"/>
      <c r="W42" s="2147"/>
      <c r="X42" s="2145"/>
      <c r="Y42" s="2146"/>
      <c r="Z42" s="2146"/>
      <c r="AA42" s="214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33"/>
      <c r="B44" s="2234"/>
      <c r="C44" s="2234"/>
      <c r="D44" s="2234"/>
      <c r="E44" s="2234"/>
      <c r="F44" s="2234"/>
      <c r="G44" s="2234"/>
      <c r="H44" s="2235"/>
      <c r="I44" s="2225"/>
      <c r="J44" s="2227"/>
      <c r="K44" s="2227"/>
      <c r="L44" s="2227"/>
      <c r="M44" s="2227"/>
      <c r="N44" s="2227"/>
      <c r="O44" s="2227"/>
      <c r="P44" s="2227"/>
      <c r="Q44" s="2227"/>
      <c r="R44" s="2227"/>
      <c r="S44" s="2228"/>
      <c r="T44" s="2225"/>
      <c r="U44" s="2226"/>
      <c r="V44" s="2226"/>
      <c r="W44" s="2226"/>
      <c r="X44" s="2226"/>
      <c r="Y44" s="2226"/>
      <c r="Z44" s="2227"/>
      <c r="AA44" s="222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1" sqref="F31"/>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382" t="s">
        <v>1902</v>
      </c>
      <c r="B2" s="1539" t="s">
        <v>2034</v>
      </c>
      <c r="C2" s="704" t="s">
        <v>1907</v>
      </c>
      <c r="D2" s="704" t="s">
        <v>1908</v>
      </c>
      <c r="E2" s="704" t="s">
        <v>1909</v>
      </c>
      <c r="F2" s="704" t="s">
        <v>1910</v>
      </c>
    </row>
    <row r="3" spans="1:6" ht="12" customHeight="1" x14ac:dyDescent="0.2">
      <c r="A3" s="2383"/>
      <c r="B3" s="1536"/>
      <c r="C3" s="1537"/>
      <c r="D3" s="1538" t="s">
        <v>274</v>
      </c>
      <c r="E3" s="1537"/>
      <c r="F3" s="1538" t="s">
        <v>275</v>
      </c>
    </row>
    <row r="4" spans="1:6" ht="13.7" customHeight="1" x14ac:dyDescent="0.2">
      <c r="A4" s="705" t="s">
        <v>1217</v>
      </c>
      <c r="B4" s="1760">
        <f>'Revenues 9-14'!C5</f>
        <v>9110851</v>
      </c>
      <c r="C4" s="1535">
        <v>4708685</v>
      </c>
      <c r="D4" s="1763">
        <f>B4-C4</f>
        <v>4402166</v>
      </c>
      <c r="E4" s="1535">
        <v>9334222</v>
      </c>
      <c r="F4" s="1763">
        <f>E4-C4</f>
        <v>4625537</v>
      </c>
    </row>
    <row r="5" spans="1:6" ht="13.7" customHeight="1" x14ac:dyDescent="0.2">
      <c r="A5" s="705" t="s">
        <v>925</v>
      </c>
      <c r="B5" s="1761">
        <f>'Revenues 9-14'!D5</f>
        <v>2124600</v>
      </c>
      <c r="C5" s="578">
        <v>1090207</v>
      </c>
      <c r="D5" s="1764">
        <f t="shared" ref="D5:D18" si="0">B5-C5</f>
        <v>1034393</v>
      </c>
      <c r="E5" s="578">
        <v>2161162</v>
      </c>
      <c r="F5" s="1764">
        <f>E5-C5</f>
        <v>1070955</v>
      </c>
    </row>
    <row r="6" spans="1:6" ht="13.7" customHeight="1" x14ac:dyDescent="0.2">
      <c r="A6" s="705" t="s">
        <v>431</v>
      </c>
      <c r="B6" s="1761">
        <f>'Revenues 9-14'!E5</f>
        <v>293864</v>
      </c>
      <c r="C6" s="578">
        <v>150205</v>
      </c>
      <c r="D6" s="1764">
        <f t="shared" si="0"/>
        <v>143659</v>
      </c>
      <c r="E6" s="578">
        <v>297758</v>
      </c>
      <c r="F6" s="1764">
        <f t="shared" ref="F6:F18" si="1">E6-C6</f>
        <v>147553</v>
      </c>
    </row>
    <row r="7" spans="1:6" ht="13.7" customHeight="1" x14ac:dyDescent="0.2">
      <c r="A7" s="705" t="s">
        <v>157</v>
      </c>
      <c r="B7" s="1761">
        <f>'Revenues 9-14'!F5</f>
        <v>410941</v>
      </c>
      <c r="C7" s="578">
        <v>134480</v>
      </c>
      <c r="D7" s="1764">
        <f t="shared" si="0"/>
        <v>276461</v>
      </c>
      <c r="E7" s="578">
        <v>266585</v>
      </c>
      <c r="F7" s="1764">
        <f t="shared" si="1"/>
        <v>132105</v>
      </c>
    </row>
    <row r="8" spans="1:6" ht="13.7" customHeight="1" x14ac:dyDescent="0.2">
      <c r="A8" s="705" t="s">
        <v>1241</v>
      </c>
      <c r="B8" s="1761">
        <f>'Revenues 9-14'!G5</f>
        <v>165834</v>
      </c>
      <c r="C8" s="578">
        <v>75328</v>
      </c>
      <c r="D8" s="1764">
        <f t="shared" si="0"/>
        <v>90506</v>
      </c>
      <c r="E8" s="578">
        <v>151566</v>
      </c>
      <c r="F8" s="1764">
        <f t="shared" si="1"/>
        <v>76238</v>
      </c>
    </row>
    <row r="9" spans="1:6" ht="13.7" customHeight="1" x14ac:dyDescent="0.2">
      <c r="A9" s="705" t="s">
        <v>428</v>
      </c>
      <c r="B9" s="1761">
        <f>'Revenues 9-14'!H5</f>
        <v>0</v>
      </c>
      <c r="C9" s="578">
        <v>0</v>
      </c>
      <c r="D9" s="1764">
        <f t="shared" si="0"/>
        <v>0</v>
      </c>
      <c r="E9" s="578">
        <v>0</v>
      </c>
      <c r="F9" s="1764">
        <f t="shared" si="1"/>
        <v>0</v>
      </c>
    </row>
    <row r="10" spans="1:6" ht="13.7" customHeight="1" x14ac:dyDescent="0.2">
      <c r="A10" s="705" t="s">
        <v>427</v>
      </c>
      <c r="B10" s="1761">
        <f>'Revenues 9-14'!I5</f>
        <v>39338</v>
      </c>
      <c r="C10" s="578">
        <v>10151</v>
      </c>
      <c r="D10" s="1764">
        <f t="shared" si="0"/>
        <v>29187</v>
      </c>
      <c r="E10" s="578">
        <v>20424</v>
      </c>
      <c r="F10" s="1764">
        <f t="shared" si="1"/>
        <v>10273</v>
      </c>
    </row>
    <row r="11" spans="1:6" x14ac:dyDescent="0.2">
      <c r="A11" s="705" t="s">
        <v>429</v>
      </c>
      <c r="B11" s="1761">
        <f>'Revenues 9-14'!J5</f>
        <v>0</v>
      </c>
      <c r="C11" s="578">
        <v>0</v>
      </c>
      <c r="D11" s="1764">
        <f t="shared" si="0"/>
        <v>0</v>
      </c>
      <c r="E11" s="578">
        <v>0</v>
      </c>
      <c r="F11" s="1764">
        <f t="shared" si="1"/>
        <v>0</v>
      </c>
    </row>
    <row r="12" spans="1:6" ht="13.7" customHeight="1" x14ac:dyDescent="0.2">
      <c r="A12" s="705" t="s">
        <v>159</v>
      </c>
      <c r="B12" s="1761">
        <f>'Revenues 9-14'!K5</f>
        <v>0</v>
      </c>
      <c r="C12" s="578">
        <v>0</v>
      </c>
      <c r="D12" s="1764">
        <f t="shared" si="0"/>
        <v>0</v>
      </c>
      <c r="E12" s="578">
        <v>0</v>
      </c>
      <c r="F12" s="1764">
        <f t="shared" si="1"/>
        <v>0</v>
      </c>
    </row>
    <row r="13" spans="1:6" ht="13.7" customHeight="1" x14ac:dyDescent="0.2">
      <c r="A13" s="705" t="s">
        <v>993</v>
      </c>
      <c r="B13" s="1761">
        <f>SUM('Revenues 9-14'!C6:D6)</f>
        <v>0</v>
      </c>
      <c r="C13" s="578">
        <v>0</v>
      </c>
      <c r="D13" s="1764">
        <f t="shared" si="0"/>
        <v>0</v>
      </c>
      <c r="E13" s="578">
        <v>0</v>
      </c>
      <c r="F13" s="1764">
        <f t="shared" si="1"/>
        <v>0</v>
      </c>
    </row>
    <row r="14" spans="1:6" ht="13.7" customHeight="1" x14ac:dyDescent="0.2">
      <c r="A14" s="705" t="s">
        <v>430</v>
      </c>
      <c r="B14" s="1761">
        <f>SUM('Revenues 9-14'!C7:D7,'Revenues 9-14'!F7:H7)</f>
        <v>0</v>
      </c>
      <c r="C14" s="578">
        <v>0</v>
      </c>
      <c r="D14" s="1764">
        <f t="shared" si="0"/>
        <v>0</v>
      </c>
      <c r="E14" s="578">
        <v>0</v>
      </c>
      <c r="F14" s="1764">
        <f t="shared" si="1"/>
        <v>0</v>
      </c>
    </row>
    <row r="15" spans="1:6" ht="13.7" customHeight="1" x14ac:dyDescent="0.2">
      <c r="A15" s="705" t="s">
        <v>1220</v>
      </c>
      <c r="B15" s="1761">
        <f>'Revenues 9-14'!E9</f>
        <v>0</v>
      </c>
      <c r="C15" s="578">
        <v>0</v>
      </c>
      <c r="D15" s="1764">
        <f t="shared" si="0"/>
        <v>0</v>
      </c>
      <c r="E15" s="578">
        <v>0</v>
      </c>
      <c r="F15" s="1764">
        <f t="shared" si="1"/>
        <v>0</v>
      </c>
    </row>
    <row r="16" spans="1:6" ht="13.7" customHeight="1" x14ac:dyDescent="0.2">
      <c r="A16" s="705" t="s">
        <v>1221</v>
      </c>
      <c r="B16" s="1761">
        <f>'Revenues 9-14'!G8</f>
        <v>193562</v>
      </c>
      <c r="C16" s="578">
        <v>119839</v>
      </c>
      <c r="D16" s="1764">
        <f t="shared" si="0"/>
        <v>73723</v>
      </c>
      <c r="E16" s="578">
        <v>237561</v>
      </c>
      <c r="F16" s="1764">
        <f t="shared" si="1"/>
        <v>117722</v>
      </c>
    </row>
    <row r="17" spans="1:6" ht="13.7" customHeight="1" x14ac:dyDescent="0.2">
      <c r="A17" s="705" t="s">
        <v>1222</v>
      </c>
      <c r="B17" s="1761">
        <f>'Revenues 9-14'!C10</f>
        <v>0</v>
      </c>
      <c r="C17" s="578">
        <v>0</v>
      </c>
      <c r="D17" s="1764">
        <f t="shared" si="0"/>
        <v>0</v>
      </c>
      <c r="E17" s="578">
        <v>0</v>
      </c>
      <c r="F17" s="1764">
        <f t="shared" si="1"/>
        <v>0</v>
      </c>
    </row>
    <row r="18" spans="1:6" ht="13.7" customHeight="1" x14ac:dyDescent="0.2">
      <c r="A18" s="705" t="s">
        <v>786</v>
      </c>
      <c r="B18" s="1761">
        <f>SUM('Revenues 9-14'!C11:K11)</f>
        <v>0</v>
      </c>
      <c r="C18" s="578">
        <v>0</v>
      </c>
      <c r="D18" s="1764">
        <f t="shared" si="0"/>
        <v>0</v>
      </c>
      <c r="E18" s="578">
        <v>0</v>
      </c>
      <c r="F18" s="1764">
        <f t="shared" si="1"/>
        <v>0</v>
      </c>
    </row>
    <row r="19" spans="1:6" ht="13.7" customHeight="1" thickBot="1" x14ac:dyDescent="0.25">
      <c r="A19" s="1765" t="s">
        <v>1223</v>
      </c>
      <c r="B19" s="1762">
        <f>SUM(B4:B18)</f>
        <v>12338990</v>
      </c>
      <c r="C19" s="1762">
        <f>SUM(C4:C18)</f>
        <v>6288895</v>
      </c>
      <c r="D19" s="1762">
        <f>SUM(D4:D18)</f>
        <v>6050095</v>
      </c>
      <c r="E19" s="1762">
        <f>SUM(E4:E18)</f>
        <v>12469278</v>
      </c>
      <c r="F19" s="1762">
        <f>SUM(F4:F18)</f>
        <v>6180383</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9" colorId="8" zoomScaleNormal="100" workbookViewId="0">
      <selection activeCell="F31" sqref="F31"/>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88" t="s">
        <v>650</v>
      </c>
      <c r="B1" s="2389"/>
      <c r="C1" s="711"/>
    </row>
    <row r="2" spans="1:7" ht="33.75" x14ac:dyDescent="0.2">
      <c r="A2" s="2397" t="s">
        <v>1902</v>
      </c>
      <c r="B2" s="2398"/>
      <c r="C2" s="1898" t="s">
        <v>2035</v>
      </c>
      <c r="D2" s="713" t="s">
        <v>2042</v>
      </c>
      <c r="E2" s="713" t="s">
        <v>2043</v>
      </c>
      <c r="F2" s="1898" t="s">
        <v>2036</v>
      </c>
    </row>
    <row r="3" spans="1:7" ht="15.75" customHeight="1" x14ac:dyDescent="0.2">
      <c r="A3" s="2401" t="s">
        <v>1176</v>
      </c>
      <c r="B3" s="2402"/>
      <c r="C3" s="2390"/>
      <c r="D3" s="2391"/>
      <c r="E3" s="2391"/>
      <c r="F3" s="2392"/>
    </row>
    <row r="4" spans="1:7" ht="12.75" customHeight="1" thickBot="1" x14ac:dyDescent="0.25">
      <c r="A4" s="2399" t="s">
        <v>651</v>
      </c>
      <c r="B4" s="2400"/>
      <c r="C4" s="575"/>
      <c r="D4" s="575"/>
      <c r="E4" s="575"/>
      <c r="F4" s="1766">
        <f>SUM(C4+D4)-E4</f>
        <v>0</v>
      </c>
    </row>
    <row r="5" spans="1:7" ht="15.75" customHeight="1" thickTop="1" x14ac:dyDescent="0.2">
      <c r="A5" s="2384" t="s">
        <v>1172</v>
      </c>
      <c r="B5" s="2385"/>
      <c r="C5" s="2393"/>
      <c r="D5" s="2394"/>
      <c r="E5" s="2394"/>
      <c r="F5" s="2395"/>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386" t="s">
        <v>652</v>
      </c>
      <c r="B15" s="2387"/>
      <c r="C15" s="1766">
        <f>SUM(C6:C14)</f>
        <v>0</v>
      </c>
      <c r="D15" s="1766">
        <f>SUM(D6:D14)</f>
        <v>0</v>
      </c>
      <c r="E15" s="1766">
        <f>SUM(E6:E14)</f>
        <v>0</v>
      </c>
      <c r="F15" s="1766">
        <f>SUM(F6:F14)</f>
        <v>0</v>
      </c>
      <c r="G15" s="547"/>
    </row>
    <row r="16" spans="1:7" s="202" customFormat="1" ht="15.75" customHeight="1" thickTop="1" x14ac:dyDescent="0.2">
      <c r="A16" s="2396" t="s">
        <v>1173</v>
      </c>
      <c r="B16" s="2385"/>
      <c r="C16" s="2393"/>
      <c r="D16" s="2394"/>
      <c r="E16" s="2394"/>
      <c r="F16" s="2395"/>
    </row>
    <row r="17" spans="1:11" ht="12.75" customHeight="1" thickBot="1" x14ac:dyDescent="0.25">
      <c r="A17" s="2409" t="s">
        <v>66</v>
      </c>
      <c r="B17" s="2410"/>
      <c r="C17" s="716"/>
      <c r="D17" s="578"/>
      <c r="E17" s="716"/>
      <c r="F17" s="1766">
        <f>SUM(C17+D17)-E17</f>
        <v>0</v>
      </c>
    </row>
    <row r="18" spans="1:11" ht="12.75" customHeight="1" thickTop="1" thickBot="1" x14ac:dyDescent="0.25">
      <c r="A18" s="2409" t="s">
        <v>6</v>
      </c>
      <c r="B18" s="2410"/>
      <c r="C18" s="716"/>
      <c r="D18" s="578"/>
      <c r="E18" s="716"/>
      <c r="F18" s="1766">
        <f>SUM(C18+D18)-E18</f>
        <v>0</v>
      </c>
    </row>
    <row r="19" spans="1:11" ht="12.75" customHeight="1" thickTop="1" thickBot="1" x14ac:dyDescent="0.25">
      <c r="A19" s="2409" t="s">
        <v>406</v>
      </c>
      <c r="B19" s="2410"/>
      <c r="C19" s="716"/>
      <c r="D19" s="578"/>
      <c r="E19" s="716"/>
      <c r="F19" s="1766">
        <f>SUM(C19+D19)-E19</f>
        <v>0</v>
      </c>
    </row>
    <row r="20" spans="1:11" ht="12.75" customHeight="1" thickTop="1" thickBot="1" x14ac:dyDescent="0.25">
      <c r="A20" s="2409" t="s">
        <v>468</v>
      </c>
      <c r="B20" s="2410"/>
      <c r="C20" s="716"/>
      <c r="D20" s="578"/>
      <c r="E20" s="716"/>
      <c r="F20" s="1766">
        <f>SUM(C20+D20)-E20</f>
        <v>0</v>
      </c>
    </row>
    <row r="21" spans="1:11" ht="14.25" thickTop="1" thickBot="1" x14ac:dyDescent="0.25">
      <c r="A21" s="2386" t="s">
        <v>653</v>
      </c>
      <c r="B21" s="2387"/>
      <c r="C21" s="1766">
        <f>SUM(C17:C20)</f>
        <v>0</v>
      </c>
      <c r="D21" s="1766">
        <f>SUM(D17:D20)</f>
        <v>0</v>
      </c>
      <c r="E21" s="1766">
        <f>SUM(E17:E20)</f>
        <v>0</v>
      </c>
      <c r="F21" s="1766">
        <f>SUM(F17:F20)</f>
        <v>0</v>
      </c>
      <c r="G21" s="547"/>
    </row>
    <row r="22" spans="1:11" ht="15.75" customHeight="1" thickTop="1" x14ac:dyDescent="0.2">
      <c r="A22" s="2411" t="s">
        <v>1174</v>
      </c>
      <c r="B22" s="2385"/>
      <c r="C22" s="2393"/>
      <c r="D22" s="2394"/>
      <c r="E22" s="2394"/>
      <c r="F22" s="2395"/>
    </row>
    <row r="23" spans="1:11" ht="13.5" thickBot="1" x14ac:dyDescent="0.25">
      <c r="A23" s="2399" t="s">
        <v>654</v>
      </c>
      <c r="B23" s="2400"/>
      <c r="C23" s="575"/>
      <c r="D23" s="575"/>
      <c r="E23" s="575"/>
      <c r="F23" s="1766">
        <f>SUM(C23+D23)-E23</f>
        <v>0</v>
      </c>
      <c r="G23" s="547"/>
    </row>
    <row r="24" spans="1:11" ht="15.75" customHeight="1" thickTop="1" x14ac:dyDescent="0.2">
      <c r="A24" s="2411" t="s">
        <v>1175</v>
      </c>
      <c r="B24" s="2385"/>
      <c r="C24" s="2393"/>
      <c r="D24" s="2394"/>
      <c r="E24" s="2394"/>
      <c r="F24" s="2395"/>
    </row>
    <row r="25" spans="1:11" ht="13.5" thickBot="1" x14ac:dyDescent="0.25">
      <c r="A25" s="2399" t="s">
        <v>655</v>
      </c>
      <c r="B25" s="2400"/>
      <c r="C25" s="575"/>
      <c r="D25" s="575"/>
      <c r="E25" s="575"/>
      <c r="F25" s="1766">
        <f>SUM(C25+D25)-E25</f>
        <v>0</v>
      </c>
      <c r="G25" s="547"/>
    </row>
    <row r="26" spans="1:11" ht="15.75" customHeight="1" thickTop="1" x14ac:dyDescent="0.2">
      <c r="A26" s="2384" t="s">
        <v>678</v>
      </c>
      <c r="B26" s="2385"/>
      <c r="C26" s="717"/>
      <c r="D26" s="717"/>
      <c r="E26" s="717"/>
      <c r="F26" s="718"/>
    </row>
    <row r="27" spans="1:11" ht="13.5" thickBot="1" x14ac:dyDescent="0.25">
      <c r="A27" s="2386" t="s">
        <v>1130</v>
      </c>
      <c r="B27" s="2387"/>
      <c r="C27" s="578"/>
      <c r="D27" s="578"/>
      <c r="E27" s="578"/>
      <c r="F27" s="1766">
        <f>SUM(C27+D27)-E27</f>
        <v>0</v>
      </c>
      <c r="G27" s="547"/>
    </row>
    <row r="28" spans="1:11" ht="7.5" customHeight="1" thickTop="1" x14ac:dyDescent="0.2">
      <c r="A28" s="585"/>
    </row>
    <row r="29" spans="1:11" ht="23.25" customHeight="1" x14ac:dyDescent="0.2">
      <c r="A29" s="2412" t="s">
        <v>603</v>
      </c>
      <c r="B29" s="2389"/>
      <c r="C29" s="719"/>
      <c r="D29" s="719"/>
      <c r="E29" s="719"/>
      <c r="F29" s="719"/>
      <c r="G29" s="719"/>
      <c r="H29" s="719"/>
      <c r="I29" s="719"/>
      <c r="J29" s="719"/>
    </row>
    <row r="30" spans="1:11" ht="33.75" x14ac:dyDescent="0.2">
      <c r="A30" s="1540" t="s">
        <v>1131</v>
      </c>
      <c r="B30" s="720" t="s">
        <v>1186</v>
      </c>
      <c r="C30" s="1899" t="s">
        <v>604</v>
      </c>
      <c r="D30" s="1899" t="s">
        <v>1772</v>
      </c>
      <c r="E30" s="1899" t="s">
        <v>2037</v>
      </c>
      <c r="F30" s="1899" t="s">
        <v>2038</v>
      </c>
      <c r="G30" s="1899" t="s">
        <v>2041</v>
      </c>
      <c r="H30" s="1899" t="s">
        <v>2039</v>
      </c>
      <c r="I30" s="1899" t="s">
        <v>2040</v>
      </c>
      <c r="J30" s="1900" t="s">
        <v>2</v>
      </c>
      <c r="K30" s="721"/>
    </row>
    <row r="31" spans="1:11" ht="12" customHeight="1" x14ac:dyDescent="0.2">
      <c r="A31" s="722" t="s">
        <v>2104</v>
      </c>
      <c r="B31" s="723">
        <v>38548</v>
      </c>
      <c r="C31" s="724">
        <v>1350000</v>
      </c>
      <c r="D31" s="725">
        <v>4</v>
      </c>
      <c r="E31" s="724">
        <v>410000</v>
      </c>
      <c r="F31" s="724"/>
      <c r="G31" s="724"/>
      <c r="H31" s="724">
        <v>200000</v>
      </c>
      <c r="I31" s="1767">
        <f>((E31+F31)-H31)+G31</f>
        <v>210000</v>
      </c>
      <c r="J31" s="724">
        <v>60805</v>
      </c>
      <c r="K31" s="726"/>
    </row>
    <row r="32" spans="1:11" ht="12" customHeight="1" x14ac:dyDescent="0.2">
      <c r="A32" s="722" t="s">
        <v>2105</v>
      </c>
      <c r="B32" s="723">
        <v>41604</v>
      </c>
      <c r="C32" s="724">
        <v>800000</v>
      </c>
      <c r="D32" s="725">
        <v>1</v>
      </c>
      <c r="E32" s="724">
        <v>145000</v>
      </c>
      <c r="F32" s="724"/>
      <c r="G32" s="724"/>
      <c r="H32" s="724">
        <v>10000</v>
      </c>
      <c r="I32" s="1767">
        <f>((E32+F32)-H32)+G32</f>
        <v>135000</v>
      </c>
      <c r="J32" s="724">
        <v>45427</v>
      </c>
      <c r="K32" s="726"/>
    </row>
    <row r="33" spans="1:11" ht="12" customHeight="1" x14ac:dyDescent="0.2">
      <c r="A33" s="722" t="s">
        <v>2106</v>
      </c>
      <c r="B33" s="723">
        <v>41863</v>
      </c>
      <c r="C33" s="724">
        <v>1575000</v>
      </c>
      <c r="D33" s="725" t="s">
        <v>2109</v>
      </c>
      <c r="E33" s="724">
        <v>1575000</v>
      </c>
      <c r="F33" s="724"/>
      <c r="G33" s="724"/>
      <c r="H33" s="724"/>
      <c r="I33" s="1767">
        <f t="shared" ref="I33:I48" si="1">((E33+F33)-H33)+G33</f>
        <v>1575000</v>
      </c>
      <c r="J33" s="724">
        <v>1575000</v>
      </c>
      <c r="K33" s="726"/>
    </row>
    <row r="34" spans="1:11" ht="12" customHeight="1" x14ac:dyDescent="0.2">
      <c r="A34" s="722" t="s">
        <v>2107</v>
      </c>
      <c r="B34" s="723">
        <v>42164</v>
      </c>
      <c r="C34" s="724">
        <v>1270000</v>
      </c>
      <c r="D34" s="725" t="s">
        <v>2109</v>
      </c>
      <c r="E34" s="724">
        <v>1270000</v>
      </c>
      <c r="F34" s="724"/>
      <c r="G34" s="724"/>
      <c r="H34" s="724"/>
      <c r="I34" s="1767">
        <f t="shared" si="1"/>
        <v>1270000</v>
      </c>
      <c r="J34" s="724">
        <v>1270000</v>
      </c>
      <c r="K34" s="727"/>
    </row>
    <row r="35" spans="1:11" ht="12" customHeight="1" x14ac:dyDescent="0.2">
      <c r="A35" s="722" t="s">
        <v>2108</v>
      </c>
      <c r="B35" s="723">
        <v>42054</v>
      </c>
      <c r="C35" s="728">
        <v>227364</v>
      </c>
      <c r="D35" s="725">
        <v>7</v>
      </c>
      <c r="E35" s="728">
        <v>126926</v>
      </c>
      <c r="F35" s="728"/>
      <c r="G35" s="728"/>
      <c r="H35" s="728">
        <v>42106</v>
      </c>
      <c r="I35" s="1767">
        <f t="shared" si="1"/>
        <v>84820</v>
      </c>
      <c r="J35" s="728">
        <v>84820</v>
      </c>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5222364</v>
      </c>
      <c r="D49" s="735"/>
      <c r="E49" s="1767">
        <f t="shared" ref="E49:J49" si="2">SUM(E31:E48)</f>
        <v>3526926</v>
      </c>
      <c r="F49" s="1767">
        <f t="shared" si="2"/>
        <v>0</v>
      </c>
      <c r="G49" s="1767">
        <f t="shared" si="2"/>
        <v>0</v>
      </c>
      <c r="H49" s="1767">
        <f t="shared" si="2"/>
        <v>252106</v>
      </c>
      <c r="I49" s="1767">
        <f t="shared" si="2"/>
        <v>3274820</v>
      </c>
      <c r="J49" s="1767">
        <f t="shared" si="2"/>
        <v>3036052</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403" t="s">
        <v>605</v>
      </c>
      <c r="C52" s="2404"/>
      <c r="D52" s="2404"/>
      <c r="E52" s="739" t="s">
        <v>900</v>
      </c>
      <c r="F52" s="2405" t="s">
        <v>2110</v>
      </c>
      <c r="G52" s="2406"/>
      <c r="H52" s="726"/>
      <c r="I52" s="726"/>
      <c r="J52" s="736"/>
    </row>
    <row r="53" spans="1:11" ht="11.25" customHeight="1" x14ac:dyDescent="0.2">
      <c r="A53" s="740" t="s">
        <v>969</v>
      </c>
      <c r="B53" s="741" t="s">
        <v>1008</v>
      </c>
      <c r="C53" s="736"/>
      <c r="D53" s="727"/>
      <c r="E53" s="739" t="s">
        <v>518</v>
      </c>
      <c r="F53" s="2407"/>
      <c r="G53" s="2408"/>
      <c r="H53" s="726"/>
      <c r="I53" s="726"/>
      <c r="J53" s="736"/>
    </row>
    <row r="54" spans="1:11" ht="11.25" customHeight="1" x14ac:dyDescent="0.2">
      <c r="A54" s="742" t="s">
        <v>970</v>
      </c>
      <c r="B54" s="737" t="s">
        <v>1009</v>
      </c>
      <c r="C54" s="736"/>
      <c r="D54" s="727"/>
      <c r="E54" s="739" t="s">
        <v>519</v>
      </c>
      <c r="F54" s="2407"/>
      <c r="G54" s="2408"/>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0"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F31" sqref="F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37" t="s">
        <v>911</v>
      </c>
      <c r="B1" s="2438"/>
      <c r="C1" s="2438"/>
      <c r="D1" s="2438"/>
      <c r="E1" s="2438"/>
      <c r="F1" s="2438"/>
      <c r="G1" s="2439"/>
      <c r="H1" s="1541"/>
      <c r="I1" s="750"/>
      <c r="J1" s="433"/>
    </row>
    <row r="2" spans="1:11" ht="26.25" x14ac:dyDescent="0.2">
      <c r="A2" s="2416" t="s">
        <v>1776</v>
      </c>
      <c r="B2" s="2417"/>
      <c r="C2" s="2417"/>
      <c r="D2" s="2417"/>
      <c r="E2" s="2418"/>
      <c r="F2" s="751" t="s">
        <v>960</v>
      </c>
      <c r="G2" s="752" t="s">
        <v>1773</v>
      </c>
      <c r="H2" s="752" t="s">
        <v>430</v>
      </c>
      <c r="I2" s="752" t="s">
        <v>1220</v>
      </c>
      <c r="J2" s="752" t="s">
        <v>1916</v>
      </c>
      <c r="K2" s="752" t="s">
        <v>140</v>
      </c>
    </row>
    <row r="3" spans="1:11" x14ac:dyDescent="0.2">
      <c r="A3" s="2419" t="s">
        <v>1698</v>
      </c>
      <c r="B3" s="2420"/>
      <c r="C3" s="2420"/>
      <c r="D3" s="2420"/>
      <c r="E3" s="2421"/>
      <c r="F3" s="753"/>
      <c r="G3" s="754"/>
      <c r="H3" s="754"/>
      <c r="I3" s="754"/>
      <c r="J3" s="755"/>
      <c r="K3" s="755"/>
    </row>
    <row r="4" spans="1:11" x14ac:dyDescent="0.2">
      <c r="A4" s="2422" t="s">
        <v>387</v>
      </c>
      <c r="B4" s="2423"/>
      <c r="C4" s="2423"/>
      <c r="D4" s="2423"/>
      <c r="E4" s="2404"/>
      <c r="F4" s="756"/>
      <c r="G4" s="757"/>
      <c r="H4" s="758"/>
      <c r="I4" s="757"/>
      <c r="J4" s="759"/>
      <c r="K4" s="759"/>
    </row>
    <row r="5" spans="1:11" x14ac:dyDescent="0.2">
      <c r="A5" s="2440" t="s">
        <v>1129</v>
      </c>
      <c r="B5" s="2413"/>
      <c r="C5" s="2413"/>
      <c r="D5" s="2413"/>
      <c r="E5" s="2441"/>
      <c r="F5" s="760" t="s">
        <v>903</v>
      </c>
      <c r="G5" s="761"/>
      <c r="H5" s="754"/>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440" t="s">
        <v>1917</v>
      </c>
      <c r="B10" s="2413"/>
      <c r="C10" s="2413"/>
      <c r="D10" s="2413"/>
      <c r="E10" s="2442"/>
      <c r="F10" s="773" t="s">
        <v>917</v>
      </c>
      <c r="G10" s="772"/>
      <c r="H10" s="774"/>
      <c r="I10" s="754"/>
      <c r="J10" s="755"/>
      <c r="K10" s="755"/>
    </row>
    <row r="11" spans="1:11" x14ac:dyDescent="0.2">
      <c r="A11" s="2440" t="s">
        <v>162</v>
      </c>
      <c r="B11" s="2413"/>
      <c r="C11" s="2413"/>
      <c r="D11" s="2413"/>
      <c r="E11" s="2441"/>
      <c r="F11" s="760" t="s">
        <v>907</v>
      </c>
      <c r="G11" s="761"/>
      <c r="H11" s="754"/>
      <c r="I11" s="754"/>
      <c r="J11" s="755"/>
      <c r="K11" s="763"/>
    </row>
    <row r="12" spans="1:11" ht="13.5" thickBot="1" x14ac:dyDescent="0.25">
      <c r="A12" s="2430" t="s">
        <v>961</v>
      </c>
      <c r="B12" s="2431"/>
      <c r="C12" s="2431"/>
      <c r="D12" s="2431"/>
      <c r="E12" s="2432"/>
      <c r="F12" s="1768"/>
      <c r="G12" s="1769">
        <f>SUM(G5:G11)</f>
        <v>0</v>
      </c>
      <c r="H12" s="1769">
        <f>SUM(H5:H11)</f>
        <v>0</v>
      </c>
      <c r="I12" s="1769">
        <f>SUM(I5:I11)</f>
        <v>0</v>
      </c>
      <c r="J12" s="1769">
        <f>SUM(J5:J11)</f>
        <v>0</v>
      </c>
      <c r="K12" s="1769">
        <f>SUM(K5:K11)</f>
        <v>0</v>
      </c>
    </row>
    <row r="13" spans="1:11" ht="13.5" thickTop="1" x14ac:dyDescent="0.2">
      <c r="A13" s="2424" t="s">
        <v>388</v>
      </c>
      <c r="B13" s="2425"/>
      <c r="C13" s="2425"/>
      <c r="D13" s="2425"/>
      <c r="E13" s="2426"/>
      <c r="F13" s="775"/>
      <c r="G13" s="776"/>
      <c r="H13" s="777"/>
      <c r="I13" s="778"/>
      <c r="J13" s="778"/>
      <c r="K13" s="778"/>
    </row>
    <row r="14" spans="1:11" x14ac:dyDescent="0.2">
      <c r="A14" s="2446" t="s">
        <v>476</v>
      </c>
      <c r="B14" s="2446"/>
      <c r="C14" s="2446"/>
      <c r="D14" s="2446"/>
      <c r="E14" s="2447"/>
      <c r="F14" s="779" t="s">
        <v>909</v>
      </c>
      <c r="G14" s="772"/>
      <c r="H14" s="754"/>
      <c r="I14" s="761"/>
      <c r="J14" s="763"/>
      <c r="K14" s="755"/>
    </row>
    <row r="15" spans="1:11" x14ac:dyDescent="0.2">
      <c r="A15" s="2413" t="s">
        <v>4</v>
      </c>
      <c r="B15" s="2413"/>
      <c r="C15" s="2413"/>
      <c r="D15" s="2413"/>
      <c r="E15" s="2441"/>
      <c r="F15" s="779" t="s">
        <v>910</v>
      </c>
      <c r="G15" s="761"/>
      <c r="H15" s="754"/>
      <c r="I15" s="754"/>
      <c r="J15" s="755"/>
      <c r="K15" s="755"/>
    </row>
    <row r="16" spans="1:11" x14ac:dyDescent="0.2">
      <c r="A16" s="2413" t="s">
        <v>316</v>
      </c>
      <c r="B16" s="2413"/>
      <c r="C16" s="2413"/>
      <c r="D16" s="2413"/>
      <c r="E16" s="2441"/>
      <c r="F16" s="779" t="s">
        <v>980</v>
      </c>
      <c r="G16" s="762"/>
      <c r="H16" s="757"/>
      <c r="I16" s="757"/>
      <c r="J16" s="759"/>
      <c r="K16" s="759"/>
    </row>
    <row r="17" spans="1:11" x14ac:dyDescent="0.2">
      <c r="A17" s="2435" t="s">
        <v>992</v>
      </c>
      <c r="B17" s="2435"/>
      <c r="C17" s="2435"/>
      <c r="D17" s="2435"/>
      <c r="E17" s="2436"/>
      <c r="F17" s="780"/>
      <c r="G17" s="781"/>
      <c r="H17" s="782"/>
      <c r="I17" s="782"/>
      <c r="J17" s="783"/>
      <c r="K17" s="784"/>
    </row>
    <row r="18" spans="1:11" x14ac:dyDescent="0.2">
      <c r="A18" s="2427" t="s">
        <v>386</v>
      </c>
      <c r="B18" s="2428"/>
      <c r="C18" s="2428"/>
      <c r="D18" s="2428"/>
      <c r="E18" s="2429"/>
      <c r="F18" s="779" t="s">
        <v>989</v>
      </c>
      <c r="G18" s="772"/>
      <c r="H18" s="772"/>
      <c r="I18" s="772"/>
      <c r="J18" s="755"/>
      <c r="K18" s="785"/>
    </row>
    <row r="19" spans="1:11" ht="21.75" customHeight="1" x14ac:dyDescent="0.2">
      <c r="A19" s="2448" t="s">
        <v>1913</v>
      </c>
      <c r="B19" s="2448"/>
      <c r="C19" s="2448"/>
      <c r="D19" s="2448"/>
      <c r="E19" s="2449"/>
      <c r="F19" s="779" t="s">
        <v>990</v>
      </c>
      <c r="G19" s="772"/>
      <c r="H19" s="772"/>
      <c r="I19" s="772"/>
      <c r="J19" s="755"/>
      <c r="K19" s="785"/>
    </row>
    <row r="20" spans="1:11" x14ac:dyDescent="0.2">
      <c r="A20" s="2427" t="s">
        <v>1918</v>
      </c>
      <c r="B20" s="2428"/>
      <c r="C20" s="2428"/>
      <c r="D20" s="2428"/>
      <c r="E20" s="2429"/>
      <c r="F20" s="779" t="s">
        <v>991</v>
      </c>
      <c r="G20" s="772"/>
      <c r="H20" s="772"/>
      <c r="I20" s="772"/>
      <c r="J20" s="755"/>
      <c r="K20" s="785"/>
    </row>
    <row r="21" spans="1:11" ht="13.5" thickBot="1" x14ac:dyDescent="0.25">
      <c r="A21" s="2433" t="s">
        <v>659</v>
      </c>
      <c r="B21" s="2433"/>
      <c r="C21" s="2433"/>
      <c r="D21" s="2433"/>
      <c r="E21" s="2433"/>
      <c r="F21" s="1770"/>
      <c r="G21" s="782"/>
      <c r="H21" s="786"/>
      <c r="I21" s="786"/>
      <c r="J21" s="1771">
        <f>SUM(J18:J20)</f>
        <v>0</v>
      </c>
      <c r="K21" s="783"/>
    </row>
    <row r="22" spans="1:11" ht="13.5" thickTop="1" x14ac:dyDescent="0.2">
      <c r="A22" s="2413" t="s">
        <v>1919</v>
      </c>
      <c r="B22" s="2413"/>
      <c r="C22" s="2413"/>
      <c r="D22" s="2413"/>
      <c r="E22" s="2441"/>
      <c r="F22" s="779" t="s">
        <v>917</v>
      </c>
      <c r="G22" s="772"/>
      <c r="H22" s="754"/>
      <c r="I22" s="754"/>
      <c r="J22" s="787"/>
      <c r="K22" s="755"/>
    </row>
    <row r="23" spans="1:11" ht="13.5" thickBot="1" x14ac:dyDescent="0.25">
      <c r="A23" s="2434" t="s">
        <v>962</v>
      </c>
      <c r="B23" s="2433"/>
      <c r="C23" s="2433"/>
      <c r="D23" s="2433"/>
      <c r="E23" s="2433"/>
      <c r="F23" s="1772"/>
      <c r="G23" s="1769">
        <f>SUM(G14:G16,G21,G22)</f>
        <v>0</v>
      </c>
      <c r="H23" s="1769">
        <f>SUM(H14:H16,H21,H22)</f>
        <v>0</v>
      </c>
      <c r="I23" s="1769">
        <f>SUM(I14:I16,I21,I22)</f>
        <v>0</v>
      </c>
      <c r="J23" s="1769">
        <f>SUM(J14:J16,J21,J22)</f>
        <v>0</v>
      </c>
      <c r="K23" s="1769">
        <f>SUM(K14:K16,K21,K22)</f>
        <v>0</v>
      </c>
    </row>
    <row r="24" spans="1:11" ht="14.25" thickTop="1" thickBot="1" x14ac:dyDescent="0.25">
      <c r="A24" s="2434" t="s">
        <v>2023</v>
      </c>
      <c r="B24" s="2433"/>
      <c r="C24" s="2433"/>
      <c r="D24" s="2433"/>
      <c r="E24" s="2433"/>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4" t="s">
        <v>2033</v>
      </c>
      <c r="B28" s="1895"/>
      <c r="C28" s="1895"/>
      <c r="D28" s="1895"/>
      <c r="E28" s="1896"/>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443"/>
      <c r="I31" s="2444"/>
      <c r="J31" s="2444"/>
      <c r="K31" s="2444"/>
    </row>
    <row r="32" spans="1:11" x14ac:dyDescent="0.2">
      <c r="A32" s="799"/>
      <c r="B32" s="237"/>
      <c r="C32" s="237"/>
      <c r="D32" s="237"/>
      <c r="E32" s="795"/>
      <c r="F32" s="801" t="s">
        <v>561</v>
      </c>
      <c r="G32" s="754"/>
      <c r="H32" s="2445"/>
      <c r="I32" s="2444"/>
      <c r="J32" s="2444"/>
      <c r="K32" s="2444"/>
    </row>
    <row r="33" spans="1:11" ht="1.5" customHeight="1" x14ac:dyDescent="0.2">
      <c r="A33" s="802" t="s">
        <v>1231</v>
      </c>
      <c r="B33" s="364"/>
      <c r="C33" s="364"/>
      <c r="D33" s="364"/>
      <c r="E33" s="364"/>
      <c r="F33" s="364"/>
      <c r="G33" s="803"/>
      <c r="H33" s="2445"/>
      <c r="I33" s="2444"/>
      <c r="J33" s="2444"/>
      <c r="K33" s="2444"/>
    </row>
    <row r="34" spans="1:11" x14ac:dyDescent="0.2">
      <c r="A34" s="804" t="s">
        <v>1920</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413" t="s">
        <v>562</v>
      </c>
      <c r="B41" s="2414"/>
      <c r="C41" s="2414"/>
      <c r="D41" s="2414"/>
      <c r="E41" s="2414"/>
      <c r="F41" s="2415"/>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1914</v>
      </c>
      <c r="B46" s="408" t="s">
        <v>1774</v>
      </c>
    </row>
    <row r="47" spans="1:11" s="813" customFormat="1" ht="12.75" customHeight="1" x14ac:dyDescent="0.2">
      <c r="A47" s="811"/>
      <c r="B47" s="812" t="s">
        <v>1775</v>
      </c>
      <c r="E47" s="812"/>
      <c r="K47" s="814"/>
    </row>
    <row r="48" spans="1:11" ht="12.75" customHeight="1" x14ac:dyDescent="0.2">
      <c r="A48" s="154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2"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31" sqref="F31"/>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52" t="s">
        <v>2032</v>
      </c>
      <c r="B1" s="2453"/>
      <c r="C1" s="2454"/>
      <c r="D1" s="816"/>
      <c r="E1" s="817"/>
      <c r="F1" s="817"/>
      <c r="G1" s="818"/>
      <c r="H1" s="819"/>
      <c r="I1" s="820"/>
      <c r="J1" s="2450"/>
      <c r="K1" s="2451"/>
      <c r="L1" s="2451"/>
    </row>
    <row r="2" spans="1:14" ht="69.75" customHeight="1" x14ac:dyDescent="0.2">
      <c r="A2" s="821" t="s">
        <v>1777</v>
      </c>
      <c r="B2" s="822" t="s">
        <v>396</v>
      </c>
      <c r="C2" s="823" t="s">
        <v>2027</v>
      </c>
      <c r="D2" s="823" t="s">
        <v>2024</v>
      </c>
      <c r="E2" s="823" t="s">
        <v>2025</v>
      </c>
      <c r="F2" s="823" t="s">
        <v>2026</v>
      </c>
      <c r="G2" s="823" t="s">
        <v>626</v>
      </c>
      <c r="H2" s="823" t="s">
        <v>2028</v>
      </c>
      <c r="I2" s="823" t="s">
        <v>2029</v>
      </c>
      <c r="J2" s="823" t="s">
        <v>2044</v>
      </c>
      <c r="K2" s="823" t="s">
        <v>2030</v>
      </c>
      <c r="L2" s="823" t="s">
        <v>2031</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87581</v>
      </c>
      <c r="D5" s="831"/>
      <c r="E5" s="831"/>
      <c r="F5" s="1771">
        <f>(C5+D5)-E5</f>
        <v>87581</v>
      </c>
      <c r="G5" s="827"/>
      <c r="H5" s="832"/>
      <c r="I5" s="832"/>
      <c r="J5" s="832"/>
      <c r="K5" s="783"/>
      <c r="L5" s="1780">
        <f>F5-K5</f>
        <v>87581</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19214357</v>
      </c>
      <c r="D8" s="834">
        <v>429450</v>
      </c>
      <c r="E8" s="834"/>
      <c r="F8" s="1771">
        <f>(C8+D8)-E8</f>
        <v>19643807</v>
      </c>
      <c r="G8" s="833">
        <v>50</v>
      </c>
      <c r="H8" s="755">
        <v>8974354</v>
      </c>
      <c r="I8" s="755">
        <v>490886</v>
      </c>
      <c r="J8" s="755"/>
      <c r="K8" s="1780">
        <f>(H8+I8)-J8</f>
        <v>9465240</v>
      </c>
      <c r="L8" s="1780">
        <f>F8-K8</f>
        <v>10178567</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v>2066896</v>
      </c>
      <c r="D10" s="836"/>
      <c r="E10" s="836"/>
      <c r="F10" s="1775">
        <f>(C10+D10)-E10</f>
        <v>2066896</v>
      </c>
      <c r="G10" s="833">
        <v>20</v>
      </c>
      <c r="H10" s="837">
        <v>820699</v>
      </c>
      <c r="I10" s="837">
        <v>74825</v>
      </c>
      <c r="J10" s="837"/>
      <c r="K10" s="1780">
        <f>(H10+I10)-J10</f>
        <v>895524</v>
      </c>
      <c r="L10" s="1780">
        <f>F10-K10</f>
        <v>1171372</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2026399</v>
      </c>
      <c r="D12" s="834">
        <f>42731+24760</f>
        <v>67491</v>
      </c>
      <c r="E12" s="834"/>
      <c r="F12" s="1771">
        <f>(C12+D12)-E12</f>
        <v>2093890</v>
      </c>
      <c r="G12" s="833">
        <v>10</v>
      </c>
      <c r="H12" s="755">
        <v>1370448</v>
      </c>
      <c r="I12" s="755">
        <v>191474</v>
      </c>
      <c r="J12" s="755"/>
      <c r="K12" s="1780">
        <f>(H12+I12)-J12</f>
        <v>1561922</v>
      </c>
      <c r="L12" s="1780">
        <f>F12-K12</f>
        <v>531968</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c r="D15" s="834"/>
      <c r="E15" s="834"/>
      <c r="F15" s="1771">
        <f>(C15+D15)-E15</f>
        <v>0</v>
      </c>
      <c r="G15" s="839" t="s">
        <v>917</v>
      </c>
      <c r="H15" s="771"/>
      <c r="I15" s="771"/>
      <c r="J15" s="771"/>
      <c r="K15" s="771"/>
      <c r="L15" s="1780">
        <f>F15-K15</f>
        <v>0</v>
      </c>
    </row>
    <row r="16" spans="1:14" ht="15" customHeight="1" thickTop="1" thickBot="1" x14ac:dyDescent="0.25">
      <c r="A16" s="1776" t="s">
        <v>664</v>
      </c>
      <c r="B16" s="1777">
        <v>200</v>
      </c>
      <c r="C16" s="1771">
        <f>SUM(C3,C5:C6,C8:C10,C12:C15)</f>
        <v>23395233</v>
      </c>
      <c r="D16" s="1771">
        <f>SUM(D3,D5:D6,D8:D10,D12:D15)</f>
        <v>496941</v>
      </c>
      <c r="E16" s="1771">
        <f>SUM(E3,E5:E6,E8:E10,E12:E15)</f>
        <v>0</v>
      </c>
      <c r="F16" s="1771">
        <f>SUM(F3,F5:F6,F8:F10,F12:F15)</f>
        <v>23892174</v>
      </c>
      <c r="G16" s="833"/>
      <c r="H16" s="1771">
        <f>SUM(H3,H6,H8:H10,H12:H14,)</f>
        <v>11165501</v>
      </c>
      <c r="I16" s="1771">
        <f>SUM(I3,I6,I8:I10,I12:I14,)</f>
        <v>757185</v>
      </c>
      <c r="J16" s="1771">
        <f>SUM(J3,J6,J8:J10,J12:J14,)</f>
        <v>0</v>
      </c>
      <c r="K16" s="1771">
        <f>(H16+I16)-J16</f>
        <v>11922686</v>
      </c>
      <c r="L16" s="1771">
        <f>F16-K16</f>
        <v>11969488</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97301</v>
      </c>
      <c r="G17" s="827">
        <v>10</v>
      </c>
      <c r="H17" s="759"/>
      <c r="I17" s="1780">
        <f>F17/G17</f>
        <v>9730.1</v>
      </c>
      <c r="J17" s="759"/>
      <c r="K17" s="785"/>
      <c r="L17" s="785"/>
    </row>
    <row r="18" spans="1:12" ht="14.25" thickTop="1" thickBot="1" x14ac:dyDescent="0.25">
      <c r="A18" s="1778" t="s">
        <v>706</v>
      </c>
      <c r="B18" s="1779"/>
      <c r="C18" s="761"/>
      <c r="D18" s="761"/>
      <c r="E18" s="761"/>
      <c r="F18" s="840"/>
      <c r="G18" s="841"/>
      <c r="H18" s="763"/>
      <c r="I18" s="1771">
        <f>SUM(I16,I17)</f>
        <v>766915.1</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6" activePane="bottomLeft" state="frozen"/>
      <selection activeCell="F31" sqref="F31"/>
      <selection pane="bottomLeft" activeCell="F31" sqref="F31"/>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458" t="s">
        <v>1699</v>
      </c>
      <c r="B1" s="2459"/>
      <c r="C1" s="2459"/>
      <c r="D1" s="2459"/>
      <c r="E1" s="2459"/>
      <c r="F1" s="2460"/>
      <c r="G1" s="845"/>
    </row>
    <row r="2" spans="1:7" ht="15" customHeight="1" thickBot="1" x14ac:dyDescent="0.25">
      <c r="A2" s="2461" t="s">
        <v>498</v>
      </c>
      <c r="B2" s="2462"/>
      <c r="C2" s="2462"/>
      <c r="D2" s="2462"/>
      <c r="E2" s="2462"/>
      <c r="F2" s="2463"/>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464"/>
      <c r="B5" s="2465"/>
      <c r="C5" s="2465"/>
      <c r="D5" s="2465"/>
      <c r="E5" s="2465"/>
      <c r="F5" s="2465"/>
    </row>
    <row r="6" spans="1:7" ht="13.5" customHeight="1" thickBot="1" x14ac:dyDescent="0.25">
      <c r="A6" s="2455" t="s">
        <v>1166</v>
      </c>
      <c r="B6" s="2456"/>
      <c r="C6" s="2456"/>
      <c r="D6" s="2456"/>
      <c r="E6" s="2456"/>
      <c r="F6" s="2457"/>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3">
        <f>'Expenditures 15-22'!K114</f>
        <v>13131142</v>
      </c>
      <c r="G8" s="855"/>
    </row>
    <row r="9" spans="1:7" x14ac:dyDescent="0.2">
      <c r="A9" s="859" t="s">
        <v>480</v>
      </c>
      <c r="B9" s="860" t="s">
        <v>1986</v>
      </c>
      <c r="C9" s="861"/>
      <c r="D9" s="859" t="s">
        <v>522</v>
      </c>
      <c r="E9" s="858"/>
      <c r="F9" s="1924">
        <f>'Expenditures 15-22'!K151</f>
        <v>1740953</v>
      </c>
      <c r="G9" s="862"/>
    </row>
    <row r="10" spans="1:7" x14ac:dyDescent="0.2">
      <c r="A10" s="859" t="s">
        <v>520</v>
      </c>
      <c r="B10" s="860" t="s">
        <v>1987</v>
      </c>
      <c r="C10" s="861"/>
      <c r="D10" s="859" t="s">
        <v>522</v>
      </c>
      <c r="E10" s="858"/>
      <c r="F10" s="1924">
        <f>'Expenditures 15-22'!K174</f>
        <v>357147</v>
      </c>
      <c r="G10" s="862"/>
    </row>
    <row r="11" spans="1:7" x14ac:dyDescent="0.2">
      <c r="A11" s="859" t="s">
        <v>481</v>
      </c>
      <c r="B11" s="860" t="s">
        <v>1988</v>
      </c>
      <c r="C11" s="861"/>
      <c r="D11" s="859" t="s">
        <v>522</v>
      </c>
      <c r="E11" s="858"/>
      <c r="F11" s="1924">
        <f>'Expenditures 15-22'!K210</f>
        <v>535356</v>
      </c>
      <c r="G11" s="862"/>
    </row>
    <row r="12" spans="1:7" x14ac:dyDescent="0.2">
      <c r="A12" s="859" t="s">
        <v>482</v>
      </c>
      <c r="B12" s="860" t="s">
        <v>1989</v>
      </c>
      <c r="C12" s="861"/>
      <c r="D12" s="859" t="s">
        <v>522</v>
      </c>
      <c r="E12" s="858"/>
      <c r="F12" s="1924">
        <f>'Expenditures 15-22'!K295</f>
        <v>504373</v>
      </c>
      <c r="G12" s="862"/>
    </row>
    <row r="13" spans="1:7" x14ac:dyDescent="0.2">
      <c r="A13" s="859" t="s">
        <v>108</v>
      </c>
      <c r="B13" s="860" t="s">
        <v>1990</v>
      </c>
      <c r="C13" s="861"/>
      <c r="D13" s="859" t="s">
        <v>522</v>
      </c>
      <c r="E13" s="858"/>
      <c r="F13" s="1924">
        <f>'Expenditures 15-22'!K342</f>
        <v>0</v>
      </c>
      <c r="G13" s="863"/>
    </row>
    <row r="14" spans="1:7" ht="12" customHeight="1" thickBot="1" x14ac:dyDescent="0.25">
      <c r="A14" s="1781"/>
      <c r="B14" s="1782"/>
      <c r="C14" s="1783"/>
      <c r="D14" s="1784" t="s">
        <v>522</v>
      </c>
      <c r="E14" s="1785" t="s">
        <v>1015</v>
      </c>
      <c r="F14" s="1786">
        <f>SUM(F8:F13)</f>
        <v>16268971</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5">
        <f>'Revenues 9-14'!F43</f>
        <v>775</v>
      </c>
      <c r="G18" s="855"/>
    </row>
    <row r="19" spans="1:7" x14ac:dyDescent="0.2">
      <c r="A19" s="859" t="s">
        <v>481</v>
      </c>
      <c r="B19" s="860" t="s">
        <v>1069</v>
      </c>
      <c r="C19" s="867">
        <f>'Revenues 9-14'!B47</f>
        <v>1421</v>
      </c>
      <c r="D19" s="868" t="str">
        <f>'Revenues 9-14'!A47</f>
        <v>Summer Sch - Transp. Fees from Pupils or Parents (In State)</v>
      </c>
      <c r="E19" s="869"/>
      <c r="F19" s="1926">
        <f>'Revenues 9-14'!F47</f>
        <v>0</v>
      </c>
      <c r="G19" s="855"/>
    </row>
    <row r="20" spans="1:7" x14ac:dyDescent="0.2">
      <c r="A20" s="859" t="s">
        <v>481</v>
      </c>
      <c r="B20" s="860" t="s">
        <v>1070</v>
      </c>
      <c r="C20" s="865">
        <f>'Revenues 9-14'!B48</f>
        <v>1422</v>
      </c>
      <c r="D20" s="866" t="str">
        <f>'Revenues 9-14'!A48</f>
        <v>Summer Sch - Transp. Fees from Other Districts (In State)</v>
      </c>
      <c r="E20" s="858"/>
      <c r="F20" s="1927">
        <f>'Revenues 9-14'!F48</f>
        <v>0</v>
      </c>
      <c r="G20" s="855"/>
    </row>
    <row r="21" spans="1:7" x14ac:dyDescent="0.2">
      <c r="A21" s="859" t="s">
        <v>481</v>
      </c>
      <c r="B21" s="860" t="s">
        <v>1071</v>
      </c>
      <c r="C21" s="867">
        <f>'Revenues 9-14'!B49</f>
        <v>1423</v>
      </c>
      <c r="D21" s="866" t="str">
        <f>'Revenues 9-14'!A49</f>
        <v>Summer Sch - Transp. Fees from Other Sources (In State)</v>
      </c>
      <c r="E21" s="858"/>
      <c r="F21" s="1928">
        <f>'Revenues 9-14'!F49</f>
        <v>0</v>
      </c>
      <c r="G21" s="855"/>
    </row>
    <row r="22" spans="1:7" x14ac:dyDescent="0.2">
      <c r="A22" s="859" t="s">
        <v>481</v>
      </c>
      <c r="B22" s="860" t="s">
        <v>1072</v>
      </c>
      <c r="C22" s="867">
        <f>'Revenues 9-14'!B50</f>
        <v>1424</v>
      </c>
      <c r="D22" s="866" t="str">
        <f>'Revenues 9-14'!A50</f>
        <v>Summer Sch - Transp. Fees from Other Sources (Out of State)</v>
      </c>
      <c r="E22" s="858"/>
      <c r="F22" s="1928">
        <f>'Revenues 9-14'!F50</f>
        <v>0</v>
      </c>
      <c r="G22" s="855"/>
    </row>
    <row r="23" spans="1:7" x14ac:dyDescent="0.2">
      <c r="A23" s="859" t="s">
        <v>481</v>
      </c>
      <c r="B23" s="860" t="s">
        <v>1073</v>
      </c>
      <c r="C23" s="865">
        <f>'Revenues 9-14'!B52</f>
        <v>1432</v>
      </c>
      <c r="D23" s="866" t="str">
        <f>'Revenues 9-14'!A52</f>
        <v>CTE - Transp Fees from Other Districts (In State)</v>
      </c>
      <c r="E23" s="858"/>
      <c r="F23" s="1928">
        <f>'Revenues 9-14'!F52</f>
        <v>0</v>
      </c>
      <c r="G23" s="855"/>
    </row>
    <row r="24" spans="1:7" x14ac:dyDescent="0.2">
      <c r="A24" s="859" t="s">
        <v>481</v>
      </c>
      <c r="B24" s="860" t="s">
        <v>1074</v>
      </c>
      <c r="C24" s="865">
        <f>'Revenues 9-14'!B56</f>
        <v>1442</v>
      </c>
      <c r="D24" s="866" t="str">
        <f>'Revenues 9-14'!A56</f>
        <v>Special Ed - Transp Fees from Other Districts (In State)</v>
      </c>
      <c r="E24" s="858"/>
      <c r="F24" s="1928">
        <f>'Revenues 9-14'!F56</f>
        <v>0</v>
      </c>
      <c r="G24" s="855"/>
    </row>
    <row r="25" spans="1:7" x14ac:dyDescent="0.2">
      <c r="A25" s="859" t="s">
        <v>481</v>
      </c>
      <c r="B25" s="860" t="s">
        <v>1075</v>
      </c>
      <c r="C25" s="865">
        <f>'Revenues 9-14'!B59</f>
        <v>1451</v>
      </c>
      <c r="D25" s="866" t="str">
        <f>'Revenues 9-14'!A59</f>
        <v>Adult - Transp Fees from Pupils or Parents (In State)</v>
      </c>
      <c r="E25" s="858"/>
      <c r="F25" s="1928">
        <f>'Revenues 9-14'!F59</f>
        <v>0</v>
      </c>
      <c r="G25" s="855"/>
    </row>
    <row r="26" spans="1:7" x14ac:dyDescent="0.2">
      <c r="A26" s="859" t="s">
        <v>481</v>
      </c>
      <c r="B26" s="860" t="s">
        <v>1076</v>
      </c>
      <c r="C26" s="865">
        <f>'Revenues 9-14'!B60</f>
        <v>1452</v>
      </c>
      <c r="D26" s="866" t="str">
        <f>'Revenues 9-14'!A60</f>
        <v>Adult - Transp Fees from Other Districts (In State)</v>
      </c>
      <c r="E26" s="858"/>
      <c r="F26" s="1928">
        <f>'Revenues 9-14'!F60</f>
        <v>0</v>
      </c>
      <c r="G26" s="855"/>
    </row>
    <row r="27" spans="1:7" x14ac:dyDescent="0.2">
      <c r="A27" s="859" t="s">
        <v>481</v>
      </c>
      <c r="B27" s="860" t="s">
        <v>1077</v>
      </c>
      <c r="C27" s="865">
        <f>'Revenues 9-14'!B61</f>
        <v>1453</v>
      </c>
      <c r="D27" s="866" t="str">
        <f>'Revenues 9-14'!A61</f>
        <v>Adult - Transp Fees from Other Sources (In State)</v>
      </c>
      <c r="E27" s="858"/>
      <c r="F27" s="1928">
        <f>'Revenues 9-14'!F61</f>
        <v>0</v>
      </c>
      <c r="G27" s="855"/>
    </row>
    <row r="28" spans="1:7" x14ac:dyDescent="0.2">
      <c r="A28" s="859" t="s">
        <v>481</v>
      </c>
      <c r="B28" s="860" t="s">
        <v>1078</v>
      </c>
      <c r="C28" s="865">
        <f>'Revenues 9-14'!B62</f>
        <v>1454</v>
      </c>
      <c r="D28" s="866" t="str">
        <f>'Revenues 9-14'!A62</f>
        <v>Adult - Transp Fees from Other Sources (Out of State)</v>
      </c>
      <c r="E28" s="858"/>
      <c r="F28" s="1928">
        <f>'Revenues 9-14'!F62</f>
        <v>0</v>
      </c>
      <c r="G28" s="855"/>
    </row>
    <row r="29" spans="1:7" x14ac:dyDescent="0.2">
      <c r="A29" s="859" t="s">
        <v>1159</v>
      </c>
      <c r="B29" s="860" t="s">
        <v>1683</v>
      </c>
      <c r="C29" s="870">
        <f>'Revenues 9-14'!B148</f>
        <v>3410</v>
      </c>
      <c r="D29" s="871" t="str">
        <f>'Revenues 9-14'!A148</f>
        <v>Adult Ed (from ICCB)</v>
      </c>
      <c r="E29" s="858"/>
      <c r="F29" s="1928">
        <f>SUM('Revenues 9-14'!D148,F149)</f>
        <v>0</v>
      </c>
      <c r="G29" s="855"/>
    </row>
    <row r="30" spans="1:7" x14ac:dyDescent="0.2">
      <c r="A30" s="859" t="s">
        <v>1159</v>
      </c>
      <c r="B30" s="860" t="s">
        <v>861</v>
      </c>
      <c r="C30" s="870">
        <f>'Revenues 9-14'!B149</f>
        <v>3499</v>
      </c>
      <c r="D30" s="871" t="str">
        <f>'Revenues 9-14'!A149</f>
        <v>Adult Ed - Other (Describe &amp; Itemize)</v>
      </c>
      <c r="E30" s="858"/>
      <c r="F30" s="1929">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8">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8">
        <f>SUM('Revenues 9-14'!D219,'Revenues 9-14'!F219)</f>
        <v>0</v>
      </c>
      <c r="G32" s="855"/>
    </row>
    <row r="33" spans="1:7" x14ac:dyDescent="0.2">
      <c r="A33" s="859" t="s">
        <v>480</v>
      </c>
      <c r="B33" s="860" t="s">
        <v>801</v>
      </c>
      <c r="C33" s="865">
        <f>'Revenues 9-14'!B229</f>
        <v>4810</v>
      </c>
      <c r="D33" s="873" t="str">
        <f>'Revenues 9-14'!A229</f>
        <v>Federal - Adult Education</v>
      </c>
      <c r="E33" s="858"/>
      <c r="F33" s="1928">
        <f>'Revenues 9-14'!D229</f>
        <v>0</v>
      </c>
      <c r="G33" s="855"/>
    </row>
    <row r="34" spans="1:7" x14ac:dyDescent="0.2">
      <c r="A34" s="859" t="s">
        <v>479</v>
      </c>
      <c r="B34" s="859" t="s">
        <v>1545</v>
      </c>
      <c r="C34" s="876" t="str">
        <f>'Expenditures 15-22'!B7</f>
        <v>1125</v>
      </c>
      <c r="D34" s="877" t="str">
        <f>'Expenditures 15-22'!A7</f>
        <v>Pre-K Programs</v>
      </c>
      <c r="E34" s="858"/>
      <c r="F34" s="1928">
        <f>'Expenditures 15-22'!K7-SUM('Expenditures 15-22'!G7,'Expenditures 15-22'!I7)</f>
        <v>457608</v>
      </c>
      <c r="G34" s="855"/>
    </row>
    <row r="35" spans="1:7" x14ac:dyDescent="0.2">
      <c r="A35" s="859" t="s">
        <v>479</v>
      </c>
      <c r="B35" s="859" t="s">
        <v>1546</v>
      </c>
      <c r="C35" s="876" t="str">
        <f>'Expenditures 15-22'!B9</f>
        <v>1225</v>
      </c>
      <c r="D35" s="877" t="str">
        <f>'Expenditures 15-22'!A9</f>
        <v>Special Education Programs Pre-K</v>
      </c>
      <c r="E35" s="858"/>
      <c r="F35" s="1928">
        <f>'Expenditures 15-22'!K9-SUM('Expenditures 15-22'!G9+'Expenditures 15-22'!I9)</f>
        <v>194687</v>
      </c>
      <c r="G35" s="855"/>
    </row>
    <row r="36" spans="1:7" x14ac:dyDescent="0.2">
      <c r="A36" s="859" t="s">
        <v>479</v>
      </c>
      <c r="B36" s="859" t="s">
        <v>118</v>
      </c>
      <c r="C36" s="876" t="str">
        <f>'Expenditures 15-22'!B11</f>
        <v>1275</v>
      </c>
      <c r="D36" s="877" t="str">
        <f>'Expenditures 15-22'!A11</f>
        <v>Remedial and Supplemental Programs Pre-K</v>
      </c>
      <c r="E36" s="858"/>
      <c r="F36" s="1928">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8">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8">
        <f>'Expenditures 15-22'!K15-SUM('Expenditures 15-22'!G15,'Expenditures 15-22'!I15)</f>
        <v>53032</v>
      </c>
      <c r="G38" s="855"/>
    </row>
    <row r="39" spans="1:7" x14ac:dyDescent="0.2">
      <c r="A39" s="859" t="s">
        <v>479</v>
      </c>
      <c r="B39" s="859" t="s">
        <v>119</v>
      </c>
      <c r="C39" s="876" t="str">
        <f>'Expenditures 15-22'!B20</f>
        <v>1910</v>
      </c>
      <c r="D39" s="878" t="str">
        <f>'Expenditures 15-22'!A20</f>
        <v>Pre-K Programs - Private Tuition</v>
      </c>
      <c r="E39" s="858"/>
      <c r="F39" s="1928">
        <f>'Expenditures 15-22'!K20</f>
        <v>0</v>
      </c>
      <c r="G39" s="855"/>
    </row>
    <row r="40" spans="1:7" x14ac:dyDescent="0.2">
      <c r="A40" s="859" t="s">
        <v>479</v>
      </c>
      <c r="B40" s="859" t="s">
        <v>120</v>
      </c>
      <c r="C40" s="876" t="str">
        <f>'Expenditures 15-22'!B21</f>
        <v>1911</v>
      </c>
      <c r="D40" s="878" t="str">
        <f>'Expenditures 15-22'!A21</f>
        <v>Regular K-12 Programs - Private Tuition</v>
      </c>
      <c r="E40" s="858"/>
      <c r="F40" s="1928">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8">
        <f>'Expenditures 15-22'!K22</f>
        <v>194061</v>
      </c>
      <c r="G41" s="855"/>
    </row>
    <row r="42" spans="1:7" x14ac:dyDescent="0.2">
      <c r="A42" s="859" t="s">
        <v>479</v>
      </c>
      <c r="B42" s="859" t="s">
        <v>122</v>
      </c>
      <c r="C42" s="879" t="str">
        <f>'Expenditures 15-22'!B23</f>
        <v>1913</v>
      </c>
      <c r="D42" s="878" t="str">
        <f>'Expenditures 15-22'!A23</f>
        <v>Special Education Programs Pre-K - Tuition</v>
      </c>
      <c r="E42" s="858"/>
      <c r="F42" s="1928">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8">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8">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8">
        <f>'Expenditures 15-22'!K26</f>
        <v>0</v>
      </c>
      <c r="G45" s="855"/>
    </row>
    <row r="46" spans="1:7" x14ac:dyDescent="0.2">
      <c r="A46" s="859" t="s">
        <v>479</v>
      </c>
      <c r="B46" s="859" t="s">
        <v>126</v>
      </c>
      <c r="C46" s="876" t="str">
        <f>'Expenditures 15-22'!B27</f>
        <v>1917</v>
      </c>
      <c r="D46" s="878" t="str">
        <f>'Expenditures 15-22'!A27</f>
        <v>CTE Programs - Private Tuition</v>
      </c>
      <c r="E46" s="858"/>
      <c r="F46" s="1928">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8">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8">
        <f>'Expenditures 15-22'!K29</f>
        <v>0</v>
      </c>
      <c r="G48" s="855"/>
    </row>
    <row r="49" spans="1:7" x14ac:dyDescent="0.2">
      <c r="A49" s="859" t="s">
        <v>479</v>
      </c>
      <c r="B49" s="859" t="s">
        <v>129</v>
      </c>
      <c r="C49" s="876" t="str">
        <f>'Expenditures 15-22'!B30</f>
        <v>1920</v>
      </c>
      <c r="D49" s="878" t="str">
        <f>'Expenditures 15-22'!A30</f>
        <v>Gifted Programs - Private Tuition</v>
      </c>
      <c r="E49" s="858"/>
      <c r="F49" s="1928">
        <f>'Expenditures 15-22'!K30</f>
        <v>0</v>
      </c>
      <c r="G49" s="855"/>
    </row>
    <row r="50" spans="1:7" x14ac:dyDescent="0.2">
      <c r="A50" s="859" t="s">
        <v>479</v>
      </c>
      <c r="B50" s="859" t="s">
        <v>130</v>
      </c>
      <c r="C50" s="876" t="str">
        <f>'Expenditures 15-22'!B31</f>
        <v>1921</v>
      </c>
      <c r="D50" s="878" t="str">
        <f>'Expenditures 15-22'!A31</f>
        <v>Bilingual Programs - Private Tuition</v>
      </c>
      <c r="E50" s="858"/>
      <c r="F50" s="1928">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8">
        <f>'Expenditures 15-22'!K32</f>
        <v>0</v>
      </c>
      <c r="G51" s="855"/>
    </row>
    <row r="52" spans="1:7" x14ac:dyDescent="0.2">
      <c r="A52" s="859" t="s">
        <v>479</v>
      </c>
      <c r="B52" s="859" t="s">
        <v>1550</v>
      </c>
      <c r="C52" s="879" t="str">
        <f>'Expenditures 15-22'!B75</f>
        <v>3000</v>
      </c>
      <c r="D52" s="878" t="s">
        <v>469</v>
      </c>
      <c r="E52" s="858"/>
      <c r="F52" s="1928">
        <f>'Expenditures 15-22'!K75-SUM('Expenditures 15-22'!G75,'Expenditures 15-22'!I75)</f>
        <v>61800</v>
      </c>
      <c r="G52" s="855"/>
    </row>
    <row r="53" spans="1:7" x14ac:dyDescent="0.2">
      <c r="A53" s="859" t="s">
        <v>479</v>
      </c>
      <c r="B53" s="859" t="s">
        <v>1551</v>
      </c>
      <c r="C53" s="879">
        <f>'Expenditures 15-22'!B102</f>
        <v>4000</v>
      </c>
      <c r="D53" s="878" t="str">
        <f>'Expenditures 15-22'!A102</f>
        <v>Total Payments to Other Govt Units</v>
      </c>
      <c r="E53" s="858"/>
      <c r="F53" s="1928">
        <f>'Expenditures 15-22'!K102</f>
        <v>887698</v>
      </c>
      <c r="G53" s="855"/>
    </row>
    <row r="54" spans="1:7" x14ac:dyDescent="0.2">
      <c r="A54" s="859" t="s">
        <v>479</v>
      </c>
      <c r="B54" s="859" t="s">
        <v>1552</v>
      </c>
      <c r="C54" s="879" t="s">
        <v>1039</v>
      </c>
      <c r="D54" s="875" t="s">
        <v>1157</v>
      </c>
      <c r="E54" s="858"/>
      <c r="F54" s="1928">
        <f>'Expenditures 15-22'!G114</f>
        <v>50422</v>
      </c>
      <c r="G54" s="855"/>
    </row>
    <row r="55" spans="1:7" x14ac:dyDescent="0.2">
      <c r="A55" s="859" t="s">
        <v>479</v>
      </c>
      <c r="B55" s="859" t="s">
        <v>1553</v>
      </c>
      <c r="C55" s="879" t="s">
        <v>1039</v>
      </c>
      <c r="D55" s="875" t="s">
        <v>309</v>
      </c>
      <c r="E55" s="858"/>
      <c r="F55" s="1928">
        <f>'Expenditures 15-22'!I114</f>
        <v>53060</v>
      </c>
      <c r="G55" s="855"/>
    </row>
    <row r="56" spans="1:7" x14ac:dyDescent="0.2">
      <c r="A56" s="859" t="s">
        <v>480</v>
      </c>
      <c r="B56" s="859" t="s">
        <v>1554</v>
      </c>
      <c r="C56" s="876" t="str">
        <f>'Expenditures 15-22'!B130</f>
        <v>3000</v>
      </c>
      <c r="D56" s="882" t="s">
        <v>469</v>
      </c>
      <c r="E56" s="858"/>
      <c r="F56" s="1928">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28">
        <f>'Expenditures 15-22'!K139</f>
        <v>0</v>
      </c>
      <c r="G57" s="855"/>
    </row>
    <row r="58" spans="1:7" x14ac:dyDescent="0.2">
      <c r="A58" s="859" t="s">
        <v>480</v>
      </c>
      <c r="B58" s="859" t="s">
        <v>1992</v>
      </c>
      <c r="C58" s="876" t="s">
        <v>1039</v>
      </c>
      <c r="D58" s="875" t="s">
        <v>1157</v>
      </c>
      <c r="E58" s="858"/>
      <c r="F58" s="1930">
        <f>'Expenditures 15-22'!G151</f>
        <v>17069</v>
      </c>
      <c r="G58" s="855"/>
    </row>
    <row r="59" spans="1:7" x14ac:dyDescent="0.2">
      <c r="A59" s="883" t="s">
        <v>480</v>
      </c>
      <c r="B59" s="846" t="s">
        <v>1993</v>
      </c>
      <c r="C59" s="884" t="s">
        <v>1039</v>
      </c>
      <c r="D59" s="846" t="s">
        <v>309</v>
      </c>
      <c r="F59" s="1931">
        <f>'Expenditures 15-22'!I151</f>
        <v>13416</v>
      </c>
      <c r="G59" s="855"/>
    </row>
    <row r="60" spans="1:7" x14ac:dyDescent="0.2">
      <c r="A60" s="883" t="s">
        <v>520</v>
      </c>
      <c r="B60" s="846" t="s">
        <v>1994</v>
      </c>
      <c r="C60" s="884">
        <v>4000</v>
      </c>
      <c r="D60" s="846" t="s">
        <v>330</v>
      </c>
      <c r="F60" s="1929">
        <f>'Expenditures 15-22'!K160</f>
        <v>0</v>
      </c>
      <c r="G60" s="855"/>
    </row>
    <row r="61" spans="1:7" x14ac:dyDescent="0.2">
      <c r="A61" s="885" t="s">
        <v>520</v>
      </c>
      <c r="B61" s="885" t="s">
        <v>1995</v>
      </c>
      <c r="C61" s="886" t="str">
        <f>'Expenditures 15-22'!B170</f>
        <v>5300</v>
      </c>
      <c r="D61" s="887" t="s">
        <v>329</v>
      </c>
      <c r="E61" s="869"/>
      <c r="F61" s="1928">
        <f>'Expenditures 15-22'!K170</f>
        <v>252106</v>
      </c>
      <c r="G61" s="855"/>
    </row>
    <row r="62" spans="1:7" x14ac:dyDescent="0.2">
      <c r="A62" s="859" t="s">
        <v>481</v>
      </c>
      <c r="B62" s="859" t="s">
        <v>1996</v>
      </c>
      <c r="C62" s="876">
        <f>'Expenditures 15-22'!B185</f>
        <v>3000</v>
      </c>
      <c r="D62" s="866" t="s">
        <v>469</v>
      </c>
      <c r="E62" s="858"/>
      <c r="F62" s="1928">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28">
        <f>'Expenditures 15-22'!K196</f>
        <v>0</v>
      </c>
      <c r="G63" s="855"/>
    </row>
    <row r="64" spans="1:7" x14ac:dyDescent="0.2">
      <c r="A64" s="885" t="s">
        <v>481</v>
      </c>
      <c r="B64" s="885" t="s">
        <v>1998</v>
      </c>
      <c r="C64" s="886" t="str">
        <f>'Expenditures 15-22'!B206</f>
        <v>5300</v>
      </c>
      <c r="D64" s="882" t="s">
        <v>329</v>
      </c>
      <c r="E64" s="858"/>
      <c r="F64" s="1928">
        <f>'Expenditures 15-22'!K206</f>
        <v>0</v>
      </c>
      <c r="G64" s="855"/>
    </row>
    <row r="65" spans="1:8" x14ac:dyDescent="0.2">
      <c r="A65" s="859" t="s">
        <v>481</v>
      </c>
      <c r="B65" s="859" t="s">
        <v>1999</v>
      </c>
      <c r="C65" s="876" t="s">
        <v>1039</v>
      </c>
      <c r="D65" s="875" t="s">
        <v>1157</v>
      </c>
      <c r="E65" s="858"/>
      <c r="F65" s="1928">
        <f>'Expenditures 15-22'!G210</f>
        <v>0</v>
      </c>
      <c r="G65" s="855"/>
    </row>
    <row r="66" spans="1:8" x14ac:dyDescent="0.2">
      <c r="A66" s="859" t="s">
        <v>481</v>
      </c>
      <c r="B66" s="859" t="s">
        <v>2000</v>
      </c>
      <c r="C66" s="876" t="s">
        <v>1039</v>
      </c>
      <c r="D66" s="875" t="s">
        <v>309</v>
      </c>
      <c r="E66" s="858"/>
      <c r="F66" s="1928">
        <f>'Expenditures 15-22'!I210</f>
        <v>540</v>
      </c>
      <c r="G66" s="855"/>
    </row>
    <row r="67" spans="1:8" x14ac:dyDescent="0.2">
      <c r="A67" s="859" t="s">
        <v>482</v>
      </c>
      <c r="B67" s="859" t="s">
        <v>2001</v>
      </c>
      <c r="C67" s="876" t="str">
        <f>'Expenditures 15-22'!B216</f>
        <v>1125</v>
      </c>
      <c r="D67" s="882" t="str">
        <f>'Expenditures 15-22'!A216</f>
        <v>Pre-K Programs</v>
      </c>
      <c r="E67" s="858"/>
      <c r="F67" s="1928">
        <f>'Expenditures 15-22'!K216</f>
        <v>18928</v>
      </c>
      <c r="G67" s="855"/>
    </row>
    <row r="68" spans="1:8" x14ac:dyDescent="0.2">
      <c r="A68" s="859" t="s">
        <v>482</v>
      </c>
      <c r="B68" s="859" t="s">
        <v>1555</v>
      </c>
      <c r="C68" s="876" t="str">
        <f>'Expenditures 15-22'!B218</f>
        <v>1225</v>
      </c>
      <c r="D68" s="882" t="str">
        <f>'Expenditures 15-22'!A218</f>
        <v>Special Education Programs - Pre-K</v>
      </c>
      <c r="E68" s="858"/>
      <c r="F68" s="1928">
        <f>'Expenditures 15-22'!K218</f>
        <v>12626</v>
      </c>
      <c r="G68" s="855"/>
    </row>
    <row r="69" spans="1:8" x14ac:dyDescent="0.2">
      <c r="A69" s="859" t="s">
        <v>482</v>
      </c>
      <c r="B69" s="859" t="s">
        <v>2002</v>
      </c>
      <c r="C69" s="876" t="str">
        <f>'Expenditures 15-22'!B220</f>
        <v>1275</v>
      </c>
      <c r="D69" s="882" t="str">
        <f>'Expenditures 15-22'!A220</f>
        <v>Remedial and Supplemental Programs - Pre-K</v>
      </c>
      <c r="E69" s="858"/>
      <c r="F69" s="1928">
        <f>'Expenditures 15-22'!K220</f>
        <v>0</v>
      </c>
      <c r="G69" s="855"/>
    </row>
    <row r="70" spans="1:8" x14ac:dyDescent="0.2">
      <c r="A70" s="859" t="s">
        <v>482</v>
      </c>
      <c r="B70" s="859" t="s">
        <v>2003</v>
      </c>
      <c r="C70" s="876">
        <f>'Expenditures 15-22'!B221</f>
        <v>1300</v>
      </c>
      <c r="D70" s="877" t="str">
        <f>'Expenditures 15-22'!A221</f>
        <v>Adult/Continuing Education Programs</v>
      </c>
      <c r="E70" s="858"/>
      <c r="F70" s="1928">
        <f>'Expenditures 15-22'!K221</f>
        <v>0</v>
      </c>
      <c r="G70" s="855"/>
    </row>
    <row r="71" spans="1:8" x14ac:dyDescent="0.2">
      <c r="A71" s="859" t="s">
        <v>482</v>
      </c>
      <c r="B71" s="859" t="s">
        <v>2004</v>
      </c>
      <c r="C71" s="876">
        <f>'Expenditures 15-22'!B224</f>
        <v>1600</v>
      </c>
      <c r="D71" s="877" t="str">
        <f>'Expenditures 15-22'!A224</f>
        <v>Summer School Programs</v>
      </c>
      <c r="E71" s="858"/>
      <c r="F71" s="1928">
        <f>'Expenditures 15-22'!K224</f>
        <v>1724</v>
      </c>
      <c r="G71" s="855"/>
    </row>
    <row r="72" spans="1:8" x14ac:dyDescent="0.2">
      <c r="A72" s="859" t="s">
        <v>482</v>
      </c>
      <c r="B72" s="859" t="s">
        <v>2005</v>
      </c>
      <c r="C72" s="876">
        <f>'Expenditures 15-22'!B280</f>
        <v>3000</v>
      </c>
      <c r="D72" s="866" t="s">
        <v>469</v>
      </c>
      <c r="E72" s="858"/>
      <c r="F72" s="1928">
        <f>'Expenditures 15-22'!K280</f>
        <v>4758</v>
      </c>
      <c r="G72" s="855"/>
    </row>
    <row r="73" spans="1:8" x14ac:dyDescent="0.2">
      <c r="A73" s="859" t="s">
        <v>482</v>
      </c>
      <c r="B73" s="859" t="s">
        <v>2006</v>
      </c>
      <c r="C73" s="876" t="str">
        <f>'Expenditures 15-22'!B285</f>
        <v>4000</v>
      </c>
      <c r="D73" s="877" t="str">
        <f>'Expenditures 15-22'!A285</f>
        <v>Total Payments to Other Govt Units</v>
      </c>
      <c r="E73" s="858"/>
      <c r="F73" s="1928">
        <f>'Expenditures 15-22'!K285</f>
        <v>0</v>
      </c>
      <c r="G73" s="855"/>
    </row>
    <row r="74" spans="1:8" x14ac:dyDescent="0.2">
      <c r="A74" s="859" t="s">
        <v>456</v>
      </c>
      <c r="B74" s="859" t="s">
        <v>2007</v>
      </c>
      <c r="C74" s="876" t="s">
        <v>915</v>
      </c>
      <c r="D74" s="877" t="s">
        <v>1567</v>
      </c>
      <c r="E74" s="858"/>
      <c r="F74" s="1932">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2008</v>
      </c>
      <c r="E76" s="1785" t="s">
        <v>1015</v>
      </c>
      <c r="F76" s="1789">
        <f>SUM(F18:F74)</f>
        <v>2274310</v>
      </c>
      <c r="G76" s="855"/>
    </row>
    <row r="77" spans="1:8" s="883" customFormat="1" ht="12" customHeight="1" thickTop="1" thickBot="1" x14ac:dyDescent="0.25">
      <c r="A77" s="1790"/>
      <c r="B77" s="1787"/>
      <c r="C77" s="1783"/>
      <c r="D77" s="1788" t="s">
        <v>2009</v>
      </c>
      <c r="E77" s="1785"/>
      <c r="F77" s="1791">
        <f>(F14-F76)</f>
        <v>13994661</v>
      </c>
      <c r="G77" s="859"/>
    </row>
    <row r="78" spans="1:8" s="883" customFormat="1" ht="12" customHeight="1" thickTop="1" x14ac:dyDescent="0.2">
      <c r="A78" s="1792"/>
      <c r="B78" s="1787"/>
      <c r="C78" s="1783"/>
      <c r="D78" s="1788" t="s">
        <v>2056</v>
      </c>
      <c r="E78" s="1785"/>
      <c r="F78" s="888">
        <v>963.19</v>
      </c>
      <c r="G78" s="889"/>
      <c r="H78" s="859"/>
    </row>
    <row r="79" spans="1:8" s="883" customFormat="1" ht="12" customHeight="1" thickBot="1" x14ac:dyDescent="0.25">
      <c r="A79" s="1793"/>
      <c r="B79" s="1787"/>
      <c r="C79" s="1783"/>
      <c r="D79" s="1788" t="s">
        <v>2010</v>
      </c>
      <c r="E79" s="1785" t="s">
        <v>1015</v>
      </c>
      <c r="F79" s="1794">
        <f>IF(F78&gt;0,F77/F78," Complete Line 78")</f>
        <v>14529.491585253169</v>
      </c>
      <c r="G79" s="859"/>
    </row>
    <row r="80" spans="1:8" s="883" customFormat="1" ht="8.25" customHeight="1" thickTop="1" x14ac:dyDescent="0.2">
      <c r="A80" s="890"/>
      <c r="B80" s="859"/>
      <c r="C80" s="861"/>
      <c r="D80" s="891"/>
      <c r="E80" s="858"/>
      <c r="F80" s="892"/>
      <c r="G80" s="859"/>
    </row>
    <row r="81" spans="1:7" s="883" customFormat="1" ht="12" thickBot="1" x14ac:dyDescent="0.25">
      <c r="A81" s="2455" t="s">
        <v>1167</v>
      </c>
      <c r="B81" s="2456"/>
      <c r="C81" s="2456"/>
      <c r="D81" s="2456"/>
      <c r="E81" s="2456"/>
      <c r="F81" s="2457"/>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2">
        <f>'Revenues 9-14'!F42</f>
        <v>5854</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25</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65804</v>
      </c>
      <c r="G94" s="902"/>
    </row>
    <row r="95" spans="1:7" x14ac:dyDescent="0.2">
      <c r="A95" s="898" t="s">
        <v>142</v>
      </c>
      <c r="B95" s="898" t="s">
        <v>177</v>
      </c>
      <c r="C95" s="900">
        <v>1700</v>
      </c>
      <c r="D95" s="908" t="str">
        <f>'Revenues 9-14'!A82</f>
        <v>Total District/School Activity Income</v>
      </c>
      <c r="E95" s="896"/>
      <c r="F95" s="1800">
        <f>SUM('Revenues 9-14'!C82,'Revenues 9-14'!D82)</f>
        <v>58924</v>
      </c>
      <c r="G95" s="902"/>
    </row>
    <row r="96" spans="1:7" x14ac:dyDescent="0.2">
      <c r="A96" s="898" t="s">
        <v>479</v>
      </c>
      <c r="B96" s="898" t="s">
        <v>178</v>
      </c>
      <c r="C96" s="900">
        <f>'Revenues 9-14'!B84</f>
        <v>1811</v>
      </c>
      <c r="D96" s="901" t="str">
        <f>'Revenues 9-14'!A84</f>
        <v>Rentals - Regular Textbooks</v>
      </c>
      <c r="E96" s="896"/>
      <c r="F96" s="1800">
        <f>'Revenues 9-14'!C84</f>
        <v>0</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9587</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274059</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0</v>
      </c>
      <c r="G106" s="902"/>
    </row>
    <row r="107" spans="1:7" x14ac:dyDescent="0.2">
      <c r="A107" s="911" t="s">
        <v>685</v>
      </c>
      <c r="B107" s="898" t="s">
        <v>843</v>
      </c>
      <c r="C107" s="910">
        <v>3300</v>
      </c>
      <c r="D107" s="901" t="str">
        <f>'Revenues 9-14'!A144</f>
        <v>Total Bilingual Ed</v>
      </c>
      <c r="E107" s="896"/>
      <c r="F107" s="1800">
        <f>SUM('Revenues 9-14'!C144,'Revenues 9-14'!G144)</f>
        <v>114067</v>
      </c>
      <c r="G107" s="902"/>
    </row>
    <row r="108" spans="1:7" x14ac:dyDescent="0.2">
      <c r="A108" s="898" t="s">
        <v>479</v>
      </c>
      <c r="B108" s="898" t="s">
        <v>844</v>
      </c>
      <c r="C108" s="910">
        <f>'Revenues 9-14'!B145</f>
        <v>3360</v>
      </c>
      <c r="D108" s="901" t="str">
        <f>'Revenues 9-14'!A145</f>
        <v>State Free Lunch &amp; Breakfast</v>
      </c>
      <c r="E108" s="896"/>
      <c r="F108" s="1800">
        <f>'Revenues 9-14'!C145</f>
        <v>4381</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0</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123910</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1">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2">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2">
        <f>SUM('Revenues 9-14'!C166:G166)</f>
        <v>0</v>
      </c>
      <c r="G122" s="902"/>
    </row>
    <row r="123" spans="1:7" x14ac:dyDescent="0.2">
      <c r="A123" s="913" t="s">
        <v>525</v>
      </c>
      <c r="B123" s="913" t="s">
        <v>853</v>
      </c>
      <c r="C123" s="914">
        <f>'Revenues 9-14'!B167</f>
        <v>3815</v>
      </c>
      <c r="D123" s="915" t="str">
        <f>'Revenues 9-14'!A167</f>
        <v>State Charter Schools</v>
      </c>
      <c r="E123" s="896"/>
      <c r="F123" s="1922">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16000</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332846</v>
      </c>
      <c r="G129" s="920"/>
    </row>
    <row r="130" spans="1:7" x14ac:dyDescent="0.2">
      <c r="A130" s="917" t="s">
        <v>689</v>
      </c>
      <c r="B130" s="917" t="s">
        <v>804</v>
      </c>
      <c r="C130" s="922">
        <v>4300</v>
      </c>
      <c r="D130" s="923" t="str">
        <f>'Revenues 9-14'!A211</f>
        <v>Total Title I</v>
      </c>
      <c r="E130" s="896"/>
      <c r="F130" s="1800">
        <f>SUM('Revenues 9-14'!C211,'Revenues 9-14'!D211,'Revenues 9-14'!F211,'Revenues 9-14'!G211)</f>
        <v>239315</v>
      </c>
      <c r="G130" s="920"/>
    </row>
    <row r="131" spans="1:7" x14ac:dyDescent="0.2">
      <c r="A131" s="917" t="s">
        <v>689</v>
      </c>
      <c r="B131" s="917" t="s">
        <v>805</v>
      </c>
      <c r="C131" s="922">
        <v>4400</v>
      </c>
      <c r="D131" s="923" t="str">
        <f>'Revenues 9-14'!A216</f>
        <v>Total Title IV</v>
      </c>
      <c r="E131" s="896"/>
      <c r="F131" s="1800">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291022</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8314</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22">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3560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71274</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2">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2">
        <f>SUM('Revenues 9-14'!C268,'Revenues 9-14'!D268,'Revenues 9-14'!F268,'Revenues 9-14'!G268)</f>
        <v>39435</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21509</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33407</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3" t="s">
        <v>5</v>
      </c>
      <c r="B175" s="1934" t="s">
        <v>2055</v>
      </c>
      <c r="C175" s="1935">
        <v>3100</v>
      </c>
      <c r="D175" s="1936" t="s">
        <v>2058</v>
      </c>
      <c r="E175" s="896"/>
      <c r="F175" s="1920"/>
      <c r="G175" s="917"/>
    </row>
    <row r="176" spans="1:7" x14ac:dyDescent="0.2">
      <c r="A176" s="1933" t="s">
        <v>685</v>
      </c>
      <c r="B176" s="1934" t="s">
        <v>2055</v>
      </c>
      <c r="C176" s="1935">
        <v>3300</v>
      </c>
      <c r="D176" s="1936" t="s">
        <v>2059</v>
      </c>
      <c r="E176" s="896"/>
      <c r="F176" s="1920"/>
      <c r="G176" s="917"/>
    </row>
    <row r="177" spans="1:7" ht="6" customHeight="1" x14ac:dyDescent="0.2">
      <c r="A177" s="917"/>
      <c r="B177" s="917"/>
      <c r="C177" s="939"/>
      <c r="D177" s="917"/>
      <c r="E177" s="896"/>
      <c r="F177" s="940"/>
      <c r="G177" s="937"/>
    </row>
    <row r="178" spans="1:7" x14ac:dyDescent="0.2">
      <c r="A178" s="1781"/>
      <c r="B178" s="1795"/>
      <c r="C178" s="1796"/>
      <c r="D178" s="1797" t="s">
        <v>2011</v>
      </c>
      <c r="E178" s="1798" t="s">
        <v>1015</v>
      </c>
      <c r="F178" s="1799">
        <f>SUM(F84:F136,F161:F176)</f>
        <v>1713293</v>
      </c>
    </row>
    <row r="179" spans="1:7" ht="12" customHeight="1" x14ac:dyDescent="0.2">
      <c r="A179" s="1781"/>
      <c r="B179" s="1795"/>
      <c r="C179" s="1796"/>
      <c r="D179" s="1797" t="s">
        <v>2012</v>
      </c>
      <c r="E179" s="1798"/>
      <c r="F179" s="1800">
        <f>'PCTC-OEPP 27-28'!F77-F178</f>
        <v>12281368</v>
      </c>
    </row>
    <row r="180" spans="1:7" ht="12" customHeight="1" x14ac:dyDescent="0.2">
      <c r="A180" s="1781"/>
      <c r="B180" s="1795"/>
      <c r="C180" s="1796"/>
      <c r="D180" s="1797" t="s">
        <v>1921</v>
      </c>
      <c r="E180" s="1798"/>
      <c r="F180" s="1800">
        <f>'Cap Outlay Deprec 26'!I18</f>
        <v>766915.1</v>
      </c>
    </row>
    <row r="181" spans="1:7" ht="12" customHeight="1" x14ac:dyDescent="0.2">
      <c r="A181" s="1781"/>
      <c r="B181" s="1795"/>
      <c r="C181" s="1796"/>
      <c r="D181" s="1797" t="s">
        <v>2013</v>
      </c>
      <c r="E181" s="1798"/>
      <c r="F181" s="1800">
        <f>F179+F180</f>
        <v>13048283.1</v>
      </c>
    </row>
    <row r="182" spans="1:7" ht="12" customHeight="1" x14ac:dyDescent="0.2">
      <c r="A182" s="1781"/>
      <c r="B182" s="1801"/>
      <c r="C182" s="1796"/>
      <c r="D182" s="1797" t="str">
        <f>D78</f>
        <v>9 Month ADA from District Average Daily Attendance/Prior General State Aid Inquiry 2017-2018</v>
      </c>
      <c r="E182" s="1798"/>
      <c r="F182" s="1802">
        <f>'PCTC-OEPP 27-28'!F78</f>
        <v>963.19</v>
      </c>
      <c r="G182" s="920"/>
    </row>
    <row r="183" spans="1:7" ht="12" customHeight="1" thickBot="1" x14ac:dyDescent="0.25">
      <c r="A183" s="1781"/>
      <c r="B183" s="1801"/>
      <c r="C183" s="1796"/>
      <c r="D183" s="1797" t="s">
        <v>2014</v>
      </c>
      <c r="E183" s="1798" t="s">
        <v>1626</v>
      </c>
      <c r="F183" s="1803">
        <f>F181/F182</f>
        <v>13546.946189225386</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39"/>
      <c r="D188" s="920"/>
      <c r="E188" s="939"/>
      <c r="F188" s="920"/>
      <c r="G188" s="920"/>
    </row>
    <row r="189" spans="1:7" x14ac:dyDescent="0.2">
      <c r="A189" s="1941" t="s">
        <v>2061</v>
      </c>
      <c r="B189" s="1942"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F31" sqref="F31"/>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1937</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469" t="s">
        <v>1922</v>
      </c>
      <c r="B4" s="2470"/>
      <c r="C4" s="2470"/>
      <c r="D4" s="2470"/>
      <c r="E4" s="2470"/>
      <c r="F4" s="2470"/>
      <c r="G4" s="2471"/>
    </row>
    <row r="5" spans="1:7" x14ac:dyDescent="0.25">
      <c r="A5" s="2472"/>
      <c r="B5" s="2473"/>
      <c r="C5" s="2473"/>
      <c r="D5" s="2473"/>
      <c r="E5" s="2473"/>
      <c r="F5" s="2473"/>
      <c r="G5" s="2474"/>
    </row>
    <row r="6" spans="1:7" ht="18.75" x14ac:dyDescent="0.25">
      <c r="A6" s="1545" t="s">
        <v>1923</v>
      </c>
      <c r="B6" s="1546"/>
      <c r="C6" s="1546"/>
      <c r="D6" s="1546"/>
      <c r="E6" s="1546"/>
      <c r="F6" s="1546"/>
      <c r="G6" s="1547"/>
    </row>
    <row r="7" spans="1:7" ht="30.75" customHeight="1" x14ac:dyDescent="0.25">
      <c r="A7" s="2475" t="s">
        <v>2072</v>
      </c>
      <c r="B7" s="2476"/>
      <c r="C7" s="2476"/>
      <c r="D7" s="2476"/>
      <c r="E7" s="2476"/>
      <c r="F7" s="2476"/>
      <c r="G7" s="2477"/>
    </row>
    <row r="8" spans="1:7" ht="15.75" customHeight="1" x14ac:dyDescent="0.25">
      <c r="A8" s="2478" t="s">
        <v>2021</v>
      </c>
      <c r="B8" s="2479"/>
      <c r="C8" s="2479"/>
      <c r="D8" s="2479"/>
      <c r="E8" s="2479"/>
      <c r="F8" s="2479"/>
      <c r="G8" s="2480"/>
    </row>
    <row r="9" spans="1:7" ht="35.25" customHeight="1" x14ac:dyDescent="0.25">
      <c r="A9" s="2475" t="s">
        <v>2020</v>
      </c>
      <c r="B9" s="2476"/>
      <c r="C9" s="2476"/>
      <c r="D9" s="2476"/>
      <c r="E9" s="2476"/>
      <c r="F9" s="2476"/>
      <c r="G9" s="2477"/>
    </row>
    <row r="10" spans="1:7" ht="15" customHeight="1" x14ac:dyDescent="0.25">
      <c r="A10" s="1548" t="s">
        <v>1924</v>
      </c>
      <c r="B10" s="1549"/>
      <c r="C10" s="1549"/>
      <c r="D10" s="1549"/>
      <c r="E10" s="1549"/>
      <c r="F10" s="1549"/>
      <c r="G10" s="1550"/>
    </row>
    <row r="11" spans="1:7" ht="17.25" customHeight="1" x14ac:dyDescent="0.25">
      <c r="A11" s="2475" t="s">
        <v>1938</v>
      </c>
      <c r="B11" s="2476"/>
      <c r="C11" s="2476"/>
      <c r="D11" s="2476"/>
      <c r="E11" s="2476"/>
      <c r="F11" s="2476"/>
      <c r="G11" s="2477"/>
    </row>
    <row r="12" spans="1:7" ht="15" customHeight="1" x14ac:dyDescent="0.25">
      <c r="A12" s="1548" t="s">
        <v>1929</v>
      </c>
      <c r="B12" s="1549"/>
      <c r="C12" s="1549"/>
      <c r="D12" s="1549"/>
      <c r="E12" s="1549"/>
      <c r="F12" s="1549"/>
      <c r="G12" s="1550"/>
    </row>
    <row r="13" spans="1:7" ht="32.25" customHeight="1" x14ac:dyDescent="0.25">
      <c r="A13" s="2466" t="s">
        <v>1930</v>
      </c>
      <c r="B13" s="2467"/>
      <c r="C13" s="2467"/>
      <c r="D13" s="2467"/>
      <c r="E13" s="2467"/>
      <c r="F13" s="2467"/>
      <c r="G13" s="2468"/>
    </row>
    <row r="14" spans="1:7" x14ac:dyDescent="0.25">
      <c r="A14" s="1672" t="s">
        <v>1939</v>
      </c>
      <c r="B14" s="1673"/>
      <c r="C14" s="1673"/>
      <c r="D14" s="1673"/>
      <c r="E14" s="1673"/>
      <c r="F14" s="1673"/>
      <c r="G14" s="1674"/>
    </row>
    <row r="15" spans="1:7" ht="61.5" customHeight="1" x14ac:dyDescent="0.25">
      <c r="A15" s="1557" t="s">
        <v>1931</v>
      </c>
      <c r="B15" s="1557" t="s">
        <v>1932</v>
      </c>
      <c r="C15" s="1557" t="s">
        <v>1933</v>
      </c>
      <c r="D15" s="1558" t="s">
        <v>1934</v>
      </c>
      <c r="E15" s="1558" t="s">
        <v>1925</v>
      </c>
      <c r="F15" s="1558" t="s">
        <v>1935</v>
      </c>
      <c r="G15" s="1558" t="s">
        <v>1936</v>
      </c>
    </row>
    <row r="16" spans="1:7" x14ac:dyDescent="0.25">
      <c r="A16" s="1659" t="s">
        <v>1940</v>
      </c>
      <c r="B16" s="1660" t="s">
        <v>1928</v>
      </c>
      <c r="C16" s="1661" t="s">
        <v>1926</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ht="30" x14ac:dyDescent="0.25">
      <c r="A17" s="1947" t="s">
        <v>2119</v>
      </c>
      <c r="B17" s="1946" t="s">
        <v>2116</v>
      </c>
      <c r="C17" s="1945" t="s">
        <v>2111</v>
      </c>
      <c r="D17" s="1856">
        <v>7200</v>
      </c>
      <c r="E17" s="1551">
        <f t="shared" ref="E17:E141" si="1">IF(D17&lt;=25000,D17,IF(D17&gt;25000,25000,0))</f>
        <v>7200</v>
      </c>
      <c r="F17" s="1804">
        <f t="shared" si="0"/>
        <v>7200</v>
      </c>
      <c r="G17" s="1805">
        <f>IF(F17=0,0,D17-F17)</f>
        <v>0</v>
      </c>
      <c r="H17" s="1658"/>
    </row>
    <row r="18" spans="1:8" x14ac:dyDescent="0.25">
      <c r="A18" s="1947" t="s">
        <v>2118</v>
      </c>
      <c r="B18" s="1946" t="s">
        <v>2117</v>
      </c>
      <c r="C18" s="1945" t="s">
        <v>2112</v>
      </c>
      <c r="D18" s="1856">
        <v>253613</v>
      </c>
      <c r="E18" s="1551">
        <f t="shared" ref="E18:E140" si="2">IF(D18&lt;=25000,D18,IF(D18&gt;25000,25000,0))</f>
        <v>25000</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5">
        <f t="shared" ref="G18:G140" si="4">IF(F18=0,0,D18-F18)</f>
        <v>228613</v>
      </c>
    </row>
    <row r="19" spans="1:8" ht="30" x14ac:dyDescent="0.25">
      <c r="A19" s="1947" t="s">
        <v>2119</v>
      </c>
      <c r="B19" s="1946" t="s">
        <v>2116</v>
      </c>
      <c r="C19" s="1945" t="s">
        <v>2113</v>
      </c>
      <c r="D19" s="1856">
        <v>51070</v>
      </c>
      <c r="E19" s="1551">
        <f t="shared" si="2"/>
        <v>25000</v>
      </c>
      <c r="F19" s="1804">
        <f t="shared" si="3"/>
        <v>25000</v>
      </c>
      <c r="G19" s="1805">
        <f t="shared" si="4"/>
        <v>26070</v>
      </c>
    </row>
    <row r="20" spans="1:8" ht="30" x14ac:dyDescent="0.25">
      <c r="A20" s="1947" t="s">
        <v>2119</v>
      </c>
      <c r="B20" s="1946" t="s">
        <v>2116</v>
      </c>
      <c r="C20" s="1945" t="s">
        <v>2114</v>
      </c>
      <c r="D20" s="1856">
        <v>3495</v>
      </c>
      <c r="E20" s="1551">
        <f t="shared" si="2"/>
        <v>3495</v>
      </c>
      <c r="F20" s="1804">
        <f t="shared" si="3"/>
        <v>3495</v>
      </c>
      <c r="G20" s="1805">
        <f t="shared" si="4"/>
        <v>0</v>
      </c>
    </row>
    <row r="21" spans="1:8" ht="30" x14ac:dyDescent="0.25">
      <c r="A21" s="1947" t="s">
        <v>2119</v>
      </c>
      <c r="B21" s="1946" t="s">
        <v>2116</v>
      </c>
      <c r="C21" s="1945" t="s">
        <v>2115</v>
      </c>
      <c r="D21" s="1856">
        <v>2446</v>
      </c>
      <c r="E21" s="1551">
        <f t="shared" si="2"/>
        <v>2446</v>
      </c>
      <c r="F21" s="1804">
        <f t="shared" si="3"/>
        <v>2446</v>
      </c>
      <c r="G21" s="1805">
        <f t="shared" si="4"/>
        <v>0</v>
      </c>
    </row>
    <row r="22" spans="1:8" x14ac:dyDescent="0.25">
      <c r="A22" s="1664"/>
      <c r="B22" s="1857"/>
      <c r="C22" s="1667"/>
      <c r="D22" s="1856"/>
      <c r="E22" s="1551">
        <f t="shared" si="2"/>
        <v>0</v>
      </c>
      <c r="F22" s="1804">
        <f t="shared" si="3"/>
        <v>0</v>
      </c>
      <c r="G22" s="1805">
        <f t="shared" si="4"/>
        <v>0</v>
      </c>
    </row>
    <row r="23" spans="1:8" x14ac:dyDescent="0.25">
      <c r="A23" s="1664"/>
      <c r="B23" s="1857"/>
      <c r="C23" s="1667"/>
      <c r="D23" s="1856"/>
      <c r="E23" s="1551">
        <f t="shared" si="2"/>
        <v>0</v>
      </c>
      <c r="F23" s="1804">
        <f t="shared" si="3"/>
        <v>0</v>
      </c>
      <c r="G23" s="1805">
        <f t="shared" si="4"/>
        <v>0</v>
      </c>
    </row>
    <row r="24" spans="1:8" x14ac:dyDescent="0.25">
      <c r="A24" s="1664"/>
      <c r="B24" s="1858"/>
      <c r="C24" s="1667"/>
      <c r="D24" s="1856"/>
      <c r="E24" s="1551">
        <f t="shared" si="2"/>
        <v>0</v>
      </c>
      <c r="F24" s="1804">
        <f t="shared" si="3"/>
        <v>0</v>
      </c>
      <c r="G24" s="1805">
        <f t="shared" si="4"/>
        <v>0</v>
      </c>
    </row>
    <row r="25" spans="1:8" x14ac:dyDescent="0.25">
      <c r="A25" s="1664"/>
      <c r="B25" s="1857"/>
      <c r="C25" s="1667"/>
      <c r="D25" s="1856"/>
      <c r="E25" s="1551">
        <f t="shared" si="2"/>
        <v>0</v>
      </c>
      <c r="F25" s="1804">
        <f t="shared" si="3"/>
        <v>0</v>
      </c>
      <c r="G25" s="1805">
        <f t="shared" si="4"/>
        <v>0</v>
      </c>
    </row>
    <row r="26" spans="1:8" x14ac:dyDescent="0.25">
      <c r="A26" s="1664"/>
      <c r="B26" s="1858"/>
      <c r="C26" s="1665"/>
      <c r="D26" s="1856"/>
      <c r="E26" s="1551">
        <f t="shared" si="2"/>
        <v>0</v>
      </c>
      <c r="F26" s="1804">
        <f t="shared" si="3"/>
        <v>0</v>
      </c>
      <c r="G26" s="1805">
        <f t="shared" si="4"/>
        <v>0</v>
      </c>
    </row>
    <row r="27" spans="1:8" x14ac:dyDescent="0.25">
      <c r="A27" s="1664"/>
      <c r="B27" s="1858"/>
      <c r="C27" s="1665"/>
      <c r="D27" s="1856"/>
      <c r="E27" s="1551">
        <f t="shared" si="2"/>
        <v>0</v>
      </c>
      <c r="F27" s="1804">
        <f t="shared" si="3"/>
        <v>0</v>
      </c>
      <c r="G27" s="1805">
        <f t="shared" si="4"/>
        <v>0</v>
      </c>
    </row>
    <row r="28" spans="1:8" x14ac:dyDescent="0.25">
      <c r="A28" s="1664"/>
      <c r="B28" s="1858"/>
      <c r="C28" s="1665"/>
      <c r="D28" s="1856"/>
      <c r="E28" s="1551">
        <f t="shared" si="2"/>
        <v>0</v>
      </c>
      <c r="F28" s="1804">
        <f t="shared" si="3"/>
        <v>0</v>
      </c>
      <c r="G28" s="1805">
        <f t="shared" si="4"/>
        <v>0</v>
      </c>
    </row>
    <row r="29" spans="1:8" x14ac:dyDescent="0.25">
      <c r="A29" s="1664"/>
      <c r="B29" s="1858"/>
      <c r="C29" s="1665"/>
      <c r="D29" s="1856"/>
      <c r="E29" s="1551">
        <f t="shared" si="2"/>
        <v>0</v>
      </c>
      <c r="F29" s="1804">
        <f t="shared" si="3"/>
        <v>0</v>
      </c>
      <c r="G29" s="1805">
        <f t="shared" si="4"/>
        <v>0</v>
      </c>
    </row>
    <row r="30" spans="1:8" x14ac:dyDescent="0.25">
      <c r="A30" s="1664"/>
      <c r="B30" s="1858"/>
      <c r="C30" s="1665"/>
      <c r="D30" s="1856"/>
      <c r="E30" s="1551">
        <f t="shared" si="2"/>
        <v>0</v>
      </c>
      <c r="F30" s="1804">
        <f t="shared" si="3"/>
        <v>0</v>
      </c>
      <c r="G30" s="1805">
        <f t="shared" si="4"/>
        <v>0</v>
      </c>
    </row>
    <row r="31" spans="1:8" x14ac:dyDescent="0.25">
      <c r="A31" s="1664"/>
      <c r="B31" s="1858"/>
      <c r="C31" s="1665"/>
      <c r="D31" s="1856"/>
      <c r="E31" s="1551">
        <f t="shared" si="2"/>
        <v>0</v>
      </c>
      <c r="F31" s="1804">
        <f t="shared" si="3"/>
        <v>0</v>
      </c>
      <c r="G31" s="1805">
        <f t="shared" si="4"/>
        <v>0</v>
      </c>
    </row>
    <row r="32" spans="1:8" x14ac:dyDescent="0.25">
      <c r="A32" s="1664"/>
      <c r="B32" s="1858"/>
      <c r="C32" s="1665"/>
      <c r="D32" s="1856"/>
      <c r="E32" s="1551">
        <f t="shared" si="2"/>
        <v>0</v>
      </c>
      <c r="F32" s="1804">
        <f t="shared" si="3"/>
        <v>0</v>
      </c>
      <c r="G32" s="1805">
        <f t="shared" si="4"/>
        <v>0</v>
      </c>
    </row>
    <row r="33" spans="1:7" x14ac:dyDescent="0.25">
      <c r="A33" s="1664"/>
      <c r="B33" s="1858"/>
      <c r="C33" s="1665"/>
      <c r="D33" s="1856"/>
      <c r="E33" s="1551">
        <f t="shared" si="2"/>
        <v>0</v>
      </c>
      <c r="F33" s="1804">
        <f t="shared" si="3"/>
        <v>0</v>
      </c>
      <c r="G33" s="1805">
        <f t="shared" si="4"/>
        <v>0</v>
      </c>
    </row>
    <row r="34" spans="1:7" x14ac:dyDescent="0.25">
      <c r="A34" s="1664"/>
      <c r="B34" s="1858"/>
      <c r="C34" s="1665"/>
      <c r="D34" s="1856"/>
      <c r="E34" s="1551">
        <f t="shared" si="2"/>
        <v>0</v>
      </c>
      <c r="F34" s="1804">
        <f t="shared" si="3"/>
        <v>0</v>
      </c>
      <c r="G34" s="1805">
        <f t="shared" si="4"/>
        <v>0</v>
      </c>
    </row>
    <row r="35" spans="1:7" x14ac:dyDescent="0.25">
      <c r="A35" s="1664"/>
      <c r="B35" s="1858"/>
      <c r="C35" s="1665"/>
      <c r="D35" s="1856"/>
      <c r="E35" s="1551">
        <f t="shared" si="2"/>
        <v>0</v>
      </c>
      <c r="F35" s="1804">
        <f t="shared" si="3"/>
        <v>0</v>
      </c>
      <c r="G35" s="1805">
        <f t="shared" si="4"/>
        <v>0</v>
      </c>
    </row>
    <row r="36" spans="1:7" x14ac:dyDescent="0.25">
      <c r="A36" s="1664"/>
      <c r="B36" s="1858"/>
      <c r="C36" s="1665"/>
      <c r="D36" s="1856"/>
      <c r="E36" s="1551">
        <f t="shared" si="2"/>
        <v>0</v>
      </c>
      <c r="F36" s="1804">
        <f t="shared" si="3"/>
        <v>0</v>
      </c>
      <c r="G36" s="1805">
        <f t="shared" si="4"/>
        <v>0</v>
      </c>
    </row>
    <row r="37" spans="1:7" x14ac:dyDescent="0.25">
      <c r="A37" s="1664"/>
      <c r="B37" s="1858"/>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317824</v>
      </c>
      <c r="E141" s="1552">
        <f t="shared" si="1"/>
        <v>25000</v>
      </c>
      <c r="F141" s="1806">
        <f>SUM(F17:F140)</f>
        <v>63141</v>
      </c>
      <c r="G141" s="1807">
        <f>SUM(G17:G140)</f>
        <v>254683</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31" sqref="F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481" t="s">
        <v>1778</v>
      </c>
      <c r="B5" s="2482"/>
      <c r="C5" s="2482"/>
      <c r="D5" s="2482"/>
      <c r="E5" s="2482"/>
      <c r="F5" s="2482"/>
      <c r="G5" s="2483"/>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2073</v>
      </c>
      <c r="B10" s="961"/>
      <c r="C10" s="966"/>
      <c r="D10" s="962"/>
      <c r="E10" s="963">
        <f>MIN('Revenues 9-14'!C201,('Expenditures 15-22'!E63+'Expenditures 15-22'!F63))</f>
        <v>259654</v>
      </c>
      <c r="F10" s="964"/>
      <c r="G10" s="965"/>
      <c r="H10" s="162"/>
      <c r="I10" s="162"/>
    </row>
    <row r="11" spans="1:9" s="659" customFormat="1" ht="22.5" customHeight="1" x14ac:dyDescent="0.2">
      <c r="A11" s="2486" t="s">
        <v>1942</v>
      </c>
      <c r="B11" s="2487"/>
      <c r="C11" s="2487"/>
      <c r="D11" s="2488"/>
      <c r="E11" s="967">
        <v>26563</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8077831</v>
      </c>
      <c r="F19" s="1811"/>
      <c r="G19" s="1813">
        <f>'Expenditures 15-22'!K33-SUM('Expenditures 15-22'!G33,'Expenditures 15-22'!I33)+'Expenditures 15-22'!D229</f>
        <v>8077831</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717408</v>
      </c>
      <c r="F21" s="1814"/>
      <c r="G21" s="1817">
        <f>'Expenditures 15-22'!K42-SUM('Expenditures 15-22'!G42,'Expenditures 15-22'!I42)+'Expenditures 15-22'!K120-SUM('Expenditures 15-22'!G120,'Expenditures 15-22'!I120)+'Expenditures 15-22'!K180-SUM('Expenditures 15-22'!G180,'Expenditures 15-22'!I180)+'Expenditures 15-22'!D238</f>
        <v>717408</v>
      </c>
      <c r="H21" s="977"/>
      <c r="I21" s="162"/>
    </row>
    <row r="22" spans="1:9" s="659" customFormat="1" ht="12" customHeight="1" x14ac:dyDescent="0.2">
      <c r="A22" s="984" t="s">
        <v>585</v>
      </c>
      <c r="B22" s="985"/>
      <c r="C22" s="983">
        <v>2200</v>
      </c>
      <c r="D22" s="1814"/>
      <c r="E22" s="1816">
        <f>'Expenditures 15-22'!K47-SUM('Expenditures 15-22'!G47,'Expenditures 15-22'!I47)+'Expenditures 15-22'!D243</f>
        <v>1344876</v>
      </c>
      <c r="F22" s="1814"/>
      <c r="G22" s="1817">
        <f>'Expenditures 15-22'!K47-SUM('Expenditures 15-22'!G47,'Expenditures 15-22'!I47)+'Expenditures 15-22'!D243</f>
        <v>1344876</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615459</v>
      </c>
      <c r="F23" s="1814"/>
      <c r="G23" s="1816">
        <f>'Expenditures 15-22'!K53-SUM('Expenditures 15-22'!G53,'Expenditures 15-22'!I53)+'Expenditures 15-22'!D257+'Expenditures 15-22'!K330-SUM('Expenditures 15-22'!G330,'Expenditures 15-22'!I330)</f>
        <v>615459</v>
      </c>
      <c r="H23" s="977"/>
      <c r="I23" s="162"/>
    </row>
    <row r="24" spans="1:9" s="659" customFormat="1" ht="12" customHeight="1" x14ac:dyDescent="0.2">
      <c r="A24" s="984" t="s">
        <v>587</v>
      </c>
      <c r="B24" s="985"/>
      <c r="C24" s="983">
        <v>2400</v>
      </c>
      <c r="D24" s="1814"/>
      <c r="E24" s="1816">
        <f>'Expenditures 15-22'!K57-SUM('Expenditures 15-22'!G57,'Expenditures 15-22'!I57)+'Expenditures 15-22'!D261</f>
        <v>1174799</v>
      </c>
      <c r="F24" s="1814"/>
      <c r="G24" s="1817">
        <f>'Expenditures 15-22'!K57-SUM('Expenditures 15-22'!G57,'Expenditures 15-22'!I57)+'Expenditures 15-22'!D261</f>
        <v>1174799</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90915</v>
      </c>
      <c r="E26" s="1816">
        <f>'Expenditures 15-22'!K122-SUM('Expenditures 15-22'!G122,'Expenditures 15-22'!I122)+E7</f>
        <v>34975</v>
      </c>
      <c r="F26" s="1816">
        <f>'Expenditures 15-22'!K59-SUM('Expenditures 15-22'!G59,'Expenditures 15-22'!I59)+'Expenditures 15-22'!D263-E7</f>
        <v>90915</v>
      </c>
      <c r="G26" s="1817">
        <f>'Expenditures 15-22'!K122-SUM('Expenditures 15-22'!G122,'Expenditures 15-22'!I122)+E7</f>
        <v>34975</v>
      </c>
      <c r="H26" s="977"/>
      <c r="I26" s="162"/>
    </row>
    <row r="27" spans="1:9" s="659" customFormat="1" ht="12" customHeight="1" x14ac:dyDescent="0.2">
      <c r="A27" s="984" t="s">
        <v>483</v>
      </c>
      <c r="B27" s="987"/>
      <c r="C27" s="983">
        <v>2520</v>
      </c>
      <c r="D27" s="1816">
        <f>'Expenditures 15-22'!K60-SUM('Expenditures 15-22'!G60,'Expenditures 15-22'!I60)+'Expenditures 15-22'!D264-E8</f>
        <v>142928</v>
      </c>
      <c r="E27" s="1816">
        <f>E8</f>
        <v>0</v>
      </c>
      <c r="F27" s="1816">
        <f>'Expenditures 15-22'!K60-SUM('Expenditures 15-22'!G60,'Expenditures 15-22'!I60)+'Expenditures 15-22'!D264-E8</f>
        <v>142928</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1767337</v>
      </c>
      <c r="F28" s="1818">
        <f>'Expenditures 15-22'!K61-SUM('Expenditures 15-22'!G61,'Expenditures 15-22'!I61)+'Expenditures 15-22'!K124-SUM('Expenditures 15-22'!G124,'Expenditures 15-22'!I124)+'Expenditures 15-22'!D266-E9</f>
        <v>1767337</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586907</v>
      </c>
      <c r="F29" s="1814"/>
      <c r="G29" s="1817">
        <f>'Expenditures 15-22'!K62-SUM('Expenditures 15-22'!G62,'Expenditures 15-22'!I62)+'Expenditures 15-22'!K125-SUM('Expenditures 15-22'!G125,'Expenditures 15-22'!I125)+'Expenditures 15-22'!K182-SUM('Expenditures 15-22'!G182,'Expenditures 15-22'!I182)+'Expenditures 15-22'!D267</f>
        <v>586907</v>
      </c>
      <c r="H29" s="975"/>
    </row>
    <row r="30" spans="1:9" ht="12" customHeight="1" x14ac:dyDescent="0.2">
      <c r="A30" s="984" t="s">
        <v>102</v>
      </c>
      <c r="B30" s="987"/>
      <c r="C30" s="983">
        <v>2560</v>
      </c>
      <c r="D30" s="1814"/>
      <c r="E30" s="1816">
        <f>'Expenditures 15-22'!K63-SUM('Expenditures 15-22'!G63,'Expenditures 15-22'!I63)+'Expenditures 15-22'!D268-E10</f>
        <v>0</v>
      </c>
      <c r="F30" s="1814"/>
      <c r="G30" s="1816">
        <f>'Expenditures 15-22'!K63-SUM('Expenditures 15-22'!G63,'Expenditures 15-22'!I63)+'Expenditures 15-22'!D268-E10</f>
        <v>0</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84" t="s">
        <v>423</v>
      </c>
      <c r="B36" s="987"/>
      <c r="C36" s="983">
        <v>2640</v>
      </c>
      <c r="D36" s="1816">
        <f>'Expenditures 15-22'!K70-SUM('Expenditures 15-22'!G70,'Expenditures 15-22'!I70)+'Expenditures 15-22'!D275-E13</f>
        <v>510</v>
      </c>
      <c r="E36" s="1816">
        <f>E13</f>
        <v>0</v>
      </c>
      <c r="F36" s="1816">
        <f>'Expenditures 15-22'!K70-SUM('Expenditures 15-22'!G70,'Expenditures 15-22'!I70)+'Expenditures 15-22'!D275-E13</f>
        <v>510</v>
      </c>
      <c r="G36" s="1816">
        <f>E13</f>
        <v>0</v>
      </c>
    </row>
    <row r="37" spans="1:7" ht="12" customHeight="1" x14ac:dyDescent="0.2">
      <c r="A37" s="984" t="s">
        <v>424</v>
      </c>
      <c r="B37" s="987"/>
      <c r="C37" s="983">
        <v>2660</v>
      </c>
      <c r="D37" s="1816">
        <f>'Expenditures 15-22'!K71-SUM('Expenditures 15-22'!G71,'Expenditures 15-22'!I71)+'Expenditures 15-22'!D276-E14</f>
        <v>0</v>
      </c>
      <c r="E37" s="1816">
        <f>E14</f>
        <v>0</v>
      </c>
      <c r="F37" s="1816">
        <f>'Expenditures 15-22'!K71-SUM('Expenditures 15-22'!G71,'Expenditures 15-22'!I71)+'Expenditures 15-22'!D276-E14</f>
        <v>0</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0</v>
      </c>
      <c r="F38" s="1814"/>
      <c r="G38" s="181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66558</v>
      </c>
      <c r="F39" s="1814"/>
      <c r="G39" s="1816">
        <f>'Expenditures 15-22'!K75-SUM('Expenditures 15-22'!G75,'Expenditures 15-22'!I75)+'Expenditures 15-22'!K130-SUM('Expenditures 15-22'!G130,'Expenditures 15-22'!I130)+'Expenditures 15-22'!K185-SUM('Expenditures 15-22'!G185,'Expenditures 15-22'!I185)+'Expenditures 15-22'!D280</f>
        <v>66558</v>
      </c>
    </row>
    <row r="40" spans="1:7" ht="12" customHeight="1" x14ac:dyDescent="0.2">
      <c r="A40" s="980" t="s">
        <v>1927</v>
      </c>
      <c r="B40" s="981"/>
      <c r="C40" s="983"/>
      <c r="D40" s="1814"/>
      <c r="E40" s="1818">
        <f>-'Contracts Paid in CY 29'!G141</f>
        <v>-254683</v>
      </c>
      <c r="F40" s="1814"/>
      <c r="G40" s="1818">
        <f>-'Contracts Paid in CY 29'!G141</f>
        <v>-254683</v>
      </c>
    </row>
    <row r="41" spans="1:7" ht="12" customHeight="1" x14ac:dyDescent="0.2">
      <c r="A41" s="988" t="s">
        <v>158</v>
      </c>
      <c r="B41" s="989"/>
      <c r="C41" s="990"/>
      <c r="D41" s="1818">
        <f>SUM(D19:D39)</f>
        <v>234353</v>
      </c>
      <c r="E41" s="1818">
        <f>SUM(E19:E40)</f>
        <v>14131467</v>
      </c>
      <c r="F41" s="1818">
        <f>SUM(F19:F39)</f>
        <v>2001690</v>
      </c>
      <c r="G41" s="1818">
        <f>SUM(G19:G40)</f>
        <v>12364130</v>
      </c>
    </row>
    <row r="42" spans="1:7" x14ac:dyDescent="0.2">
      <c r="A42" s="977"/>
      <c r="B42" s="162"/>
      <c r="C42" s="991"/>
      <c r="D42" s="2484" t="s">
        <v>543</v>
      </c>
      <c r="E42" s="2485"/>
      <c r="F42" s="992" t="s">
        <v>544</v>
      </c>
      <c r="G42" s="993"/>
    </row>
    <row r="43" spans="1:7" ht="12" customHeight="1" x14ac:dyDescent="0.2">
      <c r="A43" s="977"/>
      <c r="B43" s="162"/>
      <c r="C43" s="991"/>
      <c r="D43" s="1819" t="s">
        <v>493</v>
      </c>
      <c r="E43" s="1820">
        <f>D41</f>
        <v>234353</v>
      </c>
      <c r="F43" s="1819" t="s">
        <v>495</v>
      </c>
      <c r="G43" s="1820">
        <f>F41</f>
        <v>2001690</v>
      </c>
    </row>
    <row r="44" spans="1:7" ht="12" customHeight="1" x14ac:dyDescent="0.2">
      <c r="A44" s="977"/>
      <c r="B44" s="162"/>
      <c r="C44" s="991"/>
      <c r="D44" s="1819" t="s">
        <v>494</v>
      </c>
      <c r="E44" s="1820">
        <f>E41</f>
        <v>14131467</v>
      </c>
      <c r="F44" s="1819" t="s">
        <v>494</v>
      </c>
      <c r="G44" s="1820">
        <f>G41</f>
        <v>12364130</v>
      </c>
    </row>
    <row r="45" spans="1:7" ht="12" customHeight="1" x14ac:dyDescent="0.2">
      <c r="A45" s="977"/>
      <c r="B45" s="162"/>
      <c r="C45" s="162"/>
      <c r="D45" s="1821" t="s">
        <v>1063</v>
      </c>
      <c r="E45" s="1822">
        <f>(E43/E44)</f>
        <v>1.6583770106811981E-2</v>
      </c>
      <c r="F45" s="1821" t="s">
        <v>1063</v>
      </c>
      <c r="G45" s="1822">
        <f>(G43/G44)</f>
        <v>0.1618949331655361</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F31" sqref="F31"/>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492" t="s">
        <v>1446</v>
      </c>
      <c r="B1" s="2492"/>
      <c r="C1" s="2492"/>
      <c r="D1" s="2492"/>
      <c r="E1" s="2492"/>
      <c r="F1" s="2492"/>
    </row>
    <row r="2" spans="1:10" x14ac:dyDescent="0.2">
      <c r="A2" s="1901" t="s">
        <v>2045</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493" t="s">
        <v>1627</v>
      </c>
      <c r="B5" s="2494"/>
      <c r="C5" s="2495"/>
      <c r="D5" s="2495"/>
      <c r="E5" s="2495"/>
      <c r="F5" s="2495"/>
    </row>
    <row r="6" spans="1:10" ht="12" customHeight="1" x14ac:dyDescent="0.25">
      <c r="A6" s="1864"/>
      <c r="B6" s="1865"/>
      <c r="C6" s="2496" t="str">
        <f>COVER!A17</f>
        <v>Wood Dale SD 7</v>
      </c>
      <c r="D6" s="2496"/>
      <c r="E6" s="2496"/>
      <c r="F6" s="1866"/>
    </row>
    <row r="7" spans="1:10" ht="11.25" customHeight="1" thickBot="1" x14ac:dyDescent="0.3">
      <c r="A7" s="1864"/>
      <c r="B7" s="1865"/>
      <c r="C7" s="2497">
        <f>COVER!A13</f>
        <v>19022007002</v>
      </c>
      <c r="D7" s="2497"/>
      <c r="E7" s="2497"/>
      <c r="F7" s="1866"/>
    </row>
    <row r="8" spans="1:10" ht="25.5" customHeight="1" thickBot="1" x14ac:dyDescent="0.25">
      <c r="A8" s="1907" t="s">
        <v>2022</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t="s">
        <v>2081</v>
      </c>
      <c r="D11" s="1879" t="s">
        <v>2081</v>
      </c>
      <c r="E11" s="1880"/>
      <c r="F11" s="1881" t="s">
        <v>2090</v>
      </c>
      <c r="H11" s="1892">
        <f>IF(C11="X",5,0)</f>
        <v>5</v>
      </c>
      <c r="I11" s="1892">
        <f>IF(D11="X",5,0)</f>
        <v>5</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t="s">
        <v>2081</v>
      </c>
      <c r="D14" s="1879" t="s">
        <v>2081</v>
      </c>
      <c r="E14" s="1882"/>
      <c r="F14" s="1881" t="s">
        <v>2091</v>
      </c>
      <c r="H14" s="1892">
        <f t="shared" si="0"/>
        <v>5</v>
      </c>
      <c r="I14" s="1892">
        <f t="shared" si="1"/>
        <v>5</v>
      </c>
      <c r="J14" s="1892">
        <f t="shared" si="2"/>
        <v>0</v>
      </c>
    </row>
    <row r="15" spans="1:10" ht="12" customHeight="1" x14ac:dyDescent="0.2">
      <c r="A15" s="1877" t="s">
        <v>1454</v>
      </c>
      <c r="B15" s="1878"/>
      <c r="C15" s="1879" t="s">
        <v>2081</v>
      </c>
      <c r="D15" s="1879" t="s">
        <v>2081</v>
      </c>
      <c r="E15" s="1882"/>
      <c r="F15" s="1881" t="s">
        <v>2092</v>
      </c>
      <c r="H15" s="1892">
        <f t="shared" si="0"/>
        <v>5</v>
      </c>
      <c r="I15" s="1892">
        <f t="shared" si="1"/>
        <v>5</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t="s">
        <v>2081</v>
      </c>
      <c r="D18" s="1879" t="s">
        <v>2081</v>
      </c>
      <c r="E18" s="1882"/>
      <c r="F18" s="1881" t="s">
        <v>2093</v>
      </c>
      <c r="H18" s="1892">
        <f t="shared" si="0"/>
        <v>5</v>
      </c>
      <c r="I18" s="1892">
        <f t="shared" si="1"/>
        <v>5</v>
      </c>
      <c r="J18" s="1892">
        <f t="shared" si="2"/>
        <v>0</v>
      </c>
    </row>
    <row r="19" spans="1:12" ht="12" customHeight="1" x14ac:dyDescent="0.2">
      <c r="A19" s="1877" t="s">
        <v>1608</v>
      </c>
      <c r="B19" s="1878"/>
      <c r="C19" s="1879" t="s">
        <v>2081</v>
      </c>
      <c r="D19" s="1879" t="s">
        <v>2081</v>
      </c>
      <c r="E19" s="1882"/>
      <c r="F19" s="1881" t="s">
        <v>2094</v>
      </c>
      <c r="H19" s="1892">
        <f t="shared" si="0"/>
        <v>5</v>
      </c>
      <c r="I19" s="1892">
        <f t="shared" si="1"/>
        <v>5</v>
      </c>
      <c r="J19" s="1892">
        <f t="shared" si="2"/>
        <v>0</v>
      </c>
    </row>
    <row r="20" spans="1:12" ht="12" customHeight="1" x14ac:dyDescent="0.2">
      <c r="A20" s="1877" t="s">
        <v>1609</v>
      </c>
      <c r="B20" s="1878"/>
      <c r="C20" s="1879" t="s">
        <v>2081</v>
      </c>
      <c r="D20" s="1879" t="s">
        <v>2081</v>
      </c>
      <c r="E20" s="1882"/>
      <c r="F20" s="1881" t="s">
        <v>2095</v>
      </c>
      <c r="H20" s="1892">
        <f t="shared" si="0"/>
        <v>5</v>
      </c>
      <c r="I20" s="1892">
        <f t="shared" si="1"/>
        <v>5</v>
      </c>
      <c r="J20" s="1892">
        <f t="shared" si="2"/>
        <v>0</v>
      </c>
    </row>
    <row r="21" spans="1:12" ht="12" customHeight="1" x14ac:dyDescent="0.2">
      <c r="A21" s="1877" t="s">
        <v>1610</v>
      </c>
      <c r="B21" s="1878"/>
      <c r="C21" s="1879" t="s">
        <v>2081</v>
      </c>
      <c r="D21" s="1879" t="s">
        <v>2081</v>
      </c>
      <c r="E21" s="1882"/>
      <c r="F21" s="1881" t="s">
        <v>2096</v>
      </c>
      <c r="H21" s="1892">
        <f t="shared" si="0"/>
        <v>5</v>
      </c>
      <c r="I21" s="1892">
        <f t="shared" si="1"/>
        <v>5</v>
      </c>
      <c r="J21" s="1892">
        <f t="shared" si="2"/>
        <v>0</v>
      </c>
    </row>
    <row r="22" spans="1:12" ht="12" customHeight="1" x14ac:dyDescent="0.2">
      <c r="A22" s="1877" t="s">
        <v>1611</v>
      </c>
      <c r="B22" s="1878"/>
      <c r="C22" s="1879" t="s">
        <v>2081</v>
      </c>
      <c r="D22" s="1879" t="s">
        <v>2081</v>
      </c>
      <c r="E22" s="1882"/>
      <c r="F22" s="1881" t="s">
        <v>2097</v>
      </c>
      <c r="H22" s="1892">
        <f t="shared" si="0"/>
        <v>5</v>
      </c>
      <c r="I22" s="1892">
        <f t="shared" si="1"/>
        <v>5</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t="s">
        <v>2081</v>
      </c>
      <c r="D24" s="1879" t="s">
        <v>2081</v>
      </c>
      <c r="E24" s="1882"/>
      <c r="F24" s="1881" t="s">
        <v>2098</v>
      </c>
      <c r="H24" s="1892">
        <f t="shared" si="0"/>
        <v>5</v>
      </c>
      <c r="I24" s="1892">
        <f t="shared" si="1"/>
        <v>5</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2081</v>
      </c>
      <c r="D26" s="1879" t="s">
        <v>2081</v>
      </c>
      <c r="E26" s="1882"/>
      <c r="F26" s="1881" t="s">
        <v>2099</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t="s">
        <v>2081</v>
      </c>
      <c r="D28" s="1879" t="s">
        <v>2081</v>
      </c>
      <c r="E28" s="1882"/>
      <c r="F28" s="1881" t="s">
        <v>2100</v>
      </c>
      <c r="H28" s="1892">
        <f t="shared" si="0"/>
        <v>5</v>
      </c>
      <c r="I28" s="1892">
        <f t="shared" si="1"/>
        <v>5</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t="s">
        <v>2081</v>
      </c>
      <c r="D30" s="1879" t="s">
        <v>2081</v>
      </c>
      <c r="E30" s="1882"/>
      <c r="F30" s="1881" t="s">
        <v>2101</v>
      </c>
      <c r="H30" s="1892">
        <f t="shared" si="0"/>
        <v>5</v>
      </c>
      <c r="I30" s="1892">
        <f t="shared" si="1"/>
        <v>5</v>
      </c>
      <c r="J30" s="1892">
        <f t="shared" si="2"/>
        <v>0</v>
      </c>
    </row>
    <row r="31" spans="1:12" ht="12" customHeight="1" x14ac:dyDescent="0.2">
      <c r="A31" s="1877" t="s">
        <v>1620</v>
      </c>
      <c r="B31" s="1878"/>
      <c r="C31" s="1879"/>
      <c r="D31" s="1879"/>
      <c r="E31" s="1882"/>
      <c r="F31" s="1881"/>
      <c r="H31" s="1892">
        <f t="shared" si="0"/>
        <v>0</v>
      </c>
      <c r="I31" s="1892">
        <f t="shared" si="1"/>
        <v>0</v>
      </c>
      <c r="J31" s="1892">
        <f t="shared" si="2"/>
        <v>0</v>
      </c>
      <c r="L31" s="1883"/>
    </row>
    <row r="32" spans="1:12" ht="12" customHeight="1" x14ac:dyDescent="0.2">
      <c r="A32" s="1877" t="s">
        <v>1621</v>
      </c>
      <c r="B32" s="1878"/>
      <c r="C32" s="1879" t="s">
        <v>2081</v>
      </c>
      <c r="D32" s="1879" t="s">
        <v>2081</v>
      </c>
      <c r="E32" s="1882"/>
      <c r="F32" s="1881" t="s">
        <v>2102</v>
      </c>
      <c r="H32" s="1892">
        <f t="shared" si="0"/>
        <v>5</v>
      </c>
      <c r="I32" s="1892">
        <f t="shared" si="1"/>
        <v>5</v>
      </c>
      <c r="J32" s="1892">
        <f t="shared" si="2"/>
        <v>0</v>
      </c>
    </row>
    <row r="33" spans="1:11" ht="12" customHeight="1" x14ac:dyDescent="0.2">
      <c r="A33" s="1877" t="s">
        <v>1622</v>
      </c>
      <c r="B33" s="1878"/>
      <c r="C33" s="1879" t="s">
        <v>2081</v>
      </c>
      <c r="D33" s="1879" t="s">
        <v>2081</v>
      </c>
      <c r="E33" s="1882"/>
      <c r="F33" s="1881" t="s">
        <v>2103</v>
      </c>
      <c r="H33" s="1892">
        <f t="shared" si="0"/>
        <v>5</v>
      </c>
      <c r="I33" s="1892">
        <f t="shared" si="1"/>
        <v>5</v>
      </c>
      <c r="J33" s="1892">
        <f t="shared" si="2"/>
        <v>0</v>
      </c>
    </row>
    <row r="34" spans="1:11" ht="12" customHeight="1" x14ac:dyDescent="0.25">
      <c r="A34" s="1884"/>
      <c r="B34" s="1884"/>
      <c r="C34" s="1884"/>
      <c r="D34" s="1884"/>
      <c r="E34" s="1884"/>
      <c r="F34" s="1884"/>
      <c r="H34" s="1892">
        <f>SUM(H11:H32)</f>
        <v>65</v>
      </c>
      <c r="I34" s="1892">
        <f>SUM(I11:I32)</f>
        <v>65</v>
      </c>
      <c r="J34" s="1892">
        <f>SUM(J11:J32)</f>
        <v>0</v>
      </c>
      <c r="K34" s="1892">
        <f>SUM(H34:J34)</f>
        <v>130</v>
      </c>
    </row>
    <row r="35" spans="1:11" ht="12" customHeight="1" x14ac:dyDescent="0.2">
      <c r="A35" s="1885" t="s">
        <v>1459</v>
      </c>
      <c r="B35" s="1886"/>
      <c r="C35" s="2498"/>
      <c r="D35" s="2498"/>
      <c r="E35" s="2498"/>
      <c r="F35" s="2499"/>
    </row>
    <row r="36" spans="1:11" ht="12" customHeight="1" x14ac:dyDescent="0.2">
      <c r="A36" s="2489"/>
      <c r="B36" s="2490"/>
      <c r="C36" s="2490"/>
      <c r="D36" s="2490"/>
      <c r="E36" s="2490"/>
      <c r="F36" s="2491"/>
    </row>
    <row r="37" spans="1:11" ht="12" customHeight="1" x14ac:dyDescent="0.2">
      <c r="A37" s="2489"/>
      <c r="B37" s="2490"/>
      <c r="C37" s="2490"/>
      <c r="D37" s="2490"/>
      <c r="E37" s="2490"/>
      <c r="F37" s="2491"/>
    </row>
    <row r="38" spans="1:11" ht="12" customHeight="1" x14ac:dyDescent="0.2">
      <c r="A38" s="2503"/>
      <c r="B38" s="2504"/>
      <c r="C38" s="2504"/>
      <c r="D38" s="2504"/>
      <c r="E38" s="2504"/>
      <c r="F38" s="2505"/>
    </row>
    <row r="39" spans="1:11" ht="4.5" hidden="1" customHeight="1" x14ac:dyDescent="0.2">
      <c r="A39" s="1887"/>
      <c r="B39" s="1887"/>
      <c r="C39" s="1887"/>
      <c r="D39" s="1887"/>
      <c r="E39" s="1887"/>
      <c r="F39" s="1887"/>
    </row>
    <row r="40" spans="1:11" s="1884" customFormat="1" ht="12" customHeight="1" x14ac:dyDescent="0.25">
      <c r="A40" s="1888" t="s">
        <v>1458</v>
      </c>
      <c r="B40" s="1889"/>
      <c r="C40" s="2506"/>
      <c r="D40" s="2506"/>
      <c r="E40" s="2506"/>
      <c r="F40" s="2507"/>
      <c r="H40" s="1893"/>
      <c r="I40" s="1893"/>
      <c r="J40" s="1893"/>
      <c r="K40" s="1893"/>
    </row>
    <row r="41" spans="1:11" s="1884" customFormat="1" ht="12" customHeight="1" x14ac:dyDescent="0.25">
      <c r="A41" s="2508"/>
      <c r="B41" s="2509"/>
      <c r="C41" s="2509"/>
      <c r="D41" s="2509"/>
      <c r="E41" s="2509"/>
      <c r="F41" s="2510"/>
      <c r="H41" s="1893"/>
      <c r="I41" s="1893"/>
      <c r="J41" s="1893"/>
      <c r="K41" s="1893"/>
    </row>
    <row r="42" spans="1:11" s="1884" customFormat="1" ht="12" customHeight="1" x14ac:dyDescent="0.25">
      <c r="A42" s="2508"/>
      <c r="B42" s="2509"/>
      <c r="C42" s="2509"/>
      <c r="D42" s="2509"/>
      <c r="E42" s="2509"/>
      <c r="F42" s="2510"/>
      <c r="H42" s="1893"/>
      <c r="I42" s="1893"/>
      <c r="J42" s="1893"/>
      <c r="K42" s="1893"/>
    </row>
    <row r="43" spans="1:11" s="1884" customFormat="1" ht="15" x14ac:dyDescent="0.25">
      <c r="A43" s="2500"/>
      <c r="B43" s="2501"/>
      <c r="C43" s="2501"/>
      <c r="D43" s="2501"/>
      <c r="E43" s="2501"/>
      <c r="F43" s="2502"/>
      <c r="H43" s="1893"/>
      <c r="I43" s="1893"/>
      <c r="J43" s="1893"/>
      <c r="K43" s="1893"/>
    </row>
    <row r="44" spans="1:11" s="1884" customFormat="1" ht="12" hidden="1" customHeight="1" x14ac:dyDescent="0.25">
      <c r="A44" s="2500"/>
      <c r="B44" s="2501"/>
      <c r="C44" s="2501"/>
      <c r="D44" s="2501"/>
      <c r="E44" s="2501"/>
      <c r="F44" s="2502"/>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31" sqref="F31"/>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8" t="s">
        <v>693</v>
      </c>
      <c r="B6" s="1653"/>
      <c r="C6" s="1653"/>
      <c r="D6" s="1653"/>
      <c r="E6" s="1654"/>
      <c r="F6" s="1005"/>
      <c r="G6" s="999"/>
      <c r="H6" s="1006" t="s">
        <v>1086</v>
      </c>
      <c r="I6" s="2516" t="str">
        <f>COVER!A17</f>
        <v>Wood Dale SD 7</v>
      </c>
      <c r="J6" s="2517"/>
      <c r="Q6" s="1675"/>
    </row>
    <row r="7" spans="1:17" x14ac:dyDescent="0.2">
      <c r="A7" s="2518" t="s">
        <v>924</v>
      </c>
      <c r="B7" s="2519"/>
      <c r="C7" s="2519"/>
      <c r="D7" s="2519"/>
      <c r="E7" s="2520"/>
      <c r="F7" s="1007"/>
      <c r="G7" s="999"/>
      <c r="H7" s="1006" t="s">
        <v>390</v>
      </c>
      <c r="I7" s="2521">
        <f>COVER!A13</f>
        <v>19022007002</v>
      </c>
      <c r="J7" s="2521"/>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9" t="s">
        <v>1701</v>
      </c>
      <c r="F9" s="1013"/>
      <c r="G9" s="1013"/>
      <c r="H9" s="1910"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522" t="s">
        <v>502</v>
      </c>
      <c r="B11" s="2523"/>
      <c r="C11" s="2524"/>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328807</v>
      </c>
      <c r="F12" s="1029"/>
      <c r="G12" s="1823">
        <f t="shared" ref="G12:G18" si="0">SUM(E12:F12)</f>
        <v>328807</v>
      </c>
      <c r="H12" s="1030">
        <v>336900</v>
      </c>
      <c r="I12" s="1029"/>
      <c r="J12" s="1823">
        <f t="shared" ref="J12:J18" si="1">SUM(H12:I12)</f>
        <v>336900</v>
      </c>
    </row>
    <row r="13" spans="1:17" ht="15" customHeight="1" x14ac:dyDescent="0.2">
      <c r="A13" s="1025">
        <v>2</v>
      </c>
      <c r="B13" s="1026" t="s">
        <v>44</v>
      </c>
      <c r="C13" s="1027"/>
      <c r="D13" s="1028">
        <v>2330</v>
      </c>
      <c r="E13" s="1823">
        <f>'Expenditures 15-22'!K51</f>
        <v>38349</v>
      </c>
      <c r="F13" s="1029"/>
      <c r="G13" s="1823">
        <f t="shared" si="0"/>
        <v>38349</v>
      </c>
      <c r="H13" s="1030">
        <v>22237</v>
      </c>
      <c r="I13" s="1029"/>
      <c r="J13" s="1823">
        <f t="shared" si="1"/>
        <v>22237</v>
      </c>
    </row>
    <row r="14" spans="1:17" ht="15" customHeight="1" x14ac:dyDescent="0.2">
      <c r="A14" s="1025">
        <v>3</v>
      </c>
      <c r="B14" s="1026" t="s">
        <v>45</v>
      </c>
      <c r="C14" s="1027"/>
      <c r="D14" s="1031">
        <v>2490</v>
      </c>
      <c r="E14" s="1823">
        <f>'Expenditures 15-22'!K56</f>
        <v>174183</v>
      </c>
      <c r="F14" s="1029"/>
      <c r="G14" s="1823">
        <f t="shared" si="0"/>
        <v>174183</v>
      </c>
      <c r="H14" s="1030">
        <v>177194</v>
      </c>
      <c r="I14" s="1029"/>
      <c r="J14" s="1823">
        <f t="shared" si="1"/>
        <v>177194</v>
      </c>
    </row>
    <row r="15" spans="1:17" ht="15" customHeight="1" x14ac:dyDescent="0.2">
      <c r="A15" s="1025">
        <v>4</v>
      </c>
      <c r="B15" s="1026" t="s">
        <v>1128</v>
      </c>
      <c r="C15" s="1027"/>
      <c r="D15" s="1028">
        <v>2510</v>
      </c>
      <c r="E15" s="1823">
        <f>'Expenditures 15-22'!K59</f>
        <v>89138</v>
      </c>
      <c r="F15" s="1823">
        <f>'Expenditures 15-22'!K122</f>
        <v>34975</v>
      </c>
      <c r="G15" s="1823">
        <f t="shared" si="0"/>
        <v>124113</v>
      </c>
      <c r="H15" s="1030">
        <v>80992</v>
      </c>
      <c r="I15" s="1030">
        <v>44538</v>
      </c>
      <c r="J15" s="1823">
        <f t="shared" si="1"/>
        <v>125530</v>
      </c>
    </row>
    <row r="16" spans="1:17" ht="15" customHeight="1" x14ac:dyDescent="0.2">
      <c r="A16" s="1025">
        <v>5</v>
      </c>
      <c r="B16" s="1026" t="s">
        <v>103</v>
      </c>
      <c r="C16" s="1027"/>
      <c r="D16" s="1028">
        <v>2570</v>
      </c>
      <c r="E16" s="1823">
        <f>'Expenditures 15-22'!K64</f>
        <v>0</v>
      </c>
      <c r="F16" s="1029"/>
      <c r="G16" s="1823">
        <f t="shared" si="0"/>
        <v>0</v>
      </c>
      <c r="H16" s="1030"/>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c r="I17" s="1029"/>
      <c r="J17" s="1823">
        <f t="shared" si="1"/>
        <v>0</v>
      </c>
    </row>
    <row r="18" spans="1:10" ht="22.5" customHeight="1" x14ac:dyDescent="0.2">
      <c r="A18" s="1032">
        <v>7</v>
      </c>
      <c r="B18" s="2525" t="s">
        <v>7</v>
      </c>
      <c r="C18" s="2526"/>
      <c r="D18" s="2527"/>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630477</v>
      </c>
      <c r="F19" s="1825">
        <f t="shared" si="2"/>
        <v>34975</v>
      </c>
      <c r="G19" s="1825">
        <f t="shared" si="2"/>
        <v>665452</v>
      </c>
      <c r="H19" s="1825">
        <f t="shared" si="2"/>
        <v>617323</v>
      </c>
      <c r="I19" s="1825">
        <f t="shared" si="2"/>
        <v>44538</v>
      </c>
      <c r="J19" s="1825">
        <f t="shared" si="2"/>
        <v>661861</v>
      </c>
    </row>
    <row r="20" spans="1:10" ht="13.5" thickTop="1" x14ac:dyDescent="0.2">
      <c r="A20" s="1025">
        <v>9</v>
      </c>
      <c r="B20" s="2528" t="s">
        <v>1703</v>
      </c>
      <c r="C20" s="2528"/>
      <c r="D20" s="2529"/>
      <c r="E20" s="1036"/>
      <c r="F20" s="1036"/>
      <c r="G20" s="1036"/>
      <c r="H20" s="1036"/>
      <c r="I20" s="1036"/>
      <c r="J20" s="1826">
        <f>IF(AND(G19&gt;0,J19&gt;0),(((J19-G19)/G19)),"Enter Budget Data")</f>
        <v>-5.396332117117388E-3</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534"/>
      <c r="D26" s="2534"/>
      <c r="E26" s="1040"/>
      <c r="F26" s="2533"/>
      <c r="G26" s="2533"/>
    </row>
    <row r="27" spans="1:10" x14ac:dyDescent="0.2">
      <c r="B27" s="1037"/>
      <c r="C27" s="1041" t="s">
        <v>1093</v>
      </c>
      <c r="D27" s="1042"/>
      <c r="E27" s="1043"/>
      <c r="F27" s="2530" t="s">
        <v>1589</v>
      </c>
      <c r="G27" s="2530"/>
    </row>
    <row r="28" spans="1:10" ht="28.5" customHeight="1" x14ac:dyDescent="0.2">
      <c r="B28" s="1037"/>
      <c r="C28" s="2532"/>
      <c r="D28" s="2532"/>
      <c r="E28" s="1044"/>
      <c r="F28" s="2532"/>
      <c r="G28" s="2532"/>
    </row>
    <row r="29" spans="1:10" x14ac:dyDescent="0.2">
      <c r="B29" s="1037"/>
      <c r="C29" s="1045" t="s">
        <v>1642</v>
      </c>
      <c r="E29" s="1046"/>
      <c r="F29" s="2531" t="s">
        <v>1590</v>
      </c>
      <c r="G29" s="2531"/>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513" t="s">
        <v>134</v>
      </c>
      <c r="D33" s="2514"/>
      <c r="E33" s="2514"/>
      <c r="F33" s="2514"/>
      <c r="G33" s="2514"/>
      <c r="H33" s="2514"/>
      <c r="I33" s="2514"/>
    </row>
    <row r="34" spans="1:10" ht="10.35" customHeight="1" x14ac:dyDescent="0.2">
      <c r="C34" s="2514"/>
      <c r="D34" s="2514"/>
      <c r="E34" s="2514"/>
      <c r="F34" s="2514"/>
      <c r="G34" s="2514"/>
      <c r="H34" s="2514"/>
      <c r="I34" s="2514"/>
    </row>
    <row r="35" spans="1:10" ht="7.5" customHeight="1" x14ac:dyDescent="0.2">
      <c r="C35" s="1052"/>
    </row>
    <row r="36" spans="1:10" ht="13.5" customHeight="1" x14ac:dyDescent="0.2">
      <c r="B36" s="1051"/>
      <c r="C36" s="2515" t="s">
        <v>1941</v>
      </c>
      <c r="D36" s="2514"/>
      <c r="E36" s="2514"/>
      <c r="F36" s="2514"/>
      <c r="G36" s="2514"/>
      <c r="H36" s="2514"/>
      <c r="I36" s="2514"/>
      <c r="J36" s="1053"/>
    </row>
    <row r="37" spans="1:10" ht="22.5" customHeight="1" x14ac:dyDescent="0.2">
      <c r="C37" s="2514"/>
      <c r="D37" s="2514"/>
      <c r="E37" s="2514"/>
      <c r="F37" s="2514"/>
      <c r="G37" s="2514"/>
      <c r="H37" s="2514"/>
      <c r="I37" s="2514"/>
      <c r="J37" s="1053"/>
    </row>
    <row r="38" spans="1:10" ht="7.5" customHeight="1" x14ac:dyDescent="0.2">
      <c r="C38" s="1052"/>
      <c r="D38" s="1054"/>
      <c r="E38" s="1055"/>
      <c r="F38" s="1056"/>
      <c r="G38" s="1055"/>
    </row>
    <row r="39" spans="1:10" ht="13.5" customHeight="1" x14ac:dyDescent="0.2">
      <c r="B39" s="1051"/>
      <c r="C39" s="2511" t="s">
        <v>937</v>
      </c>
      <c r="D39" s="2512"/>
      <c r="E39" s="2512"/>
      <c r="F39" s="2512"/>
      <c r="G39" s="2512"/>
      <c r="H39" s="2512"/>
      <c r="I39" s="2512"/>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topLeftCell="A46" zoomScale="110" zoomScaleNormal="110" workbookViewId="0">
      <selection activeCell="F31" sqref="F3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c r="B63" s="258" t="str">
        <f>COVER!A17</f>
        <v>Wood Dale SD 7</v>
      </c>
    </row>
    <row r="64" spans="1:2" x14ac:dyDescent="0.2">
      <c r="B64" s="1060">
        <f>COVER!A13</f>
        <v>19022007002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F31" sqref="F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8" t="s">
        <v>1709</v>
      </c>
    </row>
    <row r="23" spans="1:5" x14ac:dyDescent="0.2">
      <c r="A23" s="168"/>
      <c r="B23" s="162" t="s">
        <v>1966</v>
      </c>
      <c r="D23" s="167" t="s">
        <v>658</v>
      </c>
      <c r="E23" s="184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52" t="s">
        <v>1125</v>
      </c>
      <c r="B35" s="2252"/>
      <c r="C35" s="2252"/>
      <c r="D35" s="2252"/>
      <c r="E35" s="22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49" t="s">
        <v>715</v>
      </c>
      <c r="B40" s="2249"/>
      <c r="C40" s="2249"/>
      <c r="D40" s="2249"/>
      <c r="E40" s="2249"/>
    </row>
    <row r="41" spans="1:5" x14ac:dyDescent="0.2">
      <c r="A41" s="2250" t="s">
        <v>1706</v>
      </c>
      <c r="B41" s="2250"/>
      <c r="C41" s="2250"/>
      <c r="D41" s="2250"/>
      <c r="E41" s="2250"/>
    </row>
    <row r="42" spans="1:5" ht="12.75" customHeight="1" x14ac:dyDescent="0.2">
      <c r="A42" s="2251" t="s">
        <v>1080</v>
      </c>
      <c r="B42" s="2251"/>
      <c r="C42" s="2251"/>
      <c r="D42" s="2251"/>
      <c r="E42" s="225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6" t="s">
        <v>1876</v>
      </c>
    </row>
    <row r="60" spans="1:3" x14ac:dyDescent="0.2">
      <c r="A60" s="196"/>
      <c r="B60" s="149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F31" sqref="F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535" t="s">
        <v>1784</v>
      </c>
      <c r="B18" s="2535"/>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2</xdr:col>
                <xdr:colOff>19050</xdr:colOff>
                <xdr:row>28</xdr:row>
                <xdr:rowOff>19050</xdr:rowOff>
              </from>
              <to>
                <xdr:col>3</xdr:col>
                <xdr:colOff>323850</xdr:colOff>
                <xdr:row>32</xdr:row>
                <xdr:rowOff>57150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3</xdr:col>
                <xdr:colOff>342900</xdr:colOff>
                <xdr:row>28</xdr:row>
                <xdr:rowOff>28575</xdr:rowOff>
              </from>
              <to>
                <xdr:col>5</xdr:col>
                <xdr:colOff>38100</xdr:colOff>
                <xdr:row>32</xdr:row>
                <xdr:rowOff>66675</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5</xdr:col>
                <xdr:colOff>47625</xdr:colOff>
                <xdr:row>28</xdr:row>
                <xdr:rowOff>28575</xdr:rowOff>
              </from>
              <to>
                <xdr:col>6</xdr:col>
                <xdr:colOff>352425</xdr:colOff>
                <xdr:row>32</xdr:row>
                <xdr:rowOff>66675</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6</xdr:col>
                <xdr:colOff>381000</xdr:colOff>
                <xdr:row>28</xdr:row>
                <xdr:rowOff>28575</xdr:rowOff>
              </from>
              <to>
                <xdr:col>8</xdr:col>
                <xdr:colOff>76200</xdr:colOff>
                <xdr:row>32</xdr:row>
                <xdr:rowOff>66675</xdr:rowOff>
              </to>
            </anchor>
          </objectPr>
        </oleObject>
      </mc:Choice>
      <mc:Fallback>
        <oleObject progId="AcroExch.Document.7" dvAspect="DVASPECT_ICON" shapeId="35844" r:id="rId10"/>
      </mc:Fallback>
    </mc:AlternateContent>
    <mc:AlternateContent xmlns:mc="http://schemas.openxmlformats.org/markup-compatibility/2006">
      <mc:Choice Requires="x14">
        <oleObject progId="AcroExch.Document.7" dvAspect="DVASPECT_ICON" shapeId="35845" r:id="rId12">
          <objectPr defaultSize="0" r:id="rId13">
            <anchor moveWithCells="1">
              <from>
                <xdr:col>8</xdr:col>
                <xdr:colOff>85725</xdr:colOff>
                <xdr:row>28</xdr:row>
                <xdr:rowOff>28575</xdr:rowOff>
              </from>
              <to>
                <xdr:col>9</xdr:col>
                <xdr:colOff>390525</xdr:colOff>
                <xdr:row>32</xdr:row>
                <xdr:rowOff>66675</xdr:rowOff>
              </to>
            </anchor>
          </objectPr>
        </oleObject>
      </mc:Choice>
      <mc:Fallback>
        <oleObject progId="AcroExch.Document.7"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F31" sqref="F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36" t="s">
        <v>1790</v>
      </c>
      <c r="B1" s="2537"/>
      <c r="C1" s="2537"/>
      <c r="D1" s="2537"/>
      <c r="E1" s="2537"/>
      <c r="F1" s="2538"/>
    </row>
    <row r="2" spans="1:8" ht="45" customHeight="1" x14ac:dyDescent="0.2">
      <c r="A2" s="2546" t="s">
        <v>1791</v>
      </c>
      <c r="B2" s="2547"/>
      <c r="C2" s="2547"/>
      <c r="D2" s="2547"/>
      <c r="E2" s="2547"/>
      <c r="F2" s="2548"/>
      <c r="G2" s="1064"/>
      <c r="H2" s="1064"/>
    </row>
    <row r="3" spans="1:8" ht="57" customHeight="1" x14ac:dyDescent="0.2">
      <c r="A3" s="2549" t="s">
        <v>1786</v>
      </c>
      <c r="B3" s="2550"/>
      <c r="C3" s="2550"/>
      <c r="D3" s="2550"/>
      <c r="E3" s="2550"/>
      <c r="F3" s="2551"/>
      <c r="G3" s="1064"/>
      <c r="H3" s="1064"/>
    </row>
    <row r="4" spans="1:8" ht="14.25" customHeight="1" x14ac:dyDescent="0.2">
      <c r="A4" s="2555" t="s">
        <v>2053</v>
      </c>
      <c r="B4" s="2556"/>
      <c r="C4" s="2556"/>
      <c r="D4" s="2556"/>
      <c r="E4" s="2556"/>
      <c r="F4" s="2557"/>
      <c r="G4" s="1064"/>
      <c r="H4" s="1064"/>
    </row>
    <row r="5" spans="1:8" ht="14.25" customHeight="1" x14ac:dyDescent="0.2">
      <c r="A5" s="2558" t="s">
        <v>2054</v>
      </c>
      <c r="B5" s="2559"/>
      <c r="C5" s="2559"/>
      <c r="D5" s="2559"/>
      <c r="E5" s="2559"/>
      <c r="F5" s="2560"/>
      <c r="G5" s="1064"/>
      <c r="H5" s="1064"/>
    </row>
    <row r="6" spans="1:8" s="1065" customFormat="1" ht="41.25" customHeight="1" x14ac:dyDescent="0.2">
      <c r="A6" s="2552" t="s">
        <v>1792</v>
      </c>
      <c r="B6" s="2553"/>
      <c r="C6" s="2553"/>
      <c r="D6" s="2553"/>
      <c r="E6" s="2553"/>
      <c r="F6" s="2554"/>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13856824</v>
      </c>
      <c r="C8" s="1827">
        <f>'Acct Summary 7-8'!D8</f>
        <v>2188184</v>
      </c>
      <c r="D8" s="1827">
        <f>'Acct Summary 7-8'!F8</f>
        <v>555411</v>
      </c>
      <c r="E8" s="1827">
        <f>'Acct Summary 7-8'!I8</f>
        <v>60171</v>
      </c>
      <c r="F8" s="1827">
        <f>SUM(B8:E8)</f>
        <v>16660590</v>
      </c>
    </row>
    <row r="9" spans="1:8" s="1069" customFormat="1" ht="14.25" customHeight="1" thickBot="1" x14ac:dyDescent="0.25">
      <c r="A9" s="1068" t="s">
        <v>1436</v>
      </c>
      <c r="B9" s="1828">
        <f>'Acct Summary 7-8'!C17</f>
        <v>13131142</v>
      </c>
      <c r="C9" s="1828">
        <f>'Acct Summary 7-8'!D17</f>
        <v>1740953</v>
      </c>
      <c r="D9" s="1828">
        <f>'Acct Summary 7-8'!F17</f>
        <v>535356</v>
      </c>
      <c r="E9" s="1827"/>
      <c r="F9" s="1827">
        <f>SUM(B9:E9)</f>
        <v>15407451</v>
      </c>
    </row>
    <row r="10" spans="1:8" s="1069" customFormat="1" ht="14.25" thickTop="1" thickBot="1" x14ac:dyDescent="0.25">
      <c r="A10" s="1070" t="s">
        <v>1437</v>
      </c>
      <c r="B10" s="1829">
        <f>(B8-B9)</f>
        <v>725682</v>
      </c>
      <c r="C10" s="1829">
        <f>(C8-C9)</f>
        <v>447231</v>
      </c>
      <c r="D10" s="1829">
        <f>(D8-D9)</f>
        <v>20055</v>
      </c>
      <c r="E10" s="1828">
        <f>(E8-E9)</f>
        <v>60171</v>
      </c>
      <c r="F10" s="1830">
        <f>SUM(F8-F9)</f>
        <v>1253139</v>
      </c>
    </row>
    <row r="11" spans="1:8" s="1069" customFormat="1" ht="14.25" thickTop="1" thickBot="1" x14ac:dyDescent="0.25">
      <c r="A11" s="1071" t="s">
        <v>1785</v>
      </c>
      <c r="B11" s="1831">
        <f>'Acct Summary 7-8'!C81</f>
        <v>6874750</v>
      </c>
      <c r="C11" s="1831">
        <f>'Acct Summary 7-8'!D81</f>
        <v>2117133</v>
      </c>
      <c r="D11" s="1831">
        <f>'Acct Summary 7-8'!F81</f>
        <v>1086285</v>
      </c>
      <c r="E11" s="1831">
        <f>'Acct Summary 7-8'!I81</f>
        <v>1644656</v>
      </c>
      <c r="F11" s="1832">
        <f>SUM(B11:E11)</f>
        <v>11722824</v>
      </c>
    </row>
    <row r="12" spans="1:8" ht="16.5" customHeight="1" thickTop="1" x14ac:dyDescent="0.2">
      <c r="A12" s="1072"/>
      <c r="B12" s="1073"/>
      <c r="C12" s="2540" t="str">
        <f>IF(AND(F10&lt;0,F11&gt;=0,ABS(F10*3)&gt;ABS(F11)),A16,IF(AND(F10&lt;0,F11&gt;0,ABS(F10*3)&lt;=ABS(F11)),A17,IF(AND(F10&lt;0,F11&lt;0),A16,IF(F11=0,A19,A18))))</f>
        <v>Balanced - no deficit reduction plan is required.</v>
      </c>
      <c r="D12" s="2541"/>
      <c r="E12" s="2541"/>
      <c r="F12" s="2542"/>
    </row>
    <row r="13" spans="1:8" ht="19.5" customHeight="1" x14ac:dyDescent="0.2">
      <c r="A13" s="1074"/>
      <c r="B13" s="1075"/>
      <c r="C13" s="2540"/>
      <c r="D13" s="2541"/>
      <c r="E13" s="2541"/>
      <c r="F13" s="2542"/>
      <c r="H13" s="1064"/>
    </row>
    <row r="14" spans="1:8" ht="19.5" customHeight="1" x14ac:dyDescent="0.2">
      <c r="A14" s="1074"/>
      <c r="B14" s="1075"/>
      <c r="C14" s="2540"/>
      <c r="D14" s="2541"/>
      <c r="E14" s="2541"/>
      <c r="F14" s="2542"/>
      <c r="H14" s="1064"/>
    </row>
    <row r="15" spans="1:8" ht="17.25" customHeight="1" x14ac:dyDescent="0.2">
      <c r="A15" s="1074"/>
      <c r="B15" s="1075"/>
      <c r="C15" s="2543"/>
      <c r="D15" s="2544"/>
      <c r="E15" s="2544"/>
      <c r="F15" s="2545"/>
      <c r="H15" s="1064"/>
    </row>
    <row r="16" spans="1:8" s="310" customFormat="1" ht="51.75" hidden="1" customHeight="1" x14ac:dyDescent="0.2">
      <c r="A16" s="2539" t="s">
        <v>1787</v>
      </c>
      <c r="B16" s="2539"/>
      <c r="C16" s="2539"/>
      <c r="D16" s="2539"/>
      <c r="E16" s="2539"/>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1"/>
      <c r="B2" s="1912"/>
      <c r="C2" s="1913"/>
      <c r="D2" s="1914"/>
    </row>
    <row r="3" spans="1:4" ht="36" customHeight="1" x14ac:dyDescent="0.2">
      <c r="A3" s="2561" t="s">
        <v>686</v>
      </c>
      <c r="B3" s="2562"/>
      <c r="C3" s="2562"/>
      <c r="D3" s="2563"/>
    </row>
    <row r="4" spans="1:4" x14ac:dyDescent="0.2">
      <c r="A4" s="1142" t="s">
        <v>1793</v>
      </c>
      <c r="B4" s="1143"/>
      <c r="C4" s="1144"/>
      <c r="D4" s="1145"/>
    </row>
    <row r="5" spans="1:4" ht="21" customHeight="1" x14ac:dyDescent="0.2">
      <c r="A5" s="1138"/>
      <c r="B5" s="1139">
        <v>1</v>
      </c>
      <c r="C5" s="1140" t="s">
        <v>1943</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72" t="s">
        <v>1584</v>
      </c>
      <c r="D7" s="2573"/>
    </row>
    <row r="8" spans="1:4" s="659" customFormat="1" ht="12.75" x14ac:dyDescent="0.2">
      <c r="A8" s="1128"/>
      <c r="B8" s="1083"/>
      <c r="C8" s="1086" t="s">
        <v>1583</v>
      </c>
      <c r="D8" s="1087"/>
    </row>
    <row r="9" spans="1:4" s="659" customFormat="1" ht="14.25" customHeight="1" x14ac:dyDescent="0.2">
      <c r="A9" s="1128"/>
      <c r="B9" s="1083">
        <f>B7+1</f>
        <v>4</v>
      </c>
      <c r="C9" s="1084" t="s">
        <v>2046</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564" t="s">
        <v>1065</v>
      </c>
      <c r="B15" s="2565"/>
      <c r="C15" s="2565"/>
      <c r="D15" s="2566"/>
    </row>
    <row r="16" spans="1:4" s="659" customFormat="1" ht="24" customHeight="1" x14ac:dyDescent="0.2">
      <c r="A16" s="2567" t="s">
        <v>684</v>
      </c>
      <c r="B16" s="2568"/>
      <c r="C16" s="2568"/>
      <c r="D16" s="2569"/>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76" t="s">
        <v>332</v>
      </c>
      <c r="D21" s="2577"/>
    </row>
    <row r="22" spans="1:10" ht="12.75" x14ac:dyDescent="0.2">
      <c r="A22" s="1129"/>
      <c r="B22" s="1130">
        <v>2</v>
      </c>
      <c r="C22" s="2574" t="s">
        <v>1605</v>
      </c>
      <c r="D22" s="2575"/>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78" t="s">
        <v>557</v>
      </c>
      <c r="D43" s="2579"/>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70" t="s">
        <v>817</v>
      </c>
      <c r="D56" s="2571"/>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1079</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570" t="s">
        <v>1797</v>
      </c>
      <c r="D70" s="2571"/>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2051</v>
      </c>
      <c r="D78" s="1114" t="str">
        <f>IF(ISNUMBER('Acct Summary 7-8'!C9),"OK","ENTRY IS REQUIRED!")</f>
        <v>OK</v>
      </c>
    </row>
    <row r="79" spans="1:4" x14ac:dyDescent="0.2">
      <c r="A79" s="1109"/>
      <c r="B79" s="1110">
        <f>B74+1+1</f>
        <v>12</v>
      </c>
      <c r="C79" s="1120" t="s">
        <v>2016</v>
      </c>
      <c r="D79" s="1121" t="str">
        <f>IF(OR(COVER!$B$6="X",'PCTC-OEPP 27-28'!F78&gt;0),"OK","PLEASE ENTER 9 MO ADA.")</f>
        <v>OK</v>
      </c>
    </row>
    <row r="80" spans="1:4" x14ac:dyDescent="0.2">
      <c r="A80" s="1088"/>
      <c r="B80" s="1110">
        <v>13</v>
      </c>
      <c r="C80" s="1120" t="s">
        <v>2052</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19022007002</v>
      </c>
    </row>
    <row r="3" spans="1:2" x14ac:dyDescent="0.2">
      <c r="A3" t="s">
        <v>1013</v>
      </c>
      <c r="B3" s="138" t="str">
        <f>COVER!A15</f>
        <v>DuPage</v>
      </c>
    </row>
    <row r="4" spans="1:2" x14ac:dyDescent="0.2">
      <c r="A4" t="s">
        <v>1064</v>
      </c>
      <c r="B4" s="138" t="str">
        <f>COVER!A17</f>
        <v>Wood Dale SD 7</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6874750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6874750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6874750</v>
      </c>
      <c r="D92" s="2" t="str">
        <f t="shared" si="0"/>
        <v>Error?</v>
      </c>
    </row>
    <row r="93" spans="1:4" x14ac:dyDescent="0.2">
      <c r="A93" s="5">
        <v>32</v>
      </c>
      <c r="B93" s="138">
        <f>'Assets-Liab 5-6'!C41</f>
        <v>6874750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2117133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2117133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2117133</v>
      </c>
      <c r="D123" s="2" t="str">
        <f t="shared" si="0"/>
        <v>Error?</v>
      </c>
    </row>
    <row r="124" spans="1:4" x14ac:dyDescent="0.2">
      <c r="A124" s="5">
        <v>63</v>
      </c>
      <c r="B124" s="138">
        <f>'Assets-Liab 5-6'!D41</f>
        <v>2117133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238768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238768</v>
      </c>
      <c r="D140" s="2" t="str">
        <f t="shared" si="1"/>
        <v>Error?</v>
      </c>
    </row>
    <row r="141" spans="1:4" x14ac:dyDescent="0.2">
      <c r="A141" s="5">
        <v>80</v>
      </c>
      <c r="B141" s="138">
        <f>'Assets-Liab 5-6'!E41</f>
        <v>238768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861200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1086285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1086285</v>
      </c>
      <c r="D170" s="2" t="str">
        <f t="shared" si="1"/>
        <v>Error?</v>
      </c>
    </row>
    <row r="171" spans="1:4" x14ac:dyDescent="0.2">
      <c r="A171" s="5">
        <v>110</v>
      </c>
      <c r="B171" s="138">
        <f>'Assets-Liab 5-6'!F41</f>
        <v>1086285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230221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230221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230221</v>
      </c>
      <c r="D189" s="2" t="str">
        <f t="shared" si="1"/>
        <v>Error?</v>
      </c>
    </row>
    <row r="190" spans="1:4" x14ac:dyDescent="0.2">
      <c r="A190" s="5">
        <v>129</v>
      </c>
      <c r="B190" s="138">
        <f>'Assets-Liab 5-6'!G41</f>
        <v>230221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930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41204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41204</v>
      </c>
      <c r="D212" s="2" t="str">
        <f t="shared" si="2"/>
        <v>Error?</v>
      </c>
    </row>
    <row r="213" spans="1:4" x14ac:dyDescent="0.2">
      <c r="A213" s="12">
        <v>152</v>
      </c>
      <c r="B213" s="138">
        <f>'Assets-Liab 5-6'!H41</f>
        <v>41204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87581</v>
      </c>
      <c r="D273" s="2" t="str">
        <f t="shared" si="3"/>
        <v>Error?</v>
      </c>
    </row>
    <row r="274" spans="1:4" x14ac:dyDescent="0.2">
      <c r="A274" s="5">
        <v>213</v>
      </c>
      <c r="B274" s="138">
        <f>'Assets-Liab 5-6'!M17</f>
        <v>19643807</v>
      </c>
      <c r="D274" s="2" t="str">
        <f t="shared" si="3"/>
        <v>Error?</v>
      </c>
    </row>
    <row r="275" spans="1:4" x14ac:dyDescent="0.2">
      <c r="A275" s="5">
        <v>214</v>
      </c>
      <c r="B275" s="138">
        <f>'Assets-Liab 5-6'!M18</f>
        <v>2066896</v>
      </c>
      <c r="D275" s="2" t="str">
        <f t="shared" si="3"/>
        <v>Error?</v>
      </c>
    </row>
    <row r="276" spans="1:4" x14ac:dyDescent="0.2">
      <c r="A276" s="5">
        <v>215</v>
      </c>
      <c r="B276" s="138">
        <f>'Assets-Liab 5-6'!M19</f>
        <v>2093890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23892174</v>
      </c>
      <c r="C279" s="2" t="s">
        <v>594</v>
      </c>
      <c r="D279" s="2" t="str">
        <f t="shared" si="3"/>
        <v>Error?</v>
      </c>
    </row>
    <row r="280" spans="1:4" x14ac:dyDescent="0.2">
      <c r="A280" s="5">
        <v>219</v>
      </c>
      <c r="B280" s="138">
        <f>'Assets-Liab 5-6'!M40</f>
        <v>23892174</v>
      </c>
      <c r="D280" s="2" t="str">
        <f t="shared" si="3"/>
        <v>Error?</v>
      </c>
    </row>
    <row r="281" spans="1:4" x14ac:dyDescent="0.2">
      <c r="A281" s="5">
        <v>220</v>
      </c>
      <c r="B281" s="138">
        <f>'Assets-Liab 5-6'!M41</f>
        <v>23892174</v>
      </c>
      <c r="C281" s="2" t="s">
        <v>594</v>
      </c>
      <c r="D281" s="2" t="str">
        <f t="shared" si="3"/>
        <v>Error?</v>
      </c>
    </row>
    <row r="282" spans="1:4" x14ac:dyDescent="0.2">
      <c r="A282" s="5">
        <v>221</v>
      </c>
      <c r="B282" s="138">
        <f>'Assets-Liab 5-6'!N21</f>
        <v>238768</v>
      </c>
      <c r="D282" s="2" t="str">
        <f t="shared" si="3"/>
        <v>Error?</v>
      </c>
    </row>
    <row r="283" spans="1:4" x14ac:dyDescent="0.2">
      <c r="A283" s="5">
        <v>222</v>
      </c>
      <c r="B283" s="138">
        <f>'Assets-Liab 5-6'!N22</f>
        <v>3036052</v>
      </c>
      <c r="D283" s="2" t="str">
        <f t="shared" si="3"/>
        <v>Error?</v>
      </c>
    </row>
    <row r="284" spans="1:4" x14ac:dyDescent="0.2">
      <c r="A284" s="5">
        <v>223</v>
      </c>
      <c r="B284" s="138">
        <f>'Assets-Liab 5-6'!N23</f>
        <v>3274820</v>
      </c>
      <c r="C284" s="2" t="s">
        <v>594</v>
      </c>
      <c r="D284" s="2" t="str">
        <f t="shared" si="3"/>
        <v>Error?</v>
      </c>
    </row>
    <row r="285" spans="1:4" x14ac:dyDescent="0.2">
      <c r="A285" s="5">
        <v>224</v>
      </c>
      <c r="B285" s="138">
        <f>'Assets-Liab 5-6'!N36</f>
        <v>3274820</v>
      </c>
      <c r="D285" s="2" t="str">
        <f t="shared" si="3"/>
        <v>Error?</v>
      </c>
    </row>
    <row r="286" spans="1:4" x14ac:dyDescent="0.2">
      <c r="A286" s="10">
        <v>225</v>
      </c>
      <c r="D286" s="2" t="str">
        <f t="shared" si="3"/>
        <v>OK</v>
      </c>
    </row>
    <row r="287" spans="1:4" x14ac:dyDescent="0.2">
      <c r="A287" s="5">
        <v>226</v>
      </c>
      <c r="B287" s="138">
        <f>'Assets-Liab 5-6'!N37</f>
        <v>3274820</v>
      </c>
      <c r="C287" s="2" t="s">
        <v>594</v>
      </c>
      <c r="D287" s="2" t="str">
        <f t="shared" si="3"/>
        <v>Error?</v>
      </c>
    </row>
    <row r="288" spans="1:4" x14ac:dyDescent="0.2">
      <c r="A288" s="5">
        <v>227</v>
      </c>
      <c r="B288" s="138">
        <f>'Assets-Liab 5-6'!N41</f>
        <v>3274820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3846164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766811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81229</v>
      </c>
      <c r="D718" s="2" t="str">
        <f t="shared" si="10"/>
        <v>Error?</v>
      </c>
    </row>
    <row r="719" spans="1:4" x14ac:dyDescent="0.2">
      <c r="A719" s="5">
        <v>658</v>
      </c>
      <c r="B719" s="138">
        <f>'Expenditures 15-22'!C15</f>
        <v>51712</v>
      </c>
      <c r="D719" s="2" t="str">
        <f t="shared" si="10"/>
        <v>Error?</v>
      </c>
    </row>
    <row r="720" spans="1:4" x14ac:dyDescent="0.2">
      <c r="A720" s="5">
        <v>659</v>
      </c>
      <c r="B720" s="138">
        <f>'Expenditures 15-22'!C33</f>
        <v>5821533</v>
      </c>
      <c r="C720" s="2" t="s">
        <v>594</v>
      </c>
      <c r="D720" s="2" t="str">
        <f t="shared" si="10"/>
        <v>Error?</v>
      </c>
    </row>
    <row r="721" spans="1:4" x14ac:dyDescent="0.2">
      <c r="A721" s="5">
        <v>660</v>
      </c>
      <c r="B721" s="138">
        <f>'Expenditures 15-22'!C36</f>
        <v>193727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129521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148675</v>
      </c>
      <c r="D725" s="2" t="str">
        <f t="shared" si="10"/>
        <v>Error?</v>
      </c>
    </row>
    <row r="726" spans="1:4" x14ac:dyDescent="0.2">
      <c r="A726" s="5">
        <v>665</v>
      </c>
      <c r="B726" s="138">
        <f>'Expenditures 15-22'!C41</f>
        <v>62598</v>
      </c>
      <c r="D726" s="2" t="str">
        <f t="shared" si="10"/>
        <v>Error?</v>
      </c>
    </row>
    <row r="727" spans="1:4" x14ac:dyDescent="0.2">
      <c r="A727" s="5">
        <v>666</v>
      </c>
      <c r="B727" s="138">
        <f>'Expenditures 15-22'!C42</f>
        <v>534521</v>
      </c>
      <c r="C727" s="2" t="s">
        <v>594</v>
      </c>
      <c r="D727" s="2" t="str">
        <f t="shared" si="10"/>
        <v>Error?</v>
      </c>
    </row>
    <row r="728" spans="1:4" x14ac:dyDescent="0.2">
      <c r="A728" s="5">
        <v>667</v>
      </c>
      <c r="B728" s="138">
        <f>'Expenditures 15-22'!C44</f>
        <v>444797</v>
      </c>
      <c r="D728" s="2" t="str">
        <f t="shared" si="10"/>
        <v>Error?</v>
      </c>
    </row>
    <row r="729" spans="1:4" x14ac:dyDescent="0.2">
      <c r="A729" s="5">
        <v>668</v>
      </c>
      <c r="B729" s="138">
        <f>'Expenditures 15-22'!C45</f>
        <v>298092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742889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264496</v>
      </c>
      <c r="D733" s="2" t="str">
        <f t="shared" si="10"/>
        <v>Error?</v>
      </c>
    </row>
    <row r="734" spans="1:4" x14ac:dyDescent="0.2">
      <c r="A734" s="5">
        <v>673</v>
      </c>
      <c r="B734" s="138">
        <f>'Expenditures 15-22'!C53</f>
        <v>296054</v>
      </c>
      <c r="C734" s="2" t="s">
        <v>594</v>
      </c>
      <c r="D734" s="2" t="str">
        <f t="shared" si="10"/>
        <v>Error?</v>
      </c>
    </row>
    <row r="735" spans="1:4" x14ac:dyDescent="0.2">
      <c r="A735" s="5">
        <v>674</v>
      </c>
      <c r="B735" s="138">
        <f>'Expenditures 15-22'!C55</f>
        <v>742447</v>
      </c>
      <c r="D735" s="2" t="str">
        <f t="shared" si="10"/>
        <v>Error?</v>
      </c>
    </row>
    <row r="736" spans="1:4" x14ac:dyDescent="0.2">
      <c r="A736" s="5">
        <v>675</v>
      </c>
      <c r="B736" s="138">
        <f>'Expenditures 15-22'!C56</f>
        <v>139688</v>
      </c>
      <c r="D736" s="2" t="str">
        <f t="shared" si="10"/>
        <v>Error?</v>
      </c>
    </row>
    <row r="737" spans="1:4" x14ac:dyDescent="0.2">
      <c r="A737" s="5">
        <v>676</v>
      </c>
      <c r="B737" s="138">
        <f>'Expenditures 15-22'!C57</f>
        <v>882135</v>
      </c>
      <c r="C737" s="2" t="s">
        <v>594</v>
      </c>
      <c r="D737" s="2" t="str">
        <f t="shared" si="10"/>
        <v>Error?</v>
      </c>
    </row>
    <row r="738" spans="1:4" x14ac:dyDescent="0.2">
      <c r="A738" s="5">
        <v>677</v>
      </c>
      <c r="B738" s="138">
        <f>'Expenditures 15-22'!C59</f>
        <v>50363</v>
      </c>
      <c r="D738" s="2" t="str">
        <f t="shared" si="10"/>
        <v>Error?</v>
      </c>
    </row>
    <row r="739" spans="1:4" x14ac:dyDescent="0.2">
      <c r="A739" s="5">
        <v>678</v>
      </c>
      <c r="B739" s="138">
        <f>'Expenditures 15-22'!C60</f>
        <v>102401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152764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2608363</v>
      </c>
      <c r="C755" s="2" t="s">
        <v>594</v>
      </c>
      <c r="D755" s="2" t="str">
        <f t="shared" si="10"/>
        <v>Error?</v>
      </c>
    </row>
    <row r="756" spans="1:4" x14ac:dyDescent="0.2">
      <c r="A756" s="5">
        <v>695</v>
      </c>
      <c r="B756" s="138">
        <f>'Expenditures 15-22'!C75</f>
        <v>31470</v>
      </c>
      <c r="D756" s="2" t="str">
        <f t="shared" si="10"/>
        <v>Error?</v>
      </c>
    </row>
    <row r="757" spans="1:4" x14ac:dyDescent="0.2">
      <c r="A757" s="5">
        <v>696</v>
      </c>
      <c r="B757" s="138">
        <f>'Expenditures 15-22'!C114</f>
        <v>8461366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1004209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210745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9139</v>
      </c>
      <c r="D776" s="2" t="str">
        <f t="shared" si="11"/>
        <v>Error?</v>
      </c>
    </row>
    <row r="777" spans="1:4" x14ac:dyDescent="0.2">
      <c r="A777" s="5">
        <v>716</v>
      </c>
      <c r="B777" s="138">
        <f>'Expenditures 15-22'!D15</f>
        <v>1320</v>
      </c>
      <c r="D777" s="2" t="str">
        <f t="shared" si="11"/>
        <v>Error?</v>
      </c>
    </row>
    <row r="778" spans="1:4" x14ac:dyDescent="0.2">
      <c r="A778" s="5">
        <v>717</v>
      </c>
      <c r="B778" s="138">
        <f>'Expenditures 15-22'!D33</f>
        <v>1569282</v>
      </c>
      <c r="C778" s="2" t="s">
        <v>594</v>
      </c>
      <c r="D778" s="2" t="str">
        <f t="shared" si="11"/>
        <v>Error?</v>
      </c>
    </row>
    <row r="779" spans="1:4" x14ac:dyDescent="0.2">
      <c r="A779" s="5">
        <v>718</v>
      </c>
      <c r="B779" s="138">
        <f>'Expenditures 15-22'!D36</f>
        <v>50493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35048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46343</v>
      </c>
      <c r="D783" s="2" t="str">
        <f t="shared" si="11"/>
        <v>Error?</v>
      </c>
    </row>
    <row r="784" spans="1:4" x14ac:dyDescent="0.2">
      <c r="A784" s="5">
        <v>723</v>
      </c>
      <c r="B784" s="138">
        <f>'Expenditures 15-22'!D41</f>
        <v>477</v>
      </c>
      <c r="D784" s="2" t="str">
        <f t="shared" si="11"/>
        <v>Error?</v>
      </c>
    </row>
    <row r="785" spans="1:4" x14ac:dyDescent="0.2">
      <c r="A785" s="5">
        <v>724</v>
      </c>
      <c r="B785" s="138">
        <f>'Expenditures 15-22'!D42</f>
        <v>132361</v>
      </c>
      <c r="C785" s="2" t="s">
        <v>594</v>
      </c>
      <c r="D785" s="2" t="str">
        <f t="shared" si="11"/>
        <v>Error?</v>
      </c>
    </row>
    <row r="786" spans="1:4" x14ac:dyDescent="0.2">
      <c r="A786" s="5">
        <v>725</v>
      </c>
      <c r="B786" s="138">
        <f>'Expenditures 15-22'!D44</f>
        <v>81636</v>
      </c>
      <c r="D786" s="2" t="str">
        <f t="shared" si="11"/>
        <v>Error?</v>
      </c>
    </row>
    <row r="787" spans="1:4" x14ac:dyDescent="0.2">
      <c r="A787" s="5">
        <v>726</v>
      </c>
      <c r="B787" s="138">
        <f>'Expenditures 15-22'!D45</f>
        <v>76048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157684</v>
      </c>
      <c r="C789" s="2" t="s">
        <v>594</v>
      </c>
      <c r="D789" s="2" t="str">
        <f t="shared" si="11"/>
        <v>Error?</v>
      </c>
    </row>
    <row r="790" spans="1:4" x14ac:dyDescent="0.2">
      <c r="A790" s="5">
        <v>729</v>
      </c>
      <c r="B790" s="138">
        <f>'Expenditures 15-22'!D49</f>
        <v>2399</v>
      </c>
      <c r="D790" s="2" t="str">
        <f t="shared" si="11"/>
        <v>Error?</v>
      </c>
    </row>
    <row r="791" spans="1:4" x14ac:dyDescent="0.2">
      <c r="A791" s="5">
        <v>730</v>
      </c>
      <c r="B791" s="138">
        <f>'Expenditures 15-22'!D50</f>
        <v>53303</v>
      </c>
      <c r="D791" s="2" t="str">
        <f t="shared" si="11"/>
        <v>Error?</v>
      </c>
    </row>
    <row r="792" spans="1:4" x14ac:dyDescent="0.2">
      <c r="A792" s="5">
        <v>731</v>
      </c>
      <c r="B792" s="138">
        <f>'Expenditures 15-22'!D53</f>
        <v>63339</v>
      </c>
      <c r="C792" s="2" t="s">
        <v>594</v>
      </c>
      <c r="D792" s="2" t="str">
        <f t="shared" si="11"/>
        <v>Error?</v>
      </c>
    </row>
    <row r="793" spans="1:4" x14ac:dyDescent="0.2">
      <c r="A793" s="5">
        <v>732</v>
      </c>
      <c r="B793" s="138">
        <f>'Expenditures 15-22'!D55</f>
        <v>205014</v>
      </c>
      <c r="D793" s="2" t="str">
        <f t="shared" si="11"/>
        <v>Error?</v>
      </c>
    </row>
    <row r="794" spans="1:4" x14ac:dyDescent="0.2">
      <c r="A794" s="5">
        <v>733</v>
      </c>
      <c r="B794" s="138">
        <f>'Expenditures 15-22'!D56</f>
        <v>34495</v>
      </c>
      <c r="D794" s="2" t="str">
        <f t="shared" si="11"/>
        <v>Error?</v>
      </c>
    </row>
    <row r="795" spans="1:4" x14ac:dyDescent="0.2">
      <c r="A795" s="5">
        <v>734</v>
      </c>
      <c r="B795" s="138">
        <f>'Expenditures 15-22'!D57</f>
        <v>239509</v>
      </c>
      <c r="C795" s="2" t="s">
        <v>594</v>
      </c>
      <c r="D795" s="2" t="str">
        <f t="shared" si="11"/>
        <v>Error?</v>
      </c>
    </row>
    <row r="796" spans="1:4" x14ac:dyDescent="0.2">
      <c r="A796" s="5">
        <v>735</v>
      </c>
      <c r="B796" s="138">
        <f>'Expenditures 15-22'!D59</f>
        <v>18306</v>
      </c>
      <c r="D796" s="2" t="str">
        <f t="shared" si="11"/>
        <v>Error?</v>
      </c>
    </row>
    <row r="797" spans="1:4" x14ac:dyDescent="0.2">
      <c r="A797" s="5">
        <v>736</v>
      </c>
      <c r="B797" s="138">
        <f>'Expenditures 15-22'!D60</f>
        <v>17437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35743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628636</v>
      </c>
      <c r="C813" s="2" t="s">
        <v>594</v>
      </c>
      <c r="D813" s="2" t="str">
        <f t="shared" si="11"/>
        <v>Error?</v>
      </c>
    </row>
    <row r="814" spans="1:4" x14ac:dyDescent="0.2">
      <c r="A814" s="5">
        <v>753</v>
      </c>
      <c r="B814" s="138">
        <f>'Expenditures 15-22'!D75</f>
        <v>439</v>
      </c>
      <c r="D814" s="2" t="str">
        <f t="shared" si="11"/>
        <v>Error?</v>
      </c>
    </row>
    <row r="815" spans="1:4" x14ac:dyDescent="0.2">
      <c r="A815" s="5">
        <v>754</v>
      </c>
      <c r="B815" s="138">
        <f>'Expenditures 15-22'!D114</f>
        <v>2198357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98775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297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10035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116639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1201</v>
      </c>
      <c r="D838" s="2" t="str">
        <f t="shared" si="12"/>
        <v>Error?</v>
      </c>
    </row>
    <row r="839" spans="1:4" x14ac:dyDescent="0.2">
      <c r="A839" s="5">
        <v>778</v>
      </c>
      <c r="B839" s="138">
        <f>'Expenditures 15-22'!E38</f>
        <v>129</v>
      </c>
      <c r="D839" s="2" t="str">
        <f t="shared" si="12"/>
        <v>Error?</v>
      </c>
    </row>
    <row r="840" spans="1:4" x14ac:dyDescent="0.2">
      <c r="A840" s="5">
        <v>779</v>
      </c>
      <c r="B840" s="138">
        <f>'Expenditures 15-22'!E39</f>
        <v>1200</v>
      </c>
      <c r="D840" s="2" t="str">
        <f t="shared" si="12"/>
        <v>Error?</v>
      </c>
    </row>
    <row r="841" spans="1:4" x14ac:dyDescent="0.2">
      <c r="A841" s="5">
        <v>780</v>
      </c>
      <c r="B841" s="138">
        <f>'Expenditures 15-22'!E40</f>
        <v>12173</v>
      </c>
      <c r="D841" s="2" t="str">
        <f t="shared" si="12"/>
        <v>Error?</v>
      </c>
    </row>
    <row r="842" spans="1:4" x14ac:dyDescent="0.2">
      <c r="A842" s="5">
        <v>781</v>
      </c>
      <c r="B842" s="138">
        <f>'Expenditures 15-22'!E41</f>
        <v>2506</v>
      </c>
      <c r="D842" s="2" t="str">
        <f t="shared" si="12"/>
        <v>Error?</v>
      </c>
    </row>
    <row r="843" spans="1:4" x14ac:dyDescent="0.2">
      <c r="A843" s="5">
        <v>782</v>
      </c>
      <c r="B843" s="138">
        <f>'Expenditures 15-22'!E42</f>
        <v>17209</v>
      </c>
      <c r="C843" s="2" t="s">
        <v>594</v>
      </c>
      <c r="D843" s="2" t="str">
        <f t="shared" si="12"/>
        <v>Error?</v>
      </c>
    </row>
    <row r="844" spans="1:4" x14ac:dyDescent="0.2">
      <c r="A844" s="5">
        <v>783</v>
      </c>
      <c r="B844" s="138">
        <f>'Expenditures 15-22'!E44</f>
        <v>182627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11554</v>
      </c>
      <c r="D846" s="2" t="str">
        <f t="shared" si="12"/>
        <v>Error?</v>
      </c>
    </row>
    <row r="847" spans="1:4" x14ac:dyDescent="0.2">
      <c r="A847" s="5">
        <v>786</v>
      </c>
      <c r="B847" s="138">
        <f>'Expenditures 15-22'!E47</f>
        <v>194181</v>
      </c>
      <c r="C847" s="2" t="s">
        <v>594</v>
      </c>
      <c r="D847" s="2" t="str">
        <f t="shared" si="12"/>
        <v>Error?</v>
      </c>
    </row>
    <row r="848" spans="1:4" x14ac:dyDescent="0.2">
      <c r="A848" s="5">
        <v>787</v>
      </c>
      <c r="B848" s="138">
        <f>'Expenditures 15-22'!E49</f>
        <v>96775</v>
      </c>
      <c r="D848" s="2" t="str">
        <f t="shared" si="12"/>
        <v>Error?</v>
      </c>
    </row>
    <row r="849" spans="1:4" x14ac:dyDescent="0.2">
      <c r="A849" s="5">
        <v>788</v>
      </c>
      <c r="B849" s="138">
        <f>'Expenditures 15-22'!E50</f>
        <v>3897</v>
      </c>
      <c r="D849" s="2" t="str">
        <f t="shared" si="12"/>
        <v>Error?</v>
      </c>
    </row>
    <row r="850" spans="1:4" x14ac:dyDescent="0.2">
      <c r="A850" s="5">
        <v>789</v>
      </c>
      <c r="B850" s="138">
        <f>'Expenditures 15-22'!E53</f>
        <v>197056</v>
      </c>
      <c r="C850" s="2" t="s">
        <v>594</v>
      </c>
      <c r="D850" s="2" t="str">
        <f t="shared" si="12"/>
        <v>Error?</v>
      </c>
    </row>
    <row r="851" spans="1:4" x14ac:dyDescent="0.2">
      <c r="A851" s="5">
        <v>790</v>
      </c>
      <c r="B851" s="138">
        <f>'Expenditures 15-22'!E55</f>
        <v>6790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6790</v>
      </c>
      <c r="C853" s="2" t="s">
        <v>594</v>
      </c>
      <c r="D853" s="2" t="str">
        <f t="shared" si="12"/>
        <v>Error?</v>
      </c>
    </row>
    <row r="854" spans="1:4" x14ac:dyDescent="0.2">
      <c r="A854" s="5">
        <v>793</v>
      </c>
      <c r="B854" s="138">
        <f>'Expenditures 15-22'!E59</f>
        <v>19886</v>
      </c>
      <c r="D854" s="2" t="str">
        <f t="shared" si="12"/>
        <v>Error?</v>
      </c>
    </row>
    <row r="855" spans="1:4" x14ac:dyDescent="0.2">
      <c r="A855" s="5">
        <v>794</v>
      </c>
      <c r="B855" s="138">
        <f>'Expenditures 15-22'!E60</f>
        <v>3822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253563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277271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510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693017</v>
      </c>
      <c r="C871" s="2" t="s">
        <v>594</v>
      </c>
      <c r="D871" s="2" t="str">
        <f t="shared" si="12"/>
        <v>Error?</v>
      </c>
    </row>
    <row r="872" spans="1:4" x14ac:dyDescent="0.2">
      <c r="A872" s="5">
        <v>811</v>
      </c>
      <c r="B872" s="138">
        <f>'Expenditures 15-22'!E75</f>
        <v>16773</v>
      </c>
      <c r="D872" s="2" t="str">
        <f t="shared" si="12"/>
        <v>Error?</v>
      </c>
    </row>
    <row r="873" spans="1:4" x14ac:dyDescent="0.2">
      <c r="A873" s="5">
        <v>812</v>
      </c>
      <c r="B873" s="138">
        <f>'Expenditures 15-22'!E114</f>
        <v>826429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168995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15544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194811</v>
      </c>
      <c r="C894" s="2" t="s">
        <v>594</v>
      </c>
      <c r="D894" s="2" t="str">
        <f t="shared" si="12"/>
        <v>Error?</v>
      </c>
    </row>
    <row r="895" spans="1:4" x14ac:dyDescent="0.2">
      <c r="A895" s="5">
        <v>834</v>
      </c>
      <c r="B895" s="138">
        <f>'Expenditures 15-22'!F36</f>
        <v>291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1784</v>
      </c>
      <c r="C901" s="2" t="s">
        <v>594</v>
      </c>
      <c r="D901" s="2" t="str">
        <f t="shared" si="13"/>
        <v>Error?</v>
      </c>
    </row>
    <row r="902" spans="1:4" x14ac:dyDescent="0.2">
      <c r="A902" s="5">
        <v>841</v>
      </c>
      <c r="B902" s="138">
        <f>'Expenditures 15-22'!F44</f>
        <v>111128</v>
      </c>
      <c r="D902" s="2" t="str">
        <f t="shared" si="13"/>
        <v>Error?</v>
      </c>
    </row>
    <row r="903" spans="1:4" x14ac:dyDescent="0.2">
      <c r="A903" s="5">
        <v>842</v>
      </c>
      <c r="B903" s="138">
        <f>'Expenditures 15-22'!F45</f>
        <v>72432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183560</v>
      </c>
      <c r="C905" s="2" t="s">
        <v>594</v>
      </c>
      <c r="D905" s="2" t="str">
        <f t="shared" si="13"/>
        <v>Error?</v>
      </c>
    </row>
    <row r="906" spans="1:4" x14ac:dyDescent="0.2">
      <c r="A906" s="5">
        <v>845</v>
      </c>
      <c r="B906" s="138">
        <f>'Expenditures 15-22'!F49</f>
        <v>11562</v>
      </c>
      <c r="D906" s="2" t="str">
        <f t="shared" si="13"/>
        <v>Error?</v>
      </c>
    </row>
    <row r="907" spans="1:4" x14ac:dyDescent="0.2">
      <c r="A907" s="5">
        <v>846</v>
      </c>
      <c r="B907" s="138">
        <f>'Expenditures 15-22'!F50</f>
        <v>806</v>
      </c>
      <c r="D907" s="2" t="str">
        <f t="shared" si="13"/>
        <v>Error?</v>
      </c>
    </row>
    <row r="908" spans="1:4" x14ac:dyDescent="0.2">
      <c r="A908" s="5">
        <v>847</v>
      </c>
      <c r="B908" s="138">
        <f>'Expenditures 15-22'!F53</f>
        <v>12442</v>
      </c>
      <c r="C908" s="2" t="s">
        <v>594</v>
      </c>
      <c r="D908" s="2" t="str">
        <f t="shared" si="13"/>
        <v>Error?</v>
      </c>
    </row>
    <row r="909" spans="1:4" x14ac:dyDescent="0.2">
      <c r="A909" s="5">
        <v>848</v>
      </c>
      <c r="B909" s="138">
        <f>'Expenditures 15-22'!F55</f>
        <v>693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693</v>
      </c>
      <c r="C911" s="2" t="s">
        <v>594</v>
      </c>
      <c r="D911" s="2" t="str">
        <f t="shared" si="13"/>
        <v>Error?</v>
      </c>
    </row>
    <row r="912" spans="1:4" x14ac:dyDescent="0.2">
      <c r="A912" s="5">
        <v>851</v>
      </c>
      <c r="B912" s="138">
        <f>'Expenditures 15-22'!F59</f>
        <v>189</v>
      </c>
      <c r="D912" s="2" t="str">
        <f t="shared" si="13"/>
        <v>Error?</v>
      </c>
    </row>
    <row r="913" spans="1:4" x14ac:dyDescent="0.2">
      <c r="A913" s="5">
        <v>852</v>
      </c>
      <c r="B913" s="138">
        <f>'Expenditures 15-22'!F60</f>
        <v>2414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8694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207173</v>
      </c>
      <c r="C929" s="2" t="s">
        <v>594</v>
      </c>
      <c r="D929" s="2" t="str">
        <f t="shared" si="13"/>
        <v>Error?</v>
      </c>
    </row>
    <row r="930" spans="1:4" x14ac:dyDescent="0.2">
      <c r="A930" s="5">
        <v>869</v>
      </c>
      <c r="B930" s="138">
        <f>'Expenditures 15-22'!F75</f>
        <v>13118</v>
      </c>
      <c r="D930" s="2" t="str">
        <f t="shared" si="13"/>
        <v>Error?</v>
      </c>
    </row>
    <row r="931" spans="1:4" x14ac:dyDescent="0.2">
      <c r="A931" s="5">
        <v>870</v>
      </c>
      <c r="B931" s="138">
        <f>'Expenditures 15-22'!F114</f>
        <v>415102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42731</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42731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7691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7691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50422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50422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194926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245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245</v>
      </c>
      <c r="C1021" s="2" t="s">
        <v>594</v>
      </c>
      <c r="D1021" s="2" t="str">
        <f t="shared" si="14"/>
        <v>Error?</v>
      </c>
    </row>
    <row r="1022" spans="1:4" x14ac:dyDescent="0.2">
      <c r="A1022" s="5">
        <v>961</v>
      </c>
      <c r="B1022" s="138">
        <f>'Expenditures 15-22'!H49</f>
        <v>22722</v>
      </c>
      <c r="D1022" s="2" t="str">
        <f t="shared" si="14"/>
        <v>Error?</v>
      </c>
    </row>
    <row r="1023" spans="1:4" x14ac:dyDescent="0.2">
      <c r="A1023" s="5">
        <v>962</v>
      </c>
      <c r="B1023" s="138">
        <f>'Expenditures 15-22'!H50</f>
        <v>6305</v>
      </c>
      <c r="D1023" s="2" t="str">
        <f t="shared" ref="D1023:D1086" si="15">IF(ISBLANK(B1023),"OK",IF(A1023-B1023=0,"OK","Error?"))</f>
        <v>Error?</v>
      </c>
    </row>
    <row r="1024" spans="1:4" x14ac:dyDescent="0.2">
      <c r="A1024" s="5">
        <v>963</v>
      </c>
      <c r="B1024" s="138">
        <f>'Expenditures 15-22'!H53</f>
        <v>29027</v>
      </c>
      <c r="C1024" s="2" t="s">
        <v>594</v>
      </c>
      <c r="D1024" s="2" t="str">
        <f t="shared" si="15"/>
        <v>Error?</v>
      </c>
    </row>
    <row r="1025" spans="1:4" x14ac:dyDescent="0.2">
      <c r="A1025" s="5">
        <v>964</v>
      </c>
      <c r="B1025" s="138">
        <f>'Expenditures 15-22'!H55</f>
        <v>1772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1772</v>
      </c>
      <c r="C1027" s="2" t="s">
        <v>594</v>
      </c>
      <c r="D1027" s="2" t="str">
        <f t="shared" si="15"/>
        <v>Error?</v>
      </c>
    </row>
    <row r="1028" spans="1:4" x14ac:dyDescent="0.2">
      <c r="A1028" s="5">
        <v>967</v>
      </c>
      <c r="B1028" s="138">
        <f>'Expenditures 15-22'!H59</f>
        <v>394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31438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887698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1114062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5120107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977853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120780</v>
      </c>
      <c r="C1106" s="2" t="s">
        <v>594</v>
      </c>
      <c r="D1106" s="2" t="str">
        <f t="shared" si="16"/>
        <v>Error?</v>
      </c>
    </row>
    <row r="1107" spans="1:4" x14ac:dyDescent="0.2">
      <c r="A1107" s="5">
        <v>1046</v>
      </c>
      <c r="B1107" s="138">
        <f>'Expenditures 15-22'!K15</f>
        <v>53032</v>
      </c>
      <c r="C1107" s="2" t="s">
        <v>594</v>
      </c>
      <c r="D1107" s="2" t="str">
        <f t="shared" si="16"/>
        <v>Error?</v>
      </c>
    </row>
    <row r="1108" spans="1:4" x14ac:dyDescent="0.2">
      <c r="A1108" s="5">
        <v>1047</v>
      </c>
      <c r="B1108" s="138">
        <f>'Expenditures 15-22'!K33</f>
        <v>7926506</v>
      </c>
      <c r="C1108" s="2" t="s">
        <v>594</v>
      </c>
      <c r="D1108" s="2" t="str">
        <f t="shared" si="16"/>
        <v>Error?</v>
      </c>
    </row>
    <row r="1109" spans="1:4" x14ac:dyDescent="0.2">
      <c r="A1109" s="5">
        <v>1048</v>
      </c>
      <c r="B1109" s="138">
        <f>'Expenditures 15-22'!K36</f>
        <v>244511</v>
      </c>
      <c r="C1109" s="2" t="s">
        <v>594</v>
      </c>
      <c r="D1109" s="2" t="str">
        <f t="shared" si="16"/>
        <v>Error?</v>
      </c>
    </row>
    <row r="1110" spans="1:4" x14ac:dyDescent="0.2">
      <c r="A1110" s="5">
        <v>1049</v>
      </c>
      <c r="B1110" s="138">
        <f>'Expenditures 15-22'!K37</f>
        <v>1201</v>
      </c>
      <c r="C1110" s="2" t="s">
        <v>594</v>
      </c>
      <c r="D1110" s="2" t="str">
        <f t="shared" si="16"/>
        <v>Error?</v>
      </c>
    </row>
    <row r="1111" spans="1:4" x14ac:dyDescent="0.2">
      <c r="A1111" s="5">
        <v>1050</v>
      </c>
      <c r="B1111" s="138">
        <f>'Expenditures 15-22'!K38</f>
        <v>172404</v>
      </c>
      <c r="C1111" s="2" t="s">
        <v>594</v>
      </c>
      <c r="D1111" s="2" t="str">
        <f t="shared" si="16"/>
        <v>Error?</v>
      </c>
    </row>
    <row r="1112" spans="1:4" x14ac:dyDescent="0.2">
      <c r="A1112" s="5">
        <v>1051</v>
      </c>
      <c r="B1112" s="138">
        <f>'Expenditures 15-22'!K39</f>
        <v>1200</v>
      </c>
      <c r="C1112" s="2" t="s">
        <v>594</v>
      </c>
      <c r="D1112" s="2" t="str">
        <f t="shared" si="16"/>
        <v>Error?</v>
      </c>
    </row>
    <row r="1113" spans="1:4" x14ac:dyDescent="0.2">
      <c r="A1113" s="5">
        <v>1052</v>
      </c>
      <c r="B1113" s="138">
        <f>'Expenditures 15-22'!K40</f>
        <v>207191</v>
      </c>
      <c r="C1113" s="2" t="s">
        <v>594</v>
      </c>
      <c r="D1113" s="2" t="str">
        <f t="shared" si="16"/>
        <v>Error?</v>
      </c>
    </row>
    <row r="1114" spans="1:4" x14ac:dyDescent="0.2">
      <c r="A1114" s="5">
        <v>1053</v>
      </c>
      <c r="B1114" s="138">
        <f>'Expenditures 15-22'!K41</f>
        <v>65581</v>
      </c>
      <c r="C1114" s="2" t="s">
        <v>594</v>
      </c>
      <c r="D1114" s="2" t="str">
        <f t="shared" si="16"/>
        <v>Error?</v>
      </c>
    </row>
    <row r="1115" spans="1:4" x14ac:dyDescent="0.2">
      <c r="A1115" s="5">
        <v>1054</v>
      </c>
      <c r="B1115" s="138">
        <f>'Expenditures 15-22'!K42</f>
        <v>692088</v>
      </c>
      <c r="C1115" s="2" t="s">
        <v>594</v>
      </c>
      <c r="D1115" s="2" t="str">
        <f t="shared" si="16"/>
        <v>Error?</v>
      </c>
    </row>
    <row r="1116" spans="1:4" x14ac:dyDescent="0.2">
      <c r="A1116" s="5">
        <v>1055</v>
      </c>
      <c r="B1116" s="138">
        <f>'Expenditures 15-22'!K44</f>
        <v>881592</v>
      </c>
      <c r="C1116" s="2" t="s">
        <v>594</v>
      </c>
      <c r="D1116" s="2" t="str">
        <f t="shared" si="16"/>
        <v>Error?</v>
      </c>
    </row>
    <row r="1117" spans="1:4" x14ac:dyDescent="0.2">
      <c r="A1117" s="5">
        <v>1056</v>
      </c>
      <c r="B1117" s="138">
        <f>'Expenditures 15-22'!K45</f>
        <v>446352</v>
      </c>
      <c r="C1117" s="2" t="s">
        <v>594</v>
      </c>
      <c r="D1117" s="2" t="str">
        <f t="shared" si="16"/>
        <v>Error?</v>
      </c>
    </row>
    <row r="1118" spans="1:4" x14ac:dyDescent="0.2">
      <c r="A1118" s="5">
        <v>1057</v>
      </c>
      <c r="B1118" s="138">
        <f>'Expenditures 15-22'!K46</f>
        <v>11554</v>
      </c>
      <c r="C1118" s="2" t="s">
        <v>594</v>
      </c>
      <c r="D1118" s="2" t="str">
        <f t="shared" si="16"/>
        <v>Error?</v>
      </c>
    </row>
    <row r="1119" spans="1:4" x14ac:dyDescent="0.2">
      <c r="A1119" s="5">
        <v>1058</v>
      </c>
      <c r="B1119" s="138">
        <f>'Expenditures 15-22'!K47</f>
        <v>1339498</v>
      </c>
      <c r="C1119" s="2" t="s">
        <v>594</v>
      </c>
      <c r="D1119" s="2" t="str">
        <f t="shared" si="16"/>
        <v>Error?</v>
      </c>
    </row>
    <row r="1120" spans="1:4" x14ac:dyDescent="0.2">
      <c r="A1120" s="5">
        <v>1059</v>
      </c>
      <c r="B1120" s="138">
        <f>'Expenditures 15-22'!K49</f>
        <v>133458</v>
      </c>
      <c r="C1120" s="2" t="s">
        <v>594</v>
      </c>
      <c r="D1120" s="2" t="str">
        <f t="shared" si="16"/>
        <v>Error?</v>
      </c>
    </row>
    <row r="1121" spans="1:4" x14ac:dyDescent="0.2">
      <c r="A1121" s="5">
        <v>1060</v>
      </c>
      <c r="B1121" s="138">
        <f>'Expenditures 15-22'!K50</f>
        <v>328807</v>
      </c>
      <c r="C1121" s="2" t="s">
        <v>594</v>
      </c>
      <c r="D1121" s="2" t="str">
        <f t="shared" si="16"/>
        <v>Error?</v>
      </c>
    </row>
    <row r="1122" spans="1:4" x14ac:dyDescent="0.2">
      <c r="A1122" s="5">
        <v>1061</v>
      </c>
      <c r="B1122" s="138">
        <f>'Expenditures 15-22'!K53</f>
        <v>597918</v>
      </c>
      <c r="C1122" s="2" t="s">
        <v>594</v>
      </c>
      <c r="D1122" s="2" t="str">
        <f t="shared" si="16"/>
        <v>Error?</v>
      </c>
    </row>
    <row r="1123" spans="1:4" x14ac:dyDescent="0.2">
      <c r="A1123" s="5">
        <v>1062</v>
      </c>
      <c r="B1123" s="138">
        <f>'Expenditures 15-22'!K55</f>
        <v>956716</v>
      </c>
      <c r="C1123" s="2" t="s">
        <v>594</v>
      </c>
      <c r="D1123" s="2" t="str">
        <f t="shared" si="16"/>
        <v>Error?</v>
      </c>
    </row>
    <row r="1124" spans="1:4" x14ac:dyDescent="0.2">
      <c r="A1124" s="5">
        <v>1063</v>
      </c>
      <c r="B1124" s="138">
        <f>'Expenditures 15-22'!K56</f>
        <v>174183</v>
      </c>
      <c r="C1124" s="2" t="s">
        <v>594</v>
      </c>
      <c r="D1124" s="2" t="str">
        <f t="shared" si="16"/>
        <v>Error?</v>
      </c>
    </row>
    <row r="1125" spans="1:4" x14ac:dyDescent="0.2">
      <c r="A1125" s="5">
        <v>1064</v>
      </c>
      <c r="B1125" s="138">
        <f>'Expenditures 15-22'!K57</f>
        <v>1130899</v>
      </c>
      <c r="C1125" s="2" t="s">
        <v>594</v>
      </c>
      <c r="D1125" s="2" t="str">
        <f t="shared" si="16"/>
        <v>Error?</v>
      </c>
    </row>
    <row r="1126" spans="1:4" x14ac:dyDescent="0.2">
      <c r="A1126" s="5">
        <v>1065</v>
      </c>
      <c r="B1126" s="138">
        <f>'Expenditures 15-22'!K59</f>
        <v>89138</v>
      </c>
      <c r="C1126" s="2" t="s">
        <v>594</v>
      </c>
      <c r="D1126" s="2" t="str">
        <f t="shared" si="16"/>
        <v>Error?</v>
      </c>
    </row>
    <row r="1127" spans="1:4" x14ac:dyDescent="0.2">
      <c r="A1127" s="5">
        <v>1066</v>
      </c>
      <c r="B1127" s="138">
        <f>'Expenditures 15-22'!K60</f>
        <v>126074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279013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494225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510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510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4255138</v>
      </c>
      <c r="C1143" s="2" t="s">
        <v>594</v>
      </c>
      <c r="D1143" s="2" t="str">
        <f t="shared" si="16"/>
        <v>Error?</v>
      </c>
    </row>
    <row r="1144" spans="1:4" x14ac:dyDescent="0.2">
      <c r="A1144" s="5">
        <v>1083</v>
      </c>
      <c r="B1144" s="138">
        <f>'Expenditures 15-22'!K75</f>
        <v>61800</v>
      </c>
      <c r="C1144" s="2" t="s">
        <v>594</v>
      </c>
      <c r="D1144" s="2" t="str">
        <f t="shared" si="16"/>
        <v>Error?</v>
      </c>
    </row>
    <row r="1145" spans="1:4" x14ac:dyDescent="0.2">
      <c r="A1145" s="5">
        <v>1084</v>
      </c>
      <c r="B1145" s="138">
        <f>'Expenditures 15-22'!K102</f>
        <v>887698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13131142</v>
      </c>
      <c r="C1152" s="2" t="s">
        <v>594</v>
      </c>
      <c r="D1152" s="2" t="str">
        <f t="shared" si="17"/>
        <v>Error?</v>
      </c>
    </row>
    <row r="1153" spans="1:4" x14ac:dyDescent="0.2">
      <c r="A1153" s="5">
        <v>1092</v>
      </c>
      <c r="B1153" s="138">
        <f>'Expenditures 15-22'!K115</f>
        <v>725682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27099</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598369</v>
      </c>
      <c r="D1221" s="2" t="str">
        <f t="shared" si="18"/>
        <v>Error?</v>
      </c>
    </row>
    <row r="1222" spans="1:4" x14ac:dyDescent="0.2">
      <c r="A1222" s="10">
        <v>1161</v>
      </c>
      <c r="D1222" s="2" t="str">
        <f t="shared" si="18"/>
        <v>OK</v>
      </c>
    </row>
    <row r="1223" spans="1:4" x14ac:dyDescent="0.2">
      <c r="A1223" s="5">
        <v>1162</v>
      </c>
      <c r="B1223" s="138">
        <f>'Expenditures 15-22'!C127</f>
        <v>625468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625468</v>
      </c>
      <c r="C1225" s="2" t="s">
        <v>594</v>
      </c>
      <c r="D1225" s="2" t="str">
        <f t="shared" si="18"/>
        <v>Error?</v>
      </c>
    </row>
    <row r="1226" spans="1:4" x14ac:dyDescent="0.2">
      <c r="A1226" s="5">
        <v>1165</v>
      </c>
      <c r="B1226" s="138">
        <f>'Expenditures 15-22'!C151</f>
        <v>625468</v>
      </c>
      <c r="C1226" s="2" t="s">
        <v>594</v>
      </c>
      <c r="D1226" s="2" t="str">
        <f t="shared" si="18"/>
        <v>Error?</v>
      </c>
    </row>
    <row r="1227" spans="1:4" x14ac:dyDescent="0.2">
      <c r="A1227" s="5">
        <v>1166</v>
      </c>
      <c r="B1227" s="138">
        <f>'Expenditures 15-22'!D122</f>
        <v>7876</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104899</v>
      </c>
      <c r="D1229" s="2" t="str">
        <f t="shared" si="18"/>
        <v>Error?</v>
      </c>
    </row>
    <row r="1230" spans="1:4" x14ac:dyDescent="0.2">
      <c r="A1230" s="10">
        <v>1169</v>
      </c>
      <c r="D1230" s="2" t="str">
        <f t="shared" si="18"/>
        <v>OK</v>
      </c>
    </row>
    <row r="1231" spans="1:4" x14ac:dyDescent="0.2">
      <c r="A1231" s="5">
        <v>1170</v>
      </c>
      <c r="B1231" s="138">
        <f>'Expenditures 15-22'!D127</f>
        <v>112775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112775</v>
      </c>
      <c r="C1233" s="2" t="s">
        <v>594</v>
      </c>
      <c r="D1233" s="2" t="str">
        <f t="shared" si="18"/>
        <v>Error?</v>
      </c>
    </row>
    <row r="1234" spans="1:4" x14ac:dyDescent="0.2">
      <c r="A1234" s="5">
        <v>1173</v>
      </c>
      <c r="B1234" s="138">
        <f>'Expenditures 15-22'!D151</f>
        <v>112775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9462</v>
      </c>
      <c r="D1236" s="2" t="str">
        <f t="shared" si="18"/>
        <v>Error?</v>
      </c>
    </row>
    <row r="1237" spans="1:4" x14ac:dyDescent="0.2">
      <c r="A1237" s="5">
        <v>1176</v>
      </c>
      <c r="B1237" s="138">
        <f>'Expenditures 15-22'!E124</f>
        <v>435753</v>
      </c>
      <c r="D1237" s="2" t="str">
        <f t="shared" si="18"/>
        <v>Error?</v>
      </c>
    </row>
    <row r="1238" spans="1:4" x14ac:dyDescent="0.2">
      <c r="A1238" s="10">
        <v>1177</v>
      </c>
      <c r="D1238" s="2" t="str">
        <f t="shared" si="18"/>
        <v>OK</v>
      </c>
    </row>
    <row r="1239" spans="1:4" x14ac:dyDescent="0.2">
      <c r="A1239" s="5">
        <v>1178</v>
      </c>
      <c r="B1239" s="138">
        <f>'Expenditures 15-22'!E127</f>
        <v>445215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445215</v>
      </c>
      <c r="C1241" s="2" t="s">
        <v>594</v>
      </c>
      <c r="D1241" s="2" t="str">
        <f t="shared" si="18"/>
        <v>Error?</v>
      </c>
    </row>
    <row r="1242" spans="1:4" x14ac:dyDescent="0.2">
      <c r="A1242" s="5">
        <v>1181</v>
      </c>
      <c r="B1242" s="138">
        <f>'Expenditures 15-22'!E151</f>
        <v>445215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524927</v>
      </c>
      <c r="D1245" s="2" t="str">
        <f t="shared" si="18"/>
        <v>Error?</v>
      </c>
    </row>
    <row r="1246" spans="1:4" x14ac:dyDescent="0.2">
      <c r="A1246" s="10">
        <v>1185</v>
      </c>
      <c r="D1246" s="2" t="str">
        <f t="shared" si="18"/>
        <v>OK</v>
      </c>
    </row>
    <row r="1247" spans="1:4" x14ac:dyDescent="0.2">
      <c r="A1247" s="5">
        <v>1186</v>
      </c>
      <c r="B1247" s="138">
        <f>'Expenditures 15-22'!F127</f>
        <v>524927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524927</v>
      </c>
      <c r="C1249" s="2" t="s">
        <v>594</v>
      </c>
      <c r="D1249" s="2" t="str">
        <f t="shared" si="18"/>
        <v>Error?</v>
      </c>
    </row>
    <row r="1250" spans="1:4" x14ac:dyDescent="0.2">
      <c r="A1250" s="5">
        <v>1189</v>
      </c>
      <c r="B1250" s="138">
        <f>'Expenditures 15-22'!F151</f>
        <v>524927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17069</v>
      </c>
      <c r="D1254" s="2" t="str">
        <f t="shared" si="18"/>
        <v>Error?</v>
      </c>
    </row>
    <row r="1255" spans="1:4" x14ac:dyDescent="0.2">
      <c r="A1255" s="10">
        <v>1194</v>
      </c>
      <c r="D1255" s="2" t="str">
        <f t="shared" si="18"/>
        <v>OK</v>
      </c>
    </row>
    <row r="1256" spans="1:4" x14ac:dyDescent="0.2">
      <c r="A1256" s="5">
        <v>1195</v>
      </c>
      <c r="B1256" s="138">
        <f>'Expenditures 15-22'!G127</f>
        <v>17069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17069</v>
      </c>
      <c r="C1258" s="2" t="s">
        <v>594</v>
      </c>
      <c r="D1258" s="2" t="str">
        <f t="shared" si="18"/>
        <v>Error?</v>
      </c>
    </row>
    <row r="1259" spans="1:4" x14ac:dyDescent="0.2">
      <c r="A1259" s="5">
        <v>1198</v>
      </c>
      <c r="B1259" s="138">
        <f>'Expenditures 15-22'!G151</f>
        <v>17069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34975</v>
      </c>
      <c r="C1274" s="2" t="s">
        <v>594</v>
      </c>
      <c r="D1274" s="2" t="str">
        <f t="shared" si="18"/>
        <v>Error?</v>
      </c>
    </row>
    <row r="1275" spans="1:4" x14ac:dyDescent="0.2">
      <c r="A1275" s="5">
        <v>1214</v>
      </c>
      <c r="B1275" s="138">
        <f>'Expenditures 15-22'!K123</f>
        <v>9462</v>
      </c>
      <c r="C1275" s="2" t="s">
        <v>594</v>
      </c>
      <c r="D1275" s="2" t="str">
        <f t="shared" si="18"/>
        <v>Error?</v>
      </c>
    </row>
    <row r="1276" spans="1:4" x14ac:dyDescent="0.2">
      <c r="A1276" s="5">
        <v>1215</v>
      </c>
      <c r="B1276" s="138">
        <f>'Expenditures 15-22'!K124</f>
        <v>1679447</v>
      </c>
      <c r="C1276" s="2" t="s">
        <v>594</v>
      </c>
      <c r="D1276" s="2" t="str">
        <f t="shared" si="18"/>
        <v>Error?</v>
      </c>
    </row>
    <row r="1277" spans="1:4" x14ac:dyDescent="0.2">
      <c r="A1277" s="5">
        <v>1216</v>
      </c>
      <c r="B1277" s="138">
        <f>'Expenditures 15-22'!K126</f>
        <v>17069</v>
      </c>
      <c r="C1277" s="2" t="s">
        <v>594</v>
      </c>
      <c r="D1277" s="2" t="str">
        <f t="shared" si="18"/>
        <v>Error?</v>
      </c>
    </row>
    <row r="1278" spans="1:4" x14ac:dyDescent="0.2">
      <c r="A1278" s="10">
        <v>1217</v>
      </c>
      <c r="D1278" s="2" t="str">
        <f t="shared" si="18"/>
        <v>OK</v>
      </c>
    </row>
    <row r="1279" spans="1:4" x14ac:dyDescent="0.2">
      <c r="A1279" s="5">
        <v>1218</v>
      </c>
      <c r="B1279" s="138">
        <f>'Expenditures 15-22'!K127</f>
        <v>1740953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1740953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1740953</v>
      </c>
      <c r="C1288" s="2" t="s">
        <v>594</v>
      </c>
      <c r="D1288" s="2" t="str">
        <f t="shared" si="19"/>
        <v>Error?</v>
      </c>
    </row>
    <row r="1289" spans="1:4" x14ac:dyDescent="0.2">
      <c r="A1289" s="5">
        <v>1228</v>
      </c>
      <c r="B1289" s="138">
        <f>'Expenditures 15-22'!K152</f>
        <v>447231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103435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252106</v>
      </c>
      <c r="D1315" s="2" t="str">
        <f t="shared" si="19"/>
        <v>Error?</v>
      </c>
    </row>
    <row r="1316" spans="1:4" x14ac:dyDescent="0.2">
      <c r="A1316" s="5">
        <v>1255</v>
      </c>
      <c r="B1316" s="138">
        <f>'Expenditures 15-22'!H171</f>
        <v>1606</v>
      </c>
      <c r="D1316" s="2" t="str">
        <f t="shared" si="19"/>
        <v>Error?</v>
      </c>
    </row>
    <row r="1317" spans="1:4" x14ac:dyDescent="0.2">
      <c r="A1317" s="5">
        <v>1256</v>
      </c>
      <c r="B1317" s="138">
        <f>'Expenditures 15-22'!H172</f>
        <v>357147</v>
      </c>
      <c r="C1317" s="2" t="s">
        <v>594</v>
      </c>
      <c r="D1317" s="2" t="str">
        <f t="shared" si="19"/>
        <v>Error?</v>
      </c>
    </row>
    <row r="1318" spans="1:4" x14ac:dyDescent="0.2">
      <c r="A1318" s="5">
        <v>1257</v>
      </c>
      <c r="B1318" s="138">
        <f>'Expenditures 15-22'!H174</f>
        <v>357147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103435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252106</v>
      </c>
      <c r="C1329" s="2" t="s">
        <v>594</v>
      </c>
      <c r="D1329" s="2" t="str">
        <f t="shared" si="19"/>
        <v>Error?</v>
      </c>
    </row>
    <row r="1330" spans="1:4" x14ac:dyDescent="0.2">
      <c r="A1330" s="5">
        <v>1269</v>
      </c>
      <c r="B1330" s="138">
        <f>'Expenditures 15-22'!K171</f>
        <v>1606</v>
      </c>
      <c r="C1330" s="2" t="s">
        <v>594</v>
      </c>
      <c r="D1330" s="2" t="str">
        <f t="shared" si="19"/>
        <v>Error?</v>
      </c>
    </row>
    <row r="1331" spans="1:4" x14ac:dyDescent="0.2">
      <c r="A1331" s="5">
        <v>1270</v>
      </c>
      <c r="B1331" s="138">
        <f>'Expenditures 15-22'!K172</f>
        <v>357147</v>
      </c>
      <c r="C1331" s="2" t="s">
        <v>594</v>
      </c>
      <c r="D1331" s="2" t="str">
        <f t="shared" si="19"/>
        <v>Error?</v>
      </c>
    </row>
    <row r="1332" spans="1:4" x14ac:dyDescent="0.2">
      <c r="A1332" s="5">
        <v>1271</v>
      </c>
      <c r="B1332" s="138">
        <f>'Expenditures 15-22'!K174</f>
        <v>357147</v>
      </c>
      <c r="C1332" s="2" t="s">
        <v>594</v>
      </c>
      <c r="D1332" s="2" t="str">
        <f t="shared" si="19"/>
        <v>Error?</v>
      </c>
    </row>
    <row r="1333" spans="1:4" x14ac:dyDescent="0.2">
      <c r="A1333" s="5">
        <v>1272</v>
      </c>
      <c r="B1333" s="138">
        <f>'Expenditures 15-22'!K175</f>
        <v>-61360</v>
      </c>
      <c r="C1333" s="2" t="s">
        <v>594</v>
      </c>
      <c r="D1333" s="2" t="str">
        <f t="shared" si="19"/>
        <v>Error?</v>
      </c>
    </row>
    <row r="1334" spans="1:4" x14ac:dyDescent="0.2">
      <c r="A1334" s="10">
        <v>1273</v>
      </c>
      <c r="D1334" s="2" t="str">
        <f t="shared" si="19"/>
        <v>OK</v>
      </c>
    </row>
    <row r="1335" spans="1:4" x14ac:dyDescent="0.2">
      <c r="A1335" s="5">
        <v>1274</v>
      </c>
      <c r="B1335" s="138">
        <f>'Expenditures 15-22'!C182</f>
        <v>300432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300432</v>
      </c>
      <c r="C1339" s="2" t="s">
        <v>594</v>
      </c>
      <c r="D1339" s="2" t="str">
        <f t="shared" si="19"/>
        <v>Error?</v>
      </c>
    </row>
    <row r="1340" spans="1:4" x14ac:dyDescent="0.2">
      <c r="A1340" s="5">
        <v>1279</v>
      </c>
      <c r="B1340" s="138">
        <f>'Expenditures 15-22'!C210</f>
        <v>300432</v>
      </c>
      <c r="C1340" s="2" t="s">
        <v>594</v>
      </c>
      <c r="D1340" s="2" t="str">
        <f t="shared" si="19"/>
        <v>Error?</v>
      </c>
    </row>
    <row r="1341" spans="1:4" x14ac:dyDescent="0.2">
      <c r="A1341" s="5">
        <v>1280</v>
      </c>
      <c r="B1341" s="138">
        <f>'Expenditures 15-22'!D182</f>
        <v>7407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7407</v>
      </c>
      <c r="C1345" s="2" t="s">
        <v>594</v>
      </c>
      <c r="D1345" s="2" t="str">
        <f t="shared" si="20"/>
        <v>Error?</v>
      </c>
    </row>
    <row r="1346" spans="1:4" x14ac:dyDescent="0.2">
      <c r="A1346" s="5">
        <v>1285</v>
      </c>
      <c r="B1346" s="138">
        <f>'Expenditures 15-22'!D210</f>
        <v>7407</v>
      </c>
      <c r="C1346" s="2" t="s">
        <v>594</v>
      </c>
      <c r="D1346" s="2" t="str">
        <f t="shared" si="20"/>
        <v>Error?</v>
      </c>
    </row>
    <row r="1347" spans="1:4" x14ac:dyDescent="0.2">
      <c r="A1347" s="5">
        <v>1286</v>
      </c>
      <c r="B1347" s="138">
        <f>'Expenditures 15-22'!E182</f>
        <v>186903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186903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186903</v>
      </c>
      <c r="C1353" s="2" t="s">
        <v>594</v>
      </c>
      <c r="D1353" s="2" t="str">
        <f t="shared" si="20"/>
        <v>Error?</v>
      </c>
    </row>
    <row r="1354" spans="1:4" x14ac:dyDescent="0.2">
      <c r="A1354" s="5">
        <v>1293</v>
      </c>
      <c r="B1354" s="138">
        <f>'Expenditures 15-22'!F182</f>
        <v>40074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40074</v>
      </c>
      <c r="C1358" s="2" t="s">
        <v>594</v>
      </c>
      <c r="D1358" s="2" t="str">
        <f t="shared" si="20"/>
        <v>Error?</v>
      </c>
    </row>
    <row r="1359" spans="1:4" x14ac:dyDescent="0.2">
      <c r="A1359" s="5">
        <v>1298</v>
      </c>
      <c r="B1359" s="138">
        <f>'Expenditures 15-22'!F210</f>
        <v>40074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535356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535356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535356</v>
      </c>
      <c r="C1388" s="2" t="s">
        <v>594</v>
      </c>
      <c r="D1388" s="2" t="str">
        <f t="shared" si="20"/>
        <v>Error?</v>
      </c>
    </row>
    <row r="1389" spans="1:4" x14ac:dyDescent="0.2">
      <c r="A1389" s="5">
        <v>1328</v>
      </c>
      <c r="B1389" s="138">
        <f>'Expenditures 15-22'!K211</f>
        <v>20055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12921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1448</v>
      </c>
      <c r="D1408" s="2" t="str">
        <f t="shared" si="21"/>
        <v>Error?</v>
      </c>
    </row>
    <row r="1409" spans="1:4" x14ac:dyDescent="0.2">
      <c r="A1409" s="5">
        <v>1348</v>
      </c>
      <c r="B1409" s="138">
        <f>'Expenditures 15-22'!D224</f>
        <v>1724</v>
      </c>
      <c r="D1409" s="2" t="str">
        <f t="shared" si="21"/>
        <v>Error?</v>
      </c>
    </row>
    <row r="1410" spans="1:4" x14ac:dyDescent="0.2">
      <c r="A1410" s="5">
        <v>1349</v>
      </c>
      <c r="B1410" s="138">
        <f>'Expenditures 15-22'!D229</f>
        <v>168296</v>
      </c>
      <c r="C1410" s="2" t="s">
        <v>594</v>
      </c>
      <c r="D1410" s="2" t="str">
        <f t="shared" si="21"/>
        <v>Error?</v>
      </c>
    </row>
    <row r="1411" spans="1:4" x14ac:dyDescent="0.2">
      <c r="A1411" s="5">
        <v>1350</v>
      </c>
      <c r="B1411" s="138">
        <f>'Expenditures 15-22'!D232</f>
        <v>2995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21843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2102</v>
      </c>
      <c r="D1415" s="2" t="str">
        <f t="shared" si="21"/>
        <v>Error?</v>
      </c>
    </row>
    <row r="1416" spans="1:4" x14ac:dyDescent="0.2">
      <c r="A1416" s="5">
        <v>1355</v>
      </c>
      <c r="B1416" s="138">
        <f>'Expenditures 15-22'!D237</f>
        <v>4593</v>
      </c>
      <c r="D1416" s="2" t="str">
        <f t="shared" si="21"/>
        <v>Error?</v>
      </c>
    </row>
    <row r="1417" spans="1:4" x14ac:dyDescent="0.2">
      <c r="A1417" s="5">
        <v>1356</v>
      </c>
      <c r="B1417" s="138">
        <f>'Expenditures 15-22'!D238</f>
        <v>31533</v>
      </c>
      <c r="C1417" s="2" t="s">
        <v>594</v>
      </c>
      <c r="D1417" s="2" t="str">
        <f t="shared" si="21"/>
        <v>Error?</v>
      </c>
    </row>
    <row r="1418" spans="1:4" x14ac:dyDescent="0.2">
      <c r="A1418" s="5">
        <v>1357</v>
      </c>
      <c r="B1418" s="138">
        <f>'Expenditures 15-22'!D240</f>
        <v>51875</v>
      </c>
      <c r="D1418" s="2" t="str">
        <f t="shared" si="21"/>
        <v>Error?</v>
      </c>
    </row>
    <row r="1419" spans="1:4" x14ac:dyDescent="0.2">
      <c r="A1419" s="5">
        <v>1358</v>
      </c>
      <c r="B1419" s="138">
        <f>'Expenditures 15-22'!D241</f>
        <v>14442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66317</v>
      </c>
      <c r="C1421" s="2" t="s">
        <v>594</v>
      </c>
      <c r="D1421" s="2" t="str">
        <f t="shared" si="21"/>
        <v>Error?</v>
      </c>
    </row>
    <row r="1422" spans="1:4" x14ac:dyDescent="0.2">
      <c r="A1422" s="5">
        <v>1361</v>
      </c>
      <c r="B1422" s="138">
        <f>'Expenditures 15-22'!D245</f>
        <v>2</v>
      </c>
      <c r="D1422" s="2" t="str">
        <f t="shared" si="21"/>
        <v>Error?</v>
      </c>
    </row>
    <row r="1423" spans="1:4" x14ac:dyDescent="0.2">
      <c r="A1423" s="5">
        <v>1362</v>
      </c>
      <c r="B1423" s="138">
        <f>'Expenditures 15-22'!D246</f>
        <v>13636</v>
      </c>
      <c r="D1423" s="2" t="str">
        <f t="shared" si="21"/>
        <v>Error?</v>
      </c>
    </row>
    <row r="1424" spans="1:4" x14ac:dyDescent="0.2">
      <c r="A1424" s="5">
        <v>1363</v>
      </c>
      <c r="B1424" s="138">
        <f>'Expenditures 15-22'!D257</f>
        <v>17541</v>
      </c>
      <c r="C1424" s="2" t="s">
        <v>594</v>
      </c>
      <c r="D1424" s="2" t="str">
        <f t="shared" si="21"/>
        <v>Error?</v>
      </c>
    </row>
    <row r="1425" spans="1:4" x14ac:dyDescent="0.2">
      <c r="A1425" s="5">
        <v>1364</v>
      </c>
      <c r="B1425" s="138">
        <f>'Expenditures 15-22'!D259</f>
        <v>41902</v>
      </c>
      <c r="D1425" s="2" t="str">
        <f t="shared" si="21"/>
        <v>Error?</v>
      </c>
    </row>
    <row r="1426" spans="1:4" x14ac:dyDescent="0.2">
      <c r="A1426" s="5">
        <v>1365</v>
      </c>
      <c r="B1426" s="138">
        <f>'Expenditures 15-22'!D260</f>
        <v>1998</v>
      </c>
      <c r="D1426" s="2" t="str">
        <f t="shared" si="21"/>
        <v>Error?</v>
      </c>
    </row>
    <row r="1427" spans="1:4" x14ac:dyDescent="0.2">
      <c r="A1427" s="5">
        <v>1366</v>
      </c>
      <c r="B1427" s="138">
        <f>'Expenditures 15-22'!D261</f>
        <v>43900</v>
      </c>
      <c r="C1427" s="2" t="s">
        <v>594</v>
      </c>
      <c r="D1427" s="2" t="str">
        <f t="shared" si="21"/>
        <v>Error?</v>
      </c>
    </row>
    <row r="1428" spans="1:4" x14ac:dyDescent="0.2">
      <c r="A1428" s="5">
        <v>1367</v>
      </c>
      <c r="B1428" s="138">
        <f>'Expenditures 15-22'!D263</f>
        <v>1777</v>
      </c>
      <c r="D1428" s="2" t="str">
        <f t="shared" si="21"/>
        <v>Error?</v>
      </c>
    </row>
    <row r="1429" spans="1:4" x14ac:dyDescent="0.2">
      <c r="A1429" s="5">
        <v>1368</v>
      </c>
      <c r="B1429" s="138">
        <f>'Expenditures 15-22'!D264</f>
        <v>16854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101306</v>
      </c>
      <c r="D1431" s="2" t="str">
        <f t="shared" si="21"/>
        <v>Error?</v>
      </c>
    </row>
    <row r="1432" spans="1:4" x14ac:dyDescent="0.2">
      <c r="A1432" s="5">
        <v>1371</v>
      </c>
      <c r="B1432" s="138">
        <f>'Expenditures 15-22'!D267</f>
        <v>52091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172028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331319</v>
      </c>
      <c r="C1446" s="2" t="s">
        <v>594</v>
      </c>
      <c r="D1446" s="2" t="str">
        <f t="shared" si="21"/>
        <v>Error?</v>
      </c>
    </row>
    <row r="1447" spans="1:4" x14ac:dyDescent="0.2">
      <c r="A1447" s="5">
        <v>1386</v>
      </c>
      <c r="B1447" s="138">
        <f>'Expenditures 15-22'!D280</f>
        <v>4758</v>
      </c>
      <c r="D1447" s="2" t="str">
        <f t="shared" si="21"/>
        <v>Error?</v>
      </c>
    </row>
    <row r="1448" spans="1:4" x14ac:dyDescent="0.2">
      <c r="A1448" s="5">
        <v>1387</v>
      </c>
      <c r="B1448" s="138">
        <f>'Expenditures 15-22'!D295</f>
        <v>504373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12921</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1448</v>
      </c>
      <c r="C1472" s="2" t="s">
        <v>594</v>
      </c>
      <c r="D1472" s="2" t="str">
        <f t="shared" si="22"/>
        <v>Error?</v>
      </c>
    </row>
    <row r="1473" spans="1:4" x14ac:dyDescent="0.2">
      <c r="A1473" s="5">
        <v>1412</v>
      </c>
      <c r="B1473" s="138">
        <f>'Expenditures 15-22'!K224</f>
        <v>1724</v>
      </c>
      <c r="C1473" s="2" t="s">
        <v>594</v>
      </c>
      <c r="D1473" s="2" t="str">
        <f t="shared" si="22"/>
        <v>Error?</v>
      </c>
    </row>
    <row r="1474" spans="1:4" x14ac:dyDescent="0.2">
      <c r="A1474" s="5">
        <v>1413</v>
      </c>
      <c r="B1474" s="138">
        <f>'Expenditures 15-22'!K229</f>
        <v>168296</v>
      </c>
      <c r="C1474" s="2" t="s">
        <v>594</v>
      </c>
      <c r="D1474" s="2" t="str">
        <f t="shared" si="22"/>
        <v>Error?</v>
      </c>
    </row>
    <row r="1475" spans="1:4" x14ac:dyDescent="0.2">
      <c r="A1475" s="5">
        <v>1414</v>
      </c>
      <c r="B1475" s="138">
        <f>'Expenditures 15-22'!K232</f>
        <v>2995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21843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2102</v>
      </c>
      <c r="C1479" s="2" t="s">
        <v>594</v>
      </c>
      <c r="D1479" s="2" t="str">
        <f t="shared" si="22"/>
        <v>Error?</v>
      </c>
    </row>
    <row r="1480" spans="1:4" x14ac:dyDescent="0.2">
      <c r="A1480" s="5">
        <v>1419</v>
      </c>
      <c r="B1480" s="138">
        <f>'Expenditures 15-22'!K237</f>
        <v>4593</v>
      </c>
      <c r="C1480" s="2" t="s">
        <v>594</v>
      </c>
      <c r="D1480" s="2" t="str">
        <f t="shared" si="22"/>
        <v>Error?</v>
      </c>
    </row>
    <row r="1481" spans="1:4" x14ac:dyDescent="0.2">
      <c r="A1481" s="5">
        <v>1420</v>
      </c>
      <c r="B1481" s="138">
        <f>'Expenditures 15-22'!K238</f>
        <v>31533</v>
      </c>
      <c r="C1481" s="2" t="s">
        <v>594</v>
      </c>
      <c r="D1481" s="2" t="str">
        <f t="shared" si="22"/>
        <v>Error?</v>
      </c>
    </row>
    <row r="1482" spans="1:4" x14ac:dyDescent="0.2">
      <c r="A1482" s="5">
        <v>1421</v>
      </c>
      <c r="B1482" s="138">
        <f>'Expenditures 15-22'!K240</f>
        <v>51875</v>
      </c>
      <c r="C1482" s="2" t="s">
        <v>594</v>
      </c>
      <c r="D1482" s="2" t="str">
        <f t="shared" si="22"/>
        <v>Error?</v>
      </c>
    </row>
    <row r="1483" spans="1:4" x14ac:dyDescent="0.2">
      <c r="A1483" s="5">
        <v>1422</v>
      </c>
      <c r="B1483" s="138">
        <f>'Expenditures 15-22'!K241</f>
        <v>14442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66317</v>
      </c>
      <c r="C1485" s="2" t="s">
        <v>594</v>
      </c>
      <c r="D1485" s="2" t="str">
        <f t="shared" si="22"/>
        <v>Error?</v>
      </c>
    </row>
    <row r="1486" spans="1:4" x14ac:dyDescent="0.2">
      <c r="A1486" s="5">
        <v>1425</v>
      </c>
      <c r="B1486" s="138">
        <f>'Expenditures 15-22'!K245</f>
        <v>2</v>
      </c>
      <c r="C1486" s="2" t="s">
        <v>594</v>
      </c>
      <c r="D1486" s="2" t="str">
        <f t="shared" si="22"/>
        <v>Error?</v>
      </c>
    </row>
    <row r="1487" spans="1:4" x14ac:dyDescent="0.2">
      <c r="A1487" s="5">
        <v>1426</v>
      </c>
      <c r="B1487" s="138">
        <f>'Expenditures 15-22'!K246</f>
        <v>13636</v>
      </c>
      <c r="C1487" s="2" t="s">
        <v>594</v>
      </c>
      <c r="D1487" s="2" t="str">
        <f t="shared" si="22"/>
        <v>Error?</v>
      </c>
    </row>
    <row r="1488" spans="1:4" x14ac:dyDescent="0.2">
      <c r="A1488" s="5">
        <v>1427</v>
      </c>
      <c r="B1488" s="138">
        <f>'Expenditures 15-22'!K257</f>
        <v>17541</v>
      </c>
      <c r="C1488" s="2" t="s">
        <v>594</v>
      </c>
      <c r="D1488" s="2" t="str">
        <f t="shared" si="22"/>
        <v>Error?</v>
      </c>
    </row>
    <row r="1489" spans="1:4" x14ac:dyDescent="0.2">
      <c r="A1489" s="5">
        <v>1428</v>
      </c>
      <c r="B1489" s="138">
        <f>'Expenditures 15-22'!K259</f>
        <v>41902</v>
      </c>
      <c r="C1489" s="2" t="s">
        <v>594</v>
      </c>
      <c r="D1489" s="2" t="str">
        <f t="shared" si="22"/>
        <v>Error?</v>
      </c>
    </row>
    <row r="1490" spans="1:4" x14ac:dyDescent="0.2">
      <c r="A1490" s="5">
        <v>1429</v>
      </c>
      <c r="B1490" s="138">
        <f>'Expenditures 15-22'!K260</f>
        <v>1998</v>
      </c>
      <c r="C1490" s="2" t="s">
        <v>594</v>
      </c>
      <c r="D1490" s="2" t="str">
        <f t="shared" si="22"/>
        <v>Error?</v>
      </c>
    </row>
    <row r="1491" spans="1:4" x14ac:dyDescent="0.2">
      <c r="A1491" s="5">
        <v>1430</v>
      </c>
      <c r="B1491" s="138">
        <f>'Expenditures 15-22'!K261</f>
        <v>43900</v>
      </c>
      <c r="C1491" s="2" t="s">
        <v>594</v>
      </c>
      <c r="D1491" s="2" t="str">
        <f t="shared" si="22"/>
        <v>Error?</v>
      </c>
    </row>
    <row r="1492" spans="1:4" x14ac:dyDescent="0.2">
      <c r="A1492" s="5">
        <v>1431</v>
      </c>
      <c r="B1492" s="138">
        <f>'Expenditures 15-22'!K263</f>
        <v>1777</v>
      </c>
      <c r="C1492" s="2" t="s">
        <v>594</v>
      </c>
      <c r="D1492" s="2" t="str">
        <f t="shared" si="22"/>
        <v>Error?</v>
      </c>
    </row>
    <row r="1493" spans="1:4" x14ac:dyDescent="0.2">
      <c r="A1493" s="5">
        <v>1432</v>
      </c>
      <c r="B1493" s="138">
        <f>'Expenditures 15-22'!K264</f>
        <v>16854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101306</v>
      </c>
      <c r="C1495" s="2" t="s">
        <v>594</v>
      </c>
      <c r="D1495" s="2" t="str">
        <f t="shared" si="22"/>
        <v>Error?</v>
      </c>
    </row>
    <row r="1496" spans="1:4" x14ac:dyDescent="0.2">
      <c r="A1496" s="5">
        <v>1435</v>
      </c>
      <c r="B1496" s="138">
        <f>'Expenditures 15-22'!K267</f>
        <v>52091</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172028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331319</v>
      </c>
      <c r="C1510" s="2" t="s">
        <v>594</v>
      </c>
      <c r="D1510" s="2" t="str">
        <f t="shared" si="22"/>
        <v>Error?</v>
      </c>
    </row>
    <row r="1511" spans="1:4" x14ac:dyDescent="0.2">
      <c r="A1511" s="5">
        <v>1450</v>
      </c>
      <c r="B1511" s="138">
        <f>'Expenditures 15-22'!K280</f>
        <v>4758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504373</v>
      </c>
      <c r="C1517" s="2" t="s">
        <v>594</v>
      </c>
      <c r="D1517" s="2" t="str">
        <f t="shared" si="22"/>
        <v>Error?</v>
      </c>
    </row>
    <row r="1518" spans="1:4" x14ac:dyDescent="0.2">
      <c r="A1518" s="5">
        <v>1457</v>
      </c>
      <c r="B1518" s="138">
        <f>'Expenditures 15-22'!K296</f>
        <v>13899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429450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429450</v>
      </c>
      <c r="C1547" s="2" t="s">
        <v>594</v>
      </c>
      <c r="D1547" s="2" t="str">
        <f t="shared" si="23"/>
        <v>Error?</v>
      </c>
    </row>
    <row r="1548" spans="1:4" x14ac:dyDescent="0.2">
      <c r="A1548" s="5">
        <v>1487</v>
      </c>
      <c r="B1548" s="138">
        <f>'Expenditures 15-22'!G312</f>
        <v>429450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459735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459735</v>
      </c>
      <c r="C1559" s="2" t="s">
        <v>594</v>
      </c>
      <c r="D1559" s="2" t="str">
        <f t="shared" si="23"/>
        <v>Error?</v>
      </c>
    </row>
    <row r="1560" spans="1:4" x14ac:dyDescent="0.2">
      <c r="A1560" s="5">
        <v>1499</v>
      </c>
      <c r="B1560" s="138">
        <f>'Expenditures 15-22'!K312</f>
        <v>459735</v>
      </c>
      <c r="C1560" s="2" t="s">
        <v>594</v>
      </c>
      <c r="D1560" s="2" t="str">
        <f t="shared" si="23"/>
        <v>Error?</v>
      </c>
    </row>
    <row r="1561" spans="1:4" x14ac:dyDescent="0.2">
      <c r="A1561" s="5">
        <v>1500</v>
      </c>
      <c r="B1561" s="138">
        <f>'Expenditures 15-22'!K313</f>
        <v>-458796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6195154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6874750</v>
      </c>
      <c r="C1630" s="2" t="s">
        <v>594</v>
      </c>
      <c r="D1630" s="2" t="str">
        <f t="shared" si="24"/>
        <v>Error?</v>
      </c>
    </row>
    <row r="1631" spans="1:4" x14ac:dyDescent="0.2">
      <c r="A1631" s="5">
        <v>1570</v>
      </c>
      <c r="B1631" s="138">
        <f>'Acct Summary 7-8'!D79</f>
        <v>2169902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2117133</v>
      </c>
      <c r="C1644" s="2" t="s">
        <v>594</v>
      </c>
      <c r="D1644" s="2" t="str">
        <f t="shared" si="24"/>
        <v>Error?</v>
      </c>
    </row>
    <row r="1645" spans="1:4" x14ac:dyDescent="0.2">
      <c r="A1645" s="5">
        <v>1584</v>
      </c>
      <c r="B1645" s="138">
        <f>'Acct Summary 7-8'!E79</f>
        <v>254042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238768</v>
      </c>
      <c r="C1658" s="2" t="s">
        <v>594</v>
      </c>
      <c r="D1658" s="2" t="str">
        <f t="shared" si="24"/>
        <v>Error?</v>
      </c>
    </row>
    <row r="1659" spans="1:4" x14ac:dyDescent="0.2">
      <c r="A1659" s="5">
        <v>1598</v>
      </c>
      <c r="B1659" s="138">
        <f>'Acct Summary 7-8'!F79</f>
        <v>1066230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1086285</v>
      </c>
      <c r="C1672" s="2" t="s">
        <v>594</v>
      </c>
      <c r="D1672" s="2" t="str">
        <f t="shared" si="25"/>
        <v>Error?</v>
      </c>
    </row>
    <row r="1673" spans="1:4" x14ac:dyDescent="0.2">
      <c r="A1673" s="5">
        <v>1612</v>
      </c>
      <c r="B1673" s="138">
        <f>'Acct Summary 7-8'!G79</f>
        <v>216322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230221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41204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9110851</v>
      </c>
      <c r="C1744" s="2" t="s">
        <v>594</v>
      </c>
      <c r="D1744" s="2" t="str">
        <f t="shared" si="26"/>
        <v>Error?</v>
      </c>
    </row>
    <row r="1745" spans="1:5" x14ac:dyDescent="0.2">
      <c r="A1745" s="5">
        <v>1684</v>
      </c>
      <c r="B1745" s="138">
        <f>'Tax Sched 23'!B5</f>
        <v>2124600</v>
      </c>
      <c r="C1745" s="2" t="s">
        <v>594</v>
      </c>
      <c r="D1745" s="2" t="str">
        <f t="shared" si="26"/>
        <v>Error?</v>
      </c>
    </row>
    <row r="1746" spans="1:5" x14ac:dyDescent="0.2">
      <c r="A1746" s="5">
        <v>1685</v>
      </c>
      <c r="B1746" s="138">
        <f>'Tax Sched 23'!B6</f>
        <v>293864</v>
      </c>
      <c r="C1746" s="2" t="s">
        <v>594</v>
      </c>
      <c r="D1746" s="2" t="str">
        <f t="shared" si="26"/>
        <v>Error?</v>
      </c>
    </row>
    <row r="1747" spans="1:5" x14ac:dyDescent="0.2">
      <c r="A1747" s="5">
        <v>1686</v>
      </c>
      <c r="B1747" s="138">
        <f>'Tax Sched 23'!B7</f>
        <v>410941</v>
      </c>
      <c r="C1747" s="2" t="s">
        <v>594</v>
      </c>
      <c r="D1747" s="2" t="str">
        <f t="shared" si="26"/>
        <v>Error?</v>
      </c>
    </row>
    <row r="1748" spans="1:5" x14ac:dyDescent="0.2">
      <c r="A1748" s="5">
        <v>1687</v>
      </c>
      <c r="B1748" s="138">
        <f>'Tax Sched 23'!B8</f>
        <v>165834</v>
      </c>
      <c r="C1748" s="2" t="s">
        <v>594</v>
      </c>
      <c r="D1748" s="2" t="str">
        <f t="shared" si="26"/>
        <v>Error?</v>
      </c>
    </row>
    <row r="1749" spans="1:5" x14ac:dyDescent="0.2">
      <c r="A1749" s="5">
        <v>1688</v>
      </c>
      <c r="B1749" s="138">
        <f>'Tax Sched 23'!B10</f>
        <v>39338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12338990</v>
      </c>
      <c r="C1759" s="2" t="s">
        <v>594</v>
      </c>
      <c r="D1759" s="2" t="str">
        <f t="shared" si="26"/>
        <v>Error?</v>
      </c>
    </row>
    <row r="1760" spans="1:5" x14ac:dyDescent="0.2">
      <c r="A1760" s="5">
        <v>1699</v>
      </c>
      <c r="B1760" s="138">
        <f>'Tax Sched 23'!D4</f>
        <v>4402166</v>
      </c>
      <c r="C1760" s="2" t="s">
        <v>594</v>
      </c>
      <c r="D1760" s="2" t="str">
        <f t="shared" si="26"/>
        <v>Error?</v>
      </c>
    </row>
    <row r="1761" spans="1:5" x14ac:dyDescent="0.2">
      <c r="A1761" s="5">
        <v>1700</v>
      </c>
      <c r="B1761" s="138">
        <f>'Tax Sched 23'!D5</f>
        <v>1034393</v>
      </c>
      <c r="C1761" s="2" t="s">
        <v>594</v>
      </c>
      <c r="D1761" s="2" t="str">
        <f t="shared" si="26"/>
        <v>Error?</v>
      </c>
    </row>
    <row r="1762" spans="1:5" s="8" customFormat="1" x14ac:dyDescent="0.2">
      <c r="A1762" s="5">
        <v>1701</v>
      </c>
      <c r="B1762" s="138">
        <f>'Tax Sched 23'!D6</f>
        <v>143659</v>
      </c>
      <c r="C1762" s="2" t="s">
        <v>594</v>
      </c>
      <c r="D1762" s="2" t="str">
        <f t="shared" si="26"/>
        <v>Error?</v>
      </c>
      <c r="E1762" s="9"/>
    </row>
    <row r="1763" spans="1:5" x14ac:dyDescent="0.2">
      <c r="A1763" s="5">
        <v>1702</v>
      </c>
      <c r="B1763" s="138">
        <f>'Tax Sched 23'!D7</f>
        <v>276461</v>
      </c>
      <c r="C1763" s="2" t="s">
        <v>594</v>
      </c>
      <c r="D1763" s="2" t="str">
        <f t="shared" si="26"/>
        <v>Error?</v>
      </c>
    </row>
    <row r="1764" spans="1:5" x14ac:dyDescent="0.2">
      <c r="A1764" s="5">
        <v>1703</v>
      </c>
      <c r="B1764" s="138">
        <f>'Tax Sched 23'!D8</f>
        <v>90506</v>
      </c>
      <c r="C1764" s="2" t="s">
        <v>594</v>
      </c>
      <c r="D1764" s="2" t="str">
        <f t="shared" si="26"/>
        <v>Error?</v>
      </c>
    </row>
    <row r="1765" spans="1:5" x14ac:dyDescent="0.2">
      <c r="A1765" s="5">
        <v>1704</v>
      </c>
      <c r="B1765" s="138">
        <f>'Tax Sched 23'!D10</f>
        <v>29187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6050095</v>
      </c>
      <c r="C1775" s="2" t="s">
        <v>594</v>
      </c>
      <c r="D1775" s="2" t="str">
        <f t="shared" si="26"/>
        <v>Error?</v>
      </c>
    </row>
    <row r="1776" spans="1:5" x14ac:dyDescent="0.2">
      <c r="A1776" s="5">
        <v>1715</v>
      </c>
      <c r="B1776" s="138">
        <f>'Tax Sched 23'!C4</f>
        <v>4708685</v>
      </c>
      <c r="D1776" s="2" t="str">
        <f t="shared" si="26"/>
        <v>Error?</v>
      </c>
    </row>
    <row r="1777" spans="1:4" x14ac:dyDescent="0.2">
      <c r="A1777" s="5">
        <v>1716</v>
      </c>
      <c r="B1777" s="138">
        <f>'Tax Sched 23'!C5</f>
        <v>1090207</v>
      </c>
      <c r="D1777" s="2" t="str">
        <f t="shared" si="26"/>
        <v>Error?</v>
      </c>
    </row>
    <row r="1778" spans="1:4" x14ac:dyDescent="0.2">
      <c r="A1778" s="5">
        <v>1717</v>
      </c>
      <c r="B1778" s="138">
        <f>'Tax Sched 23'!C6</f>
        <v>150205</v>
      </c>
      <c r="D1778" s="2" t="str">
        <f t="shared" si="26"/>
        <v>Error?</v>
      </c>
    </row>
    <row r="1779" spans="1:4" x14ac:dyDescent="0.2">
      <c r="A1779" s="5">
        <v>1718</v>
      </c>
      <c r="B1779" s="138">
        <f>'Tax Sched 23'!C7</f>
        <v>134480</v>
      </c>
      <c r="D1779" s="2" t="str">
        <f t="shared" si="26"/>
        <v>Error?</v>
      </c>
    </row>
    <row r="1780" spans="1:4" x14ac:dyDescent="0.2">
      <c r="A1780" s="5">
        <v>1719</v>
      </c>
      <c r="B1780" s="138">
        <f>'Tax Sched 23'!C8</f>
        <v>75328</v>
      </c>
      <c r="D1780" s="2" t="str">
        <f t="shared" si="26"/>
        <v>Error?</v>
      </c>
    </row>
    <row r="1781" spans="1:4" x14ac:dyDescent="0.2">
      <c r="A1781" s="5">
        <v>1720</v>
      </c>
      <c r="B1781" s="138">
        <f>'Tax Sched 23'!C10</f>
        <v>10151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6288895</v>
      </c>
      <c r="C1791" s="2" t="s">
        <v>594</v>
      </c>
      <c r="D1791" s="2" t="str">
        <f t="shared" ref="D1791:D1854" si="27">IF(ISBLANK(B1791),"OK",IF(A1791-B1791=0,"OK","Error?"))</f>
        <v>Error?</v>
      </c>
    </row>
    <row r="1792" spans="1:4" x14ac:dyDescent="0.2">
      <c r="A1792" s="5">
        <v>1731</v>
      </c>
      <c r="B1792" s="138">
        <f>'Tax Sched 23'!F4</f>
        <v>4625537</v>
      </c>
      <c r="C1792" s="2" t="s">
        <v>594</v>
      </c>
      <c r="D1792" s="2" t="str">
        <f t="shared" si="27"/>
        <v>Error?</v>
      </c>
    </row>
    <row r="1793" spans="1:4" x14ac:dyDescent="0.2">
      <c r="A1793" s="5">
        <v>1732</v>
      </c>
      <c r="B1793" s="138">
        <f>'Tax Sched 23'!F5</f>
        <v>1070955</v>
      </c>
      <c r="C1793" s="2" t="s">
        <v>594</v>
      </c>
      <c r="D1793" s="2" t="str">
        <f t="shared" si="27"/>
        <v>Error?</v>
      </c>
    </row>
    <row r="1794" spans="1:4" x14ac:dyDescent="0.2">
      <c r="A1794" s="5">
        <v>1733</v>
      </c>
      <c r="B1794" s="138">
        <f>'Tax Sched 23'!F6</f>
        <v>147553</v>
      </c>
      <c r="C1794" s="2" t="s">
        <v>594</v>
      </c>
      <c r="D1794" s="2" t="str">
        <f t="shared" si="27"/>
        <v>Error?</v>
      </c>
    </row>
    <row r="1795" spans="1:4" x14ac:dyDescent="0.2">
      <c r="A1795" s="5">
        <v>1734</v>
      </c>
      <c r="B1795" s="138">
        <f>'Tax Sched 23'!F7</f>
        <v>132105</v>
      </c>
      <c r="C1795" s="2" t="s">
        <v>594</v>
      </c>
      <c r="D1795" s="2" t="str">
        <f t="shared" si="27"/>
        <v>Error?</v>
      </c>
    </row>
    <row r="1796" spans="1:4" x14ac:dyDescent="0.2">
      <c r="A1796" s="5">
        <v>1735</v>
      </c>
      <c r="B1796" s="138">
        <f>'Tax Sched 23'!F8</f>
        <v>76238</v>
      </c>
      <c r="C1796" s="2" t="s">
        <v>594</v>
      </c>
      <c r="D1796" s="2" t="str">
        <f t="shared" si="27"/>
        <v>Error?</v>
      </c>
    </row>
    <row r="1797" spans="1:4" x14ac:dyDescent="0.2">
      <c r="A1797" s="5">
        <v>1736</v>
      </c>
      <c r="B1797" s="138">
        <f>'Tax Sched 23'!F10</f>
        <v>10273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6180383</v>
      </c>
      <c r="C1807" s="2" t="s">
        <v>594</v>
      </c>
      <c r="D1807" s="2" t="str">
        <f t="shared" si="27"/>
        <v>Error?</v>
      </c>
    </row>
    <row r="1808" spans="1:4" x14ac:dyDescent="0.2">
      <c r="A1808" s="5">
        <v>1747</v>
      </c>
      <c r="B1808" s="138">
        <f>'Tax Sched 23'!E4</f>
        <v>9334222</v>
      </c>
      <c r="D1808" s="2" t="str">
        <f t="shared" si="27"/>
        <v>Error?</v>
      </c>
    </row>
    <row r="1809" spans="1:4" x14ac:dyDescent="0.2">
      <c r="A1809" s="5">
        <v>1748</v>
      </c>
      <c r="B1809" s="138">
        <f>'Tax Sched 23'!E5</f>
        <v>2161162</v>
      </c>
      <c r="D1809" s="2" t="str">
        <f t="shared" si="27"/>
        <v>Error?</v>
      </c>
    </row>
    <row r="1810" spans="1:4" x14ac:dyDescent="0.2">
      <c r="A1810" s="5">
        <v>1749</v>
      </c>
      <c r="B1810" s="138">
        <f>'Tax Sched 23'!E6</f>
        <v>297758</v>
      </c>
      <c r="D1810" s="2" t="str">
        <f t="shared" si="27"/>
        <v>Error?</v>
      </c>
    </row>
    <row r="1811" spans="1:4" x14ac:dyDescent="0.2">
      <c r="A1811" s="5">
        <v>1750</v>
      </c>
      <c r="B1811" s="138">
        <f>'Tax Sched 23'!E7</f>
        <v>266585</v>
      </c>
      <c r="D1811" s="2" t="str">
        <f t="shared" si="27"/>
        <v>Error?</v>
      </c>
    </row>
    <row r="1812" spans="1:4" x14ac:dyDescent="0.2">
      <c r="A1812" s="5">
        <v>1751</v>
      </c>
      <c r="B1812" s="138">
        <f>'Tax Sched 23'!E8</f>
        <v>151566</v>
      </c>
      <c r="D1812" s="2" t="str">
        <f t="shared" si="27"/>
        <v>Error?</v>
      </c>
    </row>
    <row r="1813" spans="1:4" x14ac:dyDescent="0.2">
      <c r="A1813" s="5">
        <v>1752</v>
      </c>
      <c r="B1813" s="138">
        <f>'Tax Sched 23'!E10</f>
        <v>20424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12469278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3526926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87581</v>
      </c>
      <c r="D2008" s="2" t="str">
        <f t="shared" si="30"/>
        <v>Error?</v>
      </c>
    </row>
    <row r="2009" spans="1:4" x14ac:dyDescent="0.2">
      <c r="A2009" s="5">
        <v>1948</v>
      </c>
      <c r="B2009" s="138">
        <f>'Cap Outlay Deprec 26'!C8</f>
        <v>19214357</v>
      </c>
      <c r="D2009" s="2" t="str">
        <f t="shared" si="30"/>
        <v>Error?</v>
      </c>
    </row>
    <row r="2010" spans="1:4" x14ac:dyDescent="0.2">
      <c r="A2010" s="5">
        <v>1949</v>
      </c>
      <c r="B2010" s="138">
        <f>'Cap Outlay Deprec 26'!C10</f>
        <v>2066896</v>
      </c>
      <c r="D2010" s="2" t="str">
        <f t="shared" si="30"/>
        <v>Error?</v>
      </c>
    </row>
    <row r="2011" spans="1:4" x14ac:dyDescent="0.2">
      <c r="A2011" s="5">
        <v>1950</v>
      </c>
      <c r="B2011" s="138">
        <f>'Cap Outlay Deprec 26'!C12</f>
        <v>2026399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23395233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429450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67491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496941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87581</v>
      </c>
      <c r="C2026" s="2" t="s">
        <v>594</v>
      </c>
      <c r="D2026" s="2" t="str">
        <f t="shared" si="30"/>
        <v>Error?</v>
      </c>
    </row>
    <row r="2027" spans="1:4" x14ac:dyDescent="0.2">
      <c r="A2027" s="5">
        <v>1966</v>
      </c>
      <c r="B2027" s="138">
        <f>'Cap Outlay Deprec 26'!F8</f>
        <v>19643807</v>
      </c>
      <c r="C2027" s="2" t="s">
        <v>594</v>
      </c>
      <c r="D2027" s="2" t="str">
        <f t="shared" si="30"/>
        <v>Error?</v>
      </c>
    </row>
    <row r="2028" spans="1:4" x14ac:dyDescent="0.2">
      <c r="A2028" s="5">
        <v>1967</v>
      </c>
      <c r="B2028" s="138">
        <f>'Cap Outlay Deprec 26'!F10</f>
        <v>2066896</v>
      </c>
      <c r="C2028" s="2" t="s">
        <v>594</v>
      </c>
      <c r="D2028" s="2" t="str">
        <f t="shared" si="30"/>
        <v>Error?</v>
      </c>
    </row>
    <row r="2029" spans="1:4" x14ac:dyDescent="0.2">
      <c r="A2029" s="5">
        <v>1968</v>
      </c>
      <c r="B2029" s="138">
        <f>'Cap Outlay Deprec 26'!F12</f>
        <v>2093890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23892174</v>
      </c>
      <c r="C2031" s="2" t="s">
        <v>594</v>
      </c>
      <c r="D2031" s="2" t="str">
        <f t="shared" si="30"/>
        <v>Error?</v>
      </c>
    </row>
    <row r="2032" spans="1:4" x14ac:dyDescent="0.2">
      <c r="A2032" s="10">
        <v>1971</v>
      </c>
      <c r="D2032" s="2" t="str">
        <f t="shared" si="30"/>
        <v>OK</v>
      </c>
    </row>
    <row r="2033" spans="1:4" x14ac:dyDescent="0.2">
      <c r="A2033" s="5">
        <v>1972</v>
      </c>
      <c r="B2033" s="138">
        <f>'Cap Outlay Deprec 26'!H8</f>
        <v>8974354</v>
      </c>
      <c r="D2033" s="2" t="str">
        <f t="shared" si="30"/>
        <v>Error?</v>
      </c>
    </row>
    <row r="2034" spans="1:4" x14ac:dyDescent="0.2">
      <c r="A2034" s="5">
        <v>1973</v>
      </c>
      <c r="B2034" s="138">
        <f>'Cap Outlay Deprec 26'!H10</f>
        <v>820699</v>
      </c>
      <c r="D2034" s="2" t="str">
        <f t="shared" si="30"/>
        <v>Error?</v>
      </c>
    </row>
    <row r="2035" spans="1:4" x14ac:dyDescent="0.2">
      <c r="A2035" s="5">
        <v>1974</v>
      </c>
      <c r="B2035" s="138">
        <f>'Cap Outlay Deprec 26'!H12</f>
        <v>1370448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11165501</v>
      </c>
      <c r="C2037" s="2" t="s">
        <v>594</v>
      </c>
      <c r="D2037" s="2" t="str">
        <f t="shared" si="30"/>
        <v>Error?</v>
      </c>
    </row>
    <row r="2038" spans="1:4" x14ac:dyDescent="0.2">
      <c r="A2038" s="10">
        <v>1977</v>
      </c>
      <c r="D2038" s="2" t="str">
        <f t="shared" si="30"/>
        <v>OK</v>
      </c>
    </row>
    <row r="2039" spans="1:4" x14ac:dyDescent="0.2">
      <c r="A2039" s="5">
        <v>1978</v>
      </c>
      <c r="B2039" s="138">
        <f>'Cap Outlay Deprec 26'!I8</f>
        <v>490886</v>
      </c>
      <c r="D2039" s="2" t="str">
        <f t="shared" si="30"/>
        <v>Error?</v>
      </c>
    </row>
    <row r="2040" spans="1:4" x14ac:dyDescent="0.2">
      <c r="A2040" s="5">
        <v>1979</v>
      </c>
      <c r="B2040" s="138">
        <f>'Cap Outlay Deprec 26'!I10</f>
        <v>74825</v>
      </c>
      <c r="D2040" s="2" t="str">
        <f t="shared" si="30"/>
        <v>Error?</v>
      </c>
    </row>
    <row r="2041" spans="1:4" x14ac:dyDescent="0.2">
      <c r="A2041" s="5">
        <v>1980</v>
      </c>
      <c r="B2041" s="138">
        <f>'Cap Outlay Deprec 26'!I12</f>
        <v>191474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757185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9465240</v>
      </c>
      <c r="C2051" s="2" t="s">
        <v>594</v>
      </c>
      <c r="D2051" s="2" t="str">
        <f t="shared" si="31"/>
        <v>Error?</v>
      </c>
    </row>
    <row r="2052" spans="1:4" x14ac:dyDescent="0.2">
      <c r="A2052" s="5">
        <v>1991</v>
      </c>
      <c r="B2052" s="138">
        <f>'Cap Outlay Deprec 26'!K10</f>
        <v>895524</v>
      </c>
      <c r="C2052" s="2" t="s">
        <v>594</v>
      </c>
      <c r="D2052" s="2" t="str">
        <f t="shared" si="31"/>
        <v>Error?</v>
      </c>
    </row>
    <row r="2053" spans="1:4" x14ac:dyDescent="0.2">
      <c r="A2053" s="5">
        <v>1992</v>
      </c>
      <c r="B2053" s="138">
        <f>'Cap Outlay Deprec 26'!K12</f>
        <v>1561922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11922686</v>
      </c>
      <c r="C2055" s="2" t="s">
        <v>594</v>
      </c>
      <c r="D2055" s="2" t="str">
        <f t="shared" si="31"/>
        <v>Error?</v>
      </c>
    </row>
    <row r="2056" spans="1:4" x14ac:dyDescent="0.2">
      <c r="A2056" s="5">
        <v>1995</v>
      </c>
      <c r="B2056" s="138">
        <f>'Cap Outlay Deprec 26'!L5</f>
        <v>87581</v>
      </c>
      <c r="C2056" s="2" t="s">
        <v>594</v>
      </c>
      <c r="D2056" s="2" t="str">
        <f t="shared" si="31"/>
        <v>Error?</v>
      </c>
    </row>
    <row r="2057" spans="1:4" x14ac:dyDescent="0.2">
      <c r="A2057" s="5">
        <v>1996</v>
      </c>
      <c r="B2057" s="138">
        <f>'Cap Outlay Deprec 26'!L8</f>
        <v>10178567</v>
      </c>
      <c r="C2057" s="2" t="s">
        <v>594</v>
      </c>
      <c r="D2057" s="2" t="str">
        <f t="shared" si="31"/>
        <v>Error?</v>
      </c>
    </row>
    <row r="2058" spans="1:4" x14ac:dyDescent="0.2">
      <c r="A2058" s="5">
        <v>1997</v>
      </c>
      <c r="B2058" s="138">
        <f>'Cap Outlay Deprec 26'!L10</f>
        <v>1171372</v>
      </c>
      <c r="C2058" s="2" t="s">
        <v>594</v>
      </c>
      <c r="D2058" s="2" t="str">
        <f t="shared" si="31"/>
        <v>Error?</v>
      </c>
    </row>
    <row r="2059" spans="1:4" x14ac:dyDescent="0.2">
      <c r="A2059" s="5">
        <v>1998</v>
      </c>
      <c r="B2059" s="138">
        <f>'Cap Outlay Deprec 26'!L12</f>
        <v>531968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11969488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887698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9827741</v>
      </c>
      <c r="C2551" s="2" t="s">
        <v>594</v>
      </c>
      <c r="D2551" s="2" t="str">
        <f t="shared" si="38"/>
        <v>Error?</v>
      </c>
    </row>
    <row r="2552" spans="1:4" x14ac:dyDescent="0.2">
      <c r="A2552" s="10">
        <v>2491</v>
      </c>
      <c r="D2552" s="2" t="str">
        <f t="shared" si="38"/>
        <v>OK</v>
      </c>
    </row>
    <row r="2553" spans="1:4" x14ac:dyDescent="0.2">
      <c r="A2553" s="5">
        <v>2492</v>
      </c>
      <c r="B2553" s="138">
        <f>'Acct Summary 7-8'!C6</f>
        <v>2974811</v>
      </c>
      <c r="C2553" s="2" t="s">
        <v>594</v>
      </c>
      <c r="D2553" s="2" t="str">
        <f t="shared" si="38"/>
        <v>Error?</v>
      </c>
    </row>
    <row r="2554" spans="1:4" x14ac:dyDescent="0.2">
      <c r="A2554" s="5">
        <v>2493</v>
      </c>
      <c r="B2554" s="138">
        <f>'Acct Summary 7-8'!C7</f>
        <v>1054272</v>
      </c>
      <c r="C2554" s="2" t="s">
        <v>594</v>
      </c>
      <c r="D2554" s="2" t="str">
        <f t="shared" si="38"/>
        <v>Error?</v>
      </c>
    </row>
    <row r="2555" spans="1:4" x14ac:dyDescent="0.2">
      <c r="A2555" s="5">
        <v>2494</v>
      </c>
      <c r="B2555" s="138">
        <f>'Acct Summary 7-8'!C8</f>
        <v>13856824</v>
      </c>
      <c r="C2555" s="2" t="s">
        <v>594</v>
      </c>
      <c r="D2555" s="2" t="str">
        <f t="shared" si="38"/>
        <v>Error?</v>
      </c>
    </row>
    <row r="2556" spans="1:4" x14ac:dyDescent="0.2">
      <c r="A2556" s="5">
        <v>2495</v>
      </c>
      <c r="B2556" s="138">
        <f>'Acct Summary 7-8'!C12</f>
        <v>7926506</v>
      </c>
      <c r="C2556" s="2" t="s">
        <v>594</v>
      </c>
      <c r="D2556" s="2" t="str">
        <f t="shared" si="38"/>
        <v>Error?</v>
      </c>
    </row>
    <row r="2557" spans="1:4" x14ac:dyDescent="0.2">
      <c r="A2557" s="5">
        <v>2496</v>
      </c>
      <c r="B2557" s="138">
        <f>'Acct Summary 7-8'!C13</f>
        <v>4255138</v>
      </c>
      <c r="C2557" s="2" t="s">
        <v>594</v>
      </c>
      <c r="D2557" s="2" t="str">
        <f t="shared" si="38"/>
        <v>Error?</v>
      </c>
    </row>
    <row r="2558" spans="1:4" x14ac:dyDescent="0.2">
      <c r="A2558" s="5">
        <v>2497</v>
      </c>
      <c r="B2558" s="138">
        <f>'Acct Summary 7-8'!C14</f>
        <v>61800</v>
      </c>
      <c r="C2558" s="2" t="s">
        <v>594</v>
      </c>
      <c r="D2558" s="2" t="str">
        <f t="shared" si="38"/>
        <v>Error?</v>
      </c>
    </row>
    <row r="2559" spans="1:4" x14ac:dyDescent="0.2">
      <c r="A2559" s="5">
        <v>2498</v>
      </c>
      <c r="B2559" s="138">
        <f>'Acct Summary 7-8'!C15</f>
        <v>887698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13131142</v>
      </c>
      <c r="C2561" s="2" t="s">
        <v>594</v>
      </c>
      <c r="D2561" s="2" t="str">
        <f t="shared" si="39"/>
        <v>Error?</v>
      </c>
    </row>
    <row r="2562" spans="1:4" x14ac:dyDescent="0.2">
      <c r="A2562" s="5">
        <v>2501</v>
      </c>
      <c r="B2562" s="138">
        <f>'Acct Summary 7-8'!C20</f>
        <v>725682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2188184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2188184</v>
      </c>
      <c r="C2568" s="2" t="s">
        <v>594</v>
      </c>
      <c r="D2568" s="2" t="str">
        <f t="shared" si="39"/>
        <v>Error?</v>
      </c>
    </row>
    <row r="2569" spans="1:4" x14ac:dyDescent="0.2">
      <c r="A2569" s="5">
        <v>2508</v>
      </c>
      <c r="B2569" s="138">
        <f>'Acct Summary 7-8'!D13</f>
        <v>1740953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1740953</v>
      </c>
      <c r="C2573" s="2" t="s">
        <v>594</v>
      </c>
      <c r="D2573" s="2" t="str">
        <f t="shared" si="39"/>
        <v>Error?</v>
      </c>
    </row>
    <row r="2574" spans="1:4" x14ac:dyDescent="0.2">
      <c r="A2574" s="5">
        <v>2513</v>
      </c>
      <c r="B2574" s="138">
        <f>'Acct Summary 7-8'!D20</f>
        <v>447231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431501</v>
      </c>
      <c r="C2591" s="2" t="s">
        <v>594</v>
      </c>
      <c r="D2591" s="2" t="str">
        <f t="shared" si="39"/>
        <v>Error?</v>
      </c>
    </row>
    <row r="2592" spans="1:4" x14ac:dyDescent="0.2">
      <c r="A2592" s="10">
        <v>2531</v>
      </c>
      <c r="D2592" s="2" t="str">
        <f t="shared" si="39"/>
        <v>OK</v>
      </c>
    </row>
    <row r="2593" spans="1:4" x14ac:dyDescent="0.2">
      <c r="A2593" s="5">
        <v>2532</v>
      </c>
      <c r="B2593" s="138">
        <f>'Acct Summary 7-8'!F6</f>
        <v>123910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555411</v>
      </c>
      <c r="C2595" s="2" t="s">
        <v>594</v>
      </c>
      <c r="D2595" s="2" t="str">
        <f t="shared" si="39"/>
        <v>Error?</v>
      </c>
    </row>
    <row r="2596" spans="1:4" x14ac:dyDescent="0.2">
      <c r="A2596" s="5">
        <v>2535</v>
      </c>
      <c r="B2596" s="138">
        <f>'Acct Summary 7-8'!F13</f>
        <v>535356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535356</v>
      </c>
      <c r="C2600" s="2" t="s">
        <v>594</v>
      </c>
      <c r="D2600" s="2" t="str">
        <f t="shared" si="39"/>
        <v>Error?</v>
      </c>
    </row>
    <row r="2601" spans="1:4" x14ac:dyDescent="0.2">
      <c r="A2601" s="5">
        <v>2540</v>
      </c>
      <c r="B2601" s="138">
        <f>'Acct Summary 7-8'!F20</f>
        <v>20055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518272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518272</v>
      </c>
      <c r="C2606" s="2" t="s">
        <v>594</v>
      </c>
      <c r="D2606" s="2" t="str">
        <f t="shared" si="39"/>
        <v>Error?</v>
      </c>
    </row>
    <row r="2607" spans="1:4" x14ac:dyDescent="0.2">
      <c r="A2607" s="5">
        <v>2546</v>
      </c>
      <c r="B2607" s="138">
        <f>'Acct Summary 7-8'!G12</f>
        <v>168296</v>
      </c>
      <c r="C2607" s="2" t="s">
        <v>594</v>
      </c>
      <c r="D2607" s="2" t="str">
        <f t="shared" si="39"/>
        <v>Error?</v>
      </c>
    </row>
    <row r="2608" spans="1:4" x14ac:dyDescent="0.2">
      <c r="A2608" s="5">
        <v>2547</v>
      </c>
      <c r="B2608" s="138">
        <f>'Acct Summary 7-8'!G13</f>
        <v>331319</v>
      </c>
      <c r="C2608" s="2" t="s">
        <v>594</v>
      </c>
      <c r="D2608" s="2" t="str">
        <f t="shared" si="39"/>
        <v>Error?</v>
      </c>
    </row>
    <row r="2609" spans="1:4" x14ac:dyDescent="0.2">
      <c r="A2609" s="5">
        <v>2548</v>
      </c>
      <c r="B2609" s="138">
        <f>'Acct Summary 7-8'!G14</f>
        <v>4758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504373</v>
      </c>
      <c r="C2612" s="2" t="s">
        <v>594</v>
      </c>
      <c r="D2612" s="2" t="str">
        <f t="shared" si="39"/>
        <v>Error?</v>
      </c>
    </row>
    <row r="2613" spans="1:4" x14ac:dyDescent="0.2">
      <c r="A2613" s="5">
        <v>2552</v>
      </c>
      <c r="B2613" s="138">
        <f>'Acct Summary 7-8'!G20</f>
        <v>13899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295787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295787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357147</v>
      </c>
      <c r="C2634" s="2" t="s">
        <v>594</v>
      </c>
      <c r="D2634" s="2" t="str">
        <f t="shared" si="40"/>
        <v>Error?</v>
      </c>
    </row>
    <row r="2635" spans="1:4" x14ac:dyDescent="0.2">
      <c r="A2635" s="5">
        <v>2574</v>
      </c>
      <c r="B2635" s="138">
        <f>'Acct Summary 7-8'!E17</f>
        <v>357147</v>
      </c>
      <c r="C2635" s="2" t="s">
        <v>594</v>
      </c>
      <c r="D2635" s="2" t="str">
        <f t="shared" si="40"/>
        <v>Error?</v>
      </c>
    </row>
    <row r="2636" spans="1:4" x14ac:dyDescent="0.2">
      <c r="A2636" s="5">
        <v>2575</v>
      </c>
      <c r="B2636" s="138">
        <f>'Acct Summary 7-8'!E20</f>
        <v>-61360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939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939</v>
      </c>
      <c r="C2658" s="2" t="s">
        <v>594</v>
      </c>
      <c r="D2658" s="2" t="str">
        <f t="shared" si="40"/>
        <v>Error?</v>
      </c>
    </row>
    <row r="2659" spans="1:4" x14ac:dyDescent="0.2">
      <c r="A2659" s="5">
        <v>2598</v>
      </c>
      <c r="B2659" s="138">
        <f>'Acct Summary 7-8'!H13</f>
        <v>459735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459735</v>
      </c>
      <c r="C2661" s="2" t="s">
        <v>594</v>
      </c>
      <c r="D2661" s="2" t="str">
        <f t="shared" si="40"/>
        <v>Error?</v>
      </c>
    </row>
    <row r="2662" spans="1:4" x14ac:dyDescent="0.2">
      <c r="A2662" s="5">
        <v>2601</v>
      </c>
      <c r="B2662" s="138">
        <f>'Acct Summary 7-8'!H20</f>
        <v>-458796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31558</v>
      </c>
      <c r="D2718" s="2" t="str">
        <f t="shared" si="41"/>
        <v>Error?</v>
      </c>
    </row>
    <row r="2719" spans="1:4" x14ac:dyDescent="0.2">
      <c r="A2719" s="5">
        <v>2658</v>
      </c>
      <c r="B2719" s="138">
        <f>'Expenditures 15-22'!D51</f>
        <v>6717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74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38349</v>
      </c>
      <c r="C2724" s="2" t="s">
        <v>594</v>
      </c>
      <c r="D2724" s="2" t="str">
        <f t="shared" si="41"/>
        <v>Error?</v>
      </c>
    </row>
    <row r="2725" spans="1:4" x14ac:dyDescent="0.2">
      <c r="A2725" s="5">
        <v>2664</v>
      </c>
      <c r="B2725" s="138">
        <f>'Expenditures 15-22'!D247</f>
        <v>3903</v>
      </c>
      <c r="D2725" s="2" t="str">
        <f t="shared" si="41"/>
        <v>Error?</v>
      </c>
    </row>
    <row r="2726" spans="1:4" x14ac:dyDescent="0.2">
      <c r="A2726" s="5">
        <v>2665</v>
      </c>
      <c r="B2726" s="138">
        <f>'Expenditures 15-22'!K247</f>
        <v>3903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131136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1644656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55746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1644656</v>
      </c>
      <c r="D2912" s="2" t="str">
        <f t="shared" si="44"/>
        <v>Error?</v>
      </c>
    </row>
    <row r="2913" spans="1:4" x14ac:dyDescent="0.2">
      <c r="A2913" s="5">
        <v>2852</v>
      </c>
      <c r="B2913" s="138">
        <f>'Assets-Liab 5-6'!I41</f>
        <v>1644656</v>
      </c>
      <c r="C2913" s="2" t="s">
        <v>594</v>
      </c>
      <c r="D2913" s="2" t="str">
        <f t="shared" si="44"/>
        <v>Error?</v>
      </c>
    </row>
    <row r="2914" spans="1:4" x14ac:dyDescent="0.2">
      <c r="A2914" s="5">
        <v>2853</v>
      </c>
      <c r="B2914" s="138">
        <f>'Assets-Liab 5-6'!L33</f>
        <v>55746</v>
      </c>
      <c r="D2914" s="2" t="str">
        <f t="shared" si="44"/>
        <v>Error?</v>
      </c>
    </row>
    <row r="2915" spans="1:4" x14ac:dyDescent="0.2">
      <c r="A2915" s="10">
        <v>2854</v>
      </c>
      <c r="D2915" s="2" t="str">
        <f t="shared" si="44"/>
        <v>OK</v>
      </c>
    </row>
    <row r="2916" spans="1:4" x14ac:dyDescent="0.2">
      <c r="A2916" s="5">
        <v>2855</v>
      </c>
      <c r="B2916" s="138">
        <f>'Assets-Liab 5-6'!L34</f>
        <v>55746</v>
      </c>
      <c r="C2916" s="2" t="s">
        <v>594</v>
      </c>
      <c r="D2916" s="2" t="str">
        <f t="shared" si="44"/>
        <v>Error?</v>
      </c>
    </row>
    <row r="2917" spans="1:4" x14ac:dyDescent="0.2">
      <c r="A2917" s="5">
        <v>2856</v>
      </c>
      <c r="B2917" s="138">
        <f>'Assets-Liab 5-6'!L41</f>
        <v>55746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13862</v>
      </c>
      <c r="D3055" s="2" t="str">
        <f t="shared" si="46"/>
        <v>Error?</v>
      </c>
    </row>
    <row r="3056" spans="1:4" x14ac:dyDescent="0.2">
      <c r="A3056" s="5">
        <v>2995</v>
      </c>
      <c r="B3056" s="138">
        <f>'Expenditures 15-22'!D10</f>
        <v>1558</v>
      </c>
      <c r="D3056" s="2" t="str">
        <f t="shared" si="46"/>
        <v>Error?</v>
      </c>
    </row>
    <row r="3057" spans="1:4" x14ac:dyDescent="0.2">
      <c r="A3057" s="5">
        <v>2996</v>
      </c>
      <c r="B3057" s="138">
        <f>'Expenditures 15-22'!E10</f>
        <v>284</v>
      </c>
      <c r="D3057" s="2" t="str">
        <f t="shared" si="46"/>
        <v>Error?</v>
      </c>
    </row>
    <row r="3058" spans="1:4" x14ac:dyDescent="0.2">
      <c r="A3058" s="5">
        <v>2997</v>
      </c>
      <c r="B3058" s="138">
        <f>'Expenditures 15-22'!F10</f>
        <v>619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16323</v>
      </c>
      <c r="C3062" s="2" t="s">
        <v>594</v>
      </c>
      <c r="D3062" s="2" t="str">
        <f t="shared" si="46"/>
        <v>Error?</v>
      </c>
    </row>
    <row r="3063" spans="1:4" x14ac:dyDescent="0.2">
      <c r="A3063" s="10">
        <v>3002</v>
      </c>
      <c r="D3063" s="2" t="str">
        <f t="shared" si="46"/>
        <v>OK</v>
      </c>
    </row>
    <row r="3064" spans="1:4" x14ac:dyDescent="0.2">
      <c r="A3064" s="5">
        <v>3003</v>
      </c>
      <c r="B3064" s="138">
        <f>'Expenditures 15-22'!D219</f>
        <v>222</v>
      </c>
      <c r="D3064" s="2" t="str">
        <f t="shared" si="46"/>
        <v>Error?</v>
      </c>
    </row>
    <row r="3065" spans="1:4" x14ac:dyDescent="0.2">
      <c r="A3065" s="5">
        <v>3004</v>
      </c>
      <c r="B3065" s="138">
        <f>'Expenditures 15-22'!K219</f>
        <v>222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60171</v>
      </c>
      <c r="C3225" s="2" t="s">
        <v>594</v>
      </c>
      <c r="D3225" s="2" t="str">
        <f t="shared" si="49"/>
        <v>Error?</v>
      </c>
    </row>
    <row r="3226" spans="1:4" x14ac:dyDescent="0.2">
      <c r="A3226" s="5">
        <v>3165</v>
      </c>
      <c r="B3226" s="138">
        <f>'Acct Summary 7-8'!I8</f>
        <v>60171</v>
      </c>
      <c r="C3226" s="2" t="s">
        <v>594</v>
      </c>
      <c r="D3226" s="2" t="str">
        <f t="shared" si="49"/>
        <v>Error?</v>
      </c>
    </row>
    <row r="3227" spans="1:4" x14ac:dyDescent="0.2">
      <c r="A3227" s="5">
        <v>3166</v>
      </c>
      <c r="B3227" s="138">
        <f>'Acct Summary 7-8'!I20</f>
        <v>60171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46086</v>
      </c>
      <c r="C3231" s="2" t="s">
        <v>594</v>
      </c>
      <c r="D3231" s="2" t="str">
        <f t="shared" si="49"/>
        <v>Error?</v>
      </c>
    </row>
    <row r="3232" spans="1:4" x14ac:dyDescent="0.2">
      <c r="A3232" s="5">
        <v>3171</v>
      </c>
      <c r="B3232" s="138">
        <f>'Acct Summary 7-8'!C77</f>
        <v>-46086</v>
      </c>
      <c r="C3232" s="2" t="s">
        <v>594</v>
      </c>
      <c r="D3232" s="2" t="str">
        <f t="shared" si="49"/>
        <v>Error?</v>
      </c>
    </row>
    <row r="3233" spans="1:4" x14ac:dyDescent="0.2">
      <c r="A3233" s="5">
        <v>3172</v>
      </c>
      <c r="B3233" s="138">
        <f>'Acct Summary 7-8'!C78</f>
        <v>679596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594</v>
      </c>
      <c r="D3237" s="2" t="str">
        <f t="shared" si="49"/>
        <v>Error?</v>
      </c>
    </row>
    <row r="3238" spans="1:4" x14ac:dyDescent="0.2">
      <c r="A3238" s="5">
        <v>3177</v>
      </c>
      <c r="B3238" s="138">
        <f>'Acct Summary 7-8'!D77</f>
        <v>-500000</v>
      </c>
      <c r="C3238" s="2" t="s">
        <v>594</v>
      </c>
      <c r="D3238" s="2" t="str">
        <f t="shared" si="49"/>
        <v>Error?</v>
      </c>
    </row>
    <row r="3239" spans="1:4" x14ac:dyDescent="0.2">
      <c r="A3239" s="5">
        <v>3178</v>
      </c>
      <c r="B3239" s="138">
        <f>'Acct Summary 7-8'!D78</f>
        <v>-52769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20055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13899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46086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46086</v>
      </c>
      <c r="C3277" s="2" t="s">
        <v>594</v>
      </c>
      <c r="D3277" s="2" t="str">
        <f t="shared" si="50"/>
        <v>Error?</v>
      </c>
    </row>
    <row r="3278" spans="1:4" x14ac:dyDescent="0.2">
      <c r="A3278" s="5">
        <v>3217</v>
      </c>
      <c r="B3278" s="138">
        <f>'Acct Summary 7-8'!E78</f>
        <v>-15274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500000</v>
      </c>
      <c r="C3299" s="2" t="s">
        <v>594</v>
      </c>
      <c r="D3299" s="2" t="str">
        <f t="shared" si="50"/>
        <v>Error?</v>
      </c>
    </row>
    <row r="3300" spans="1:4" x14ac:dyDescent="0.2">
      <c r="A3300" s="5">
        <v>3239</v>
      </c>
      <c r="B3300" s="138">
        <f>'Acct Summary 7-8'!H78</f>
        <v>41204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60171</v>
      </c>
      <c r="C3320" s="2" t="s">
        <v>594</v>
      </c>
      <c r="D3320" s="2" t="str">
        <f t="shared" si="50"/>
        <v>Error?</v>
      </c>
    </row>
    <row r="3321" spans="1:4" x14ac:dyDescent="0.2">
      <c r="A3321" s="5">
        <v>3260</v>
      </c>
      <c r="B3321" s="138">
        <f>'Acct Summary 7-8'!I79</f>
        <v>1584485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1644656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572982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185606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9223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784495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73021</v>
      </c>
      <c r="D3387" s="2" t="str">
        <f t="shared" si="51"/>
        <v>Error?</v>
      </c>
    </row>
    <row r="3388" spans="1:4" x14ac:dyDescent="0.2">
      <c r="A3388" s="5">
        <v>3327</v>
      </c>
      <c r="B3388" s="138">
        <f>'Expenditures 15-22'!D217</f>
        <v>47406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73021</v>
      </c>
      <c r="C3390" s="2" t="s">
        <v>594</v>
      </c>
      <c r="D3390" s="2" t="str">
        <f t="shared" si="51"/>
        <v>Error?</v>
      </c>
    </row>
    <row r="3391" spans="1:4" x14ac:dyDescent="0.2">
      <c r="A3391" s="5">
        <v>3330</v>
      </c>
      <c r="B3391" s="138">
        <f>'Expenditures 15-22'!K217</f>
        <v>47406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238768</v>
      </c>
      <c r="D3417" s="2" t="str">
        <f t="shared" si="52"/>
        <v>Error?</v>
      </c>
    </row>
    <row r="3418" spans="1:4" x14ac:dyDescent="0.2">
      <c r="A3418" s="10">
        <v>3357</v>
      </c>
      <c r="D3418" s="2" t="str">
        <f t="shared" si="52"/>
        <v>OK</v>
      </c>
    </row>
    <row r="3419" spans="1:4" x14ac:dyDescent="0.2">
      <c r="A3419" s="5">
        <v>3358</v>
      </c>
      <c r="B3419" s="138">
        <f>'Assets-Liab 5-6'!F4</f>
        <v>225085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40274</v>
      </c>
      <c r="D3425" s="2" t="str">
        <f t="shared" si="52"/>
        <v>Error?</v>
      </c>
    </row>
    <row r="3426" spans="1:4" x14ac:dyDescent="0.2">
      <c r="A3426" s="10">
        <v>3365</v>
      </c>
      <c r="D3426" s="2" t="str">
        <f t="shared" si="52"/>
        <v>OK</v>
      </c>
    </row>
    <row r="3427" spans="1:4" x14ac:dyDescent="0.2">
      <c r="A3427" s="5">
        <v>3366</v>
      </c>
      <c r="B3427" s="138">
        <f>'Assets-Liab 5-6'!I4</f>
        <v>1513520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55746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193562</v>
      </c>
      <c r="C3446" s="2" t="s">
        <v>594</v>
      </c>
      <c r="D3446" s="2" t="str">
        <f t="shared" si="52"/>
        <v>Error?</v>
      </c>
    </row>
    <row r="3447" spans="1:4" x14ac:dyDescent="0.2">
      <c r="A3447" s="5">
        <v>3386</v>
      </c>
      <c r="B3447" s="138">
        <f>'Tax Sched 23'!D16</f>
        <v>73723</v>
      </c>
      <c r="C3447" s="2" t="s">
        <v>594</v>
      </c>
      <c r="D3447" s="2" t="str">
        <f t="shared" si="52"/>
        <v>Error?</v>
      </c>
    </row>
    <row r="3448" spans="1:4" x14ac:dyDescent="0.2">
      <c r="A3448" s="5">
        <v>3387</v>
      </c>
      <c r="B3448" s="138">
        <f>'Tax Sched 23'!C16</f>
        <v>119839</v>
      </c>
      <c r="D3448" s="2" t="str">
        <f t="shared" si="52"/>
        <v>Error?</v>
      </c>
    </row>
    <row r="3449" spans="1:4" x14ac:dyDescent="0.2">
      <c r="A3449" s="5">
        <v>3388</v>
      </c>
      <c r="B3449" s="138">
        <f>'Tax Sched 23'!F16</f>
        <v>117722</v>
      </c>
      <c r="C3449" s="2" t="s">
        <v>594</v>
      </c>
      <c r="D3449" s="2" t="str">
        <f t="shared" si="52"/>
        <v>Error?</v>
      </c>
    </row>
    <row r="3450" spans="1:4" x14ac:dyDescent="0.2">
      <c r="A3450" s="5">
        <v>3389</v>
      </c>
      <c r="B3450" s="138">
        <f>'Tax Sched 23'!E16</f>
        <v>237561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259654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4987491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18844315</v>
      </c>
      <c r="C4122" s="2" t="s">
        <v>594</v>
      </c>
      <c r="D4122" s="2" t="str">
        <f t="shared" si="63"/>
        <v>Error?</v>
      </c>
    </row>
    <row r="4123" spans="1:4" x14ac:dyDescent="0.2">
      <c r="A4123" s="5">
        <v>4062</v>
      </c>
      <c r="B4123" s="138">
        <f>'Acct Summary 7-8'!D10</f>
        <v>2188184</v>
      </c>
      <c r="C4123" s="2" t="s">
        <v>594</v>
      </c>
      <c r="D4123" s="2" t="str">
        <f t="shared" si="63"/>
        <v>Error?</v>
      </c>
    </row>
    <row r="4124" spans="1:4" x14ac:dyDescent="0.2">
      <c r="A4124" s="5">
        <v>4063</v>
      </c>
      <c r="B4124" s="138">
        <f>'Acct Summary 7-8'!E10</f>
        <v>295787</v>
      </c>
      <c r="C4124" s="2" t="s">
        <v>594</v>
      </c>
      <c r="D4124" s="2" t="str">
        <f t="shared" si="63"/>
        <v>Error?</v>
      </c>
    </row>
    <row r="4125" spans="1:4" x14ac:dyDescent="0.2">
      <c r="A4125" s="5">
        <v>4064</v>
      </c>
      <c r="B4125" s="138">
        <f>'Acct Summary 7-8'!F10</f>
        <v>555411</v>
      </c>
      <c r="C4125" s="2" t="s">
        <v>594</v>
      </c>
      <c r="D4125" s="2" t="str">
        <f t="shared" si="63"/>
        <v>Error?</v>
      </c>
    </row>
    <row r="4126" spans="1:4" x14ac:dyDescent="0.2">
      <c r="A4126" s="5">
        <v>4065</v>
      </c>
      <c r="B4126" s="138">
        <f>'Acct Summary 7-8'!G10</f>
        <v>518272</v>
      </c>
      <c r="C4126" s="2" t="s">
        <v>594</v>
      </c>
      <c r="D4126" s="2" t="str">
        <f t="shared" si="63"/>
        <v>Error?</v>
      </c>
    </row>
    <row r="4127" spans="1:4" x14ac:dyDescent="0.2">
      <c r="A4127" s="5">
        <v>4066</v>
      </c>
      <c r="B4127" s="138">
        <f>'Acct Summary 7-8'!H10</f>
        <v>939</v>
      </c>
      <c r="C4127" s="2" t="s">
        <v>594</v>
      </c>
      <c r="D4127" s="2" t="str">
        <f t="shared" si="63"/>
        <v>Error?</v>
      </c>
    </row>
    <row r="4128" spans="1:4" x14ac:dyDescent="0.2">
      <c r="A4128" s="5">
        <v>4067</v>
      </c>
      <c r="B4128" s="138">
        <f>'Acct Summary 7-8'!I10</f>
        <v>60171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4987491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18118633</v>
      </c>
      <c r="C4136" s="2" t="s">
        <v>594</v>
      </c>
      <c r="D4136" s="2" t="str">
        <f t="shared" si="63"/>
        <v>Error?</v>
      </c>
    </row>
    <row r="4137" spans="1:4" x14ac:dyDescent="0.2">
      <c r="A4137" s="5">
        <v>4076</v>
      </c>
      <c r="B4137" s="138">
        <f>'Acct Summary 7-8'!D19</f>
        <v>1740953</v>
      </c>
      <c r="C4137" s="2" t="s">
        <v>594</v>
      </c>
      <c r="D4137" s="2" t="str">
        <f t="shared" si="63"/>
        <v>Error?</v>
      </c>
    </row>
    <row r="4138" spans="1:4" x14ac:dyDescent="0.2">
      <c r="A4138" s="5">
        <v>4077</v>
      </c>
      <c r="B4138" s="138">
        <f>'Acct Summary 7-8'!E19</f>
        <v>357147</v>
      </c>
      <c r="C4138" s="2" t="s">
        <v>594</v>
      </c>
      <c r="D4138" s="2" t="str">
        <f t="shared" si="63"/>
        <v>Error?</v>
      </c>
    </row>
    <row r="4139" spans="1:4" x14ac:dyDescent="0.2">
      <c r="A4139" s="5">
        <v>4078</v>
      </c>
      <c r="B4139" s="138">
        <f>'Acct Summary 7-8'!F19</f>
        <v>535356</v>
      </c>
      <c r="C4139" s="2" t="s">
        <v>594</v>
      </c>
      <c r="D4139" s="2" t="str">
        <f t="shared" si="63"/>
        <v>Error?</v>
      </c>
    </row>
    <row r="4140" spans="1:4" x14ac:dyDescent="0.2">
      <c r="A4140" s="5">
        <v>4079</v>
      </c>
      <c r="B4140" s="138">
        <f>'Acct Summary 7-8'!G19</f>
        <v>504373</v>
      </c>
      <c r="C4140" s="2" t="s">
        <v>594</v>
      </c>
      <c r="D4140" s="2" t="str">
        <f t="shared" si="63"/>
        <v>Error?</v>
      </c>
    </row>
    <row r="4141" spans="1:4" x14ac:dyDescent="0.2">
      <c r="A4141" s="5">
        <v>4080</v>
      </c>
      <c r="B4141" s="138">
        <f>'Acct Summary 7-8'!H19</f>
        <v>459735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3274820</v>
      </c>
      <c r="C4171" s="2" t="s">
        <v>594</v>
      </c>
      <c r="D4171" s="2" t="str">
        <f t="shared" si="64"/>
        <v>Error?</v>
      </c>
    </row>
    <row r="4172" spans="1:4" x14ac:dyDescent="0.2">
      <c r="A4172" s="5">
        <v>4111</v>
      </c>
      <c r="B4172" s="138">
        <f>'Short-Term Long-Term Debt 24'!J49</f>
        <v>3036052</v>
      </c>
      <c r="C4172" s="2" t="s">
        <v>594</v>
      </c>
      <c r="D4172" s="2" t="str">
        <f t="shared" si="64"/>
        <v>Error?</v>
      </c>
    </row>
    <row r="4173" spans="1:4" x14ac:dyDescent="0.2">
      <c r="A4173" s="5">
        <v>4112</v>
      </c>
      <c r="B4173" s="138">
        <f>'Short-Term Long-Term Debt 24'!H49</f>
        <v>252106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1736.7</v>
      </c>
      <c r="C4265" s="2" t="s">
        <v>594</v>
      </c>
      <c r="D4265" s="2" t="str">
        <f t="shared" si="65"/>
        <v>Error?</v>
      </c>
      <c r="E4265" s="128"/>
    </row>
    <row r="4266" spans="1:5" x14ac:dyDescent="0.2">
      <c r="A4266" s="12">
        <v>4205</v>
      </c>
      <c r="B4266" s="138">
        <f>('FP Info 3'!F10)*100000</f>
        <v>402.1</v>
      </c>
      <c r="C4266" s="2" t="s">
        <v>594</v>
      </c>
      <c r="D4266" s="2" t="str">
        <f t="shared" si="65"/>
        <v>Error?</v>
      </c>
      <c r="E4266" s="128"/>
    </row>
    <row r="4267" spans="1:5" x14ac:dyDescent="0.2">
      <c r="A4267" s="12">
        <v>4206</v>
      </c>
      <c r="B4267" s="138">
        <f>('FP Info 3'!H10)*100000</f>
        <v>49.6</v>
      </c>
      <c r="C4267" s="2" t="s">
        <v>594</v>
      </c>
      <c r="D4267" s="2" t="str">
        <f t="shared" si="65"/>
        <v>Error?</v>
      </c>
      <c r="E4267" s="128"/>
    </row>
    <row r="4268" spans="1:5" x14ac:dyDescent="0.2">
      <c r="A4268" s="12">
        <v>4207</v>
      </c>
      <c r="B4268" s="138">
        <f>('FP Info 3'!J10)*100000</f>
        <v>2188</v>
      </c>
      <c r="C4268" s="2" t="s">
        <v>594</v>
      </c>
      <c r="D4268" s="2" t="str">
        <f t="shared" si="65"/>
        <v>Error?</v>
      </c>
    </row>
    <row r="4269" spans="1:5" x14ac:dyDescent="0.2">
      <c r="A4269" s="12">
        <v>4208</v>
      </c>
      <c r="B4269" s="138">
        <f>'FP Info 3'!J16</f>
        <v>11722824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200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21509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33407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71274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39435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3.8000000000000003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16000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537468901</v>
      </c>
      <c r="D4995" s="2" t="str">
        <f t="shared" si="77"/>
        <v>Error?</v>
      </c>
    </row>
    <row r="4996" spans="1:4" x14ac:dyDescent="0.2">
      <c r="A4996" s="12">
        <v>4935</v>
      </c>
      <c r="B4996" s="138">
        <f>'FP Info 3'!H31</f>
        <v>37085354.169</v>
      </c>
      <c r="D4996" s="2" t="str">
        <f t="shared" si="77"/>
        <v>Error?</v>
      </c>
    </row>
    <row r="4997" spans="1:4" x14ac:dyDescent="0.2">
      <c r="A4997" s="12">
        <v>4936</v>
      </c>
      <c r="B4997" s="138">
        <f>'FP Info 3'!H37</f>
        <v>3274820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9110851</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9110851</v>
      </c>
      <c r="C5066" s="2" t="s">
        <v>594</v>
      </c>
      <c r="D5066" s="2" t="str">
        <f t="shared" si="78"/>
        <v>Error?</v>
      </c>
    </row>
    <row r="5067" spans="1:4" x14ac:dyDescent="0.2">
      <c r="A5067" s="5">
        <v>5006</v>
      </c>
      <c r="B5067" s="138">
        <f>'Revenues 9-14'!C14</f>
        <v>1305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168707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170012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75291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75291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1266</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1591</v>
      </c>
      <c r="D5095" s="2" t="str">
        <f t="shared" si="78"/>
        <v>Error?</v>
      </c>
    </row>
    <row r="5096" spans="1:4" x14ac:dyDescent="0.2">
      <c r="A5096" s="5">
        <v>5035</v>
      </c>
      <c r="B5096" s="138">
        <f>'Revenues 9-14'!C75</f>
        <v>65804</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53538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5386</v>
      </c>
      <c r="D5101" s="2" t="str">
        <f t="shared" si="78"/>
        <v>Error?</v>
      </c>
    </row>
    <row r="5102" spans="1:4" x14ac:dyDescent="0.2">
      <c r="A5102" s="5">
        <v>5041</v>
      </c>
      <c r="B5102" s="138">
        <f>'Revenues 9-14'!C82</f>
        <v>58924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236135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110117</v>
      </c>
      <c r="D5119" s="2" t="str">
        <f t="shared" ref="D5119:D5182" si="79">IF(ISBLANK(B5119),"OK",IF(A5119-B5119=0,"OK","Error?"))</f>
        <v>Error?</v>
      </c>
    </row>
    <row r="5120" spans="1:4" x14ac:dyDescent="0.2">
      <c r="A5120" s="5">
        <v>5059</v>
      </c>
      <c r="B5120" s="138">
        <f>'Revenues 9-14'!C108</f>
        <v>346859</v>
      </c>
      <c r="C5120" s="2" t="s">
        <v>594</v>
      </c>
      <c r="D5120" s="2" t="str">
        <f t="shared" si="79"/>
        <v>Error?</v>
      </c>
    </row>
    <row r="5121" spans="1:4" x14ac:dyDescent="0.2">
      <c r="A5121" s="5">
        <v>5060</v>
      </c>
      <c r="B5121" s="138">
        <f>'Revenues 9-14'!C109</f>
        <v>9827741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1690799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1690799</v>
      </c>
      <c r="C5132" s="2" t="s">
        <v>594</v>
      </c>
      <c r="D5132" s="2" t="str">
        <f t="shared" si="79"/>
        <v>Error?</v>
      </c>
    </row>
    <row r="5133" spans="1:4" x14ac:dyDescent="0.2">
      <c r="A5133" s="5">
        <v>5072</v>
      </c>
      <c r="B5133" s="138">
        <f>'Revenues 9-14'!C124</f>
        <v>92588</v>
      </c>
      <c r="D5133" s="2" t="str">
        <f t="shared" si="79"/>
        <v>Error?</v>
      </c>
    </row>
    <row r="5134" spans="1:4" x14ac:dyDescent="0.2">
      <c r="A5134" s="5">
        <v>5073</v>
      </c>
      <c r="B5134" s="138">
        <f>'Revenues 9-14'!C125</f>
        <v>71072</v>
      </c>
      <c r="D5134" s="2" t="str">
        <f t="shared" si="79"/>
        <v>Error?</v>
      </c>
    </row>
    <row r="5135" spans="1:4" x14ac:dyDescent="0.2">
      <c r="A5135" s="5">
        <v>5074</v>
      </c>
      <c r="B5135" s="138">
        <f>'Revenues 9-14'!C126</f>
        <v>109121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1278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274059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114067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114067</v>
      </c>
      <c r="C5165" s="2" t="s">
        <v>594</v>
      </c>
      <c r="D5165" s="2" t="str">
        <f t="shared" si="79"/>
        <v>Error?</v>
      </c>
    </row>
    <row r="5166" spans="1:4" x14ac:dyDescent="0.2">
      <c r="A5166" s="10">
        <v>5105</v>
      </c>
      <c r="D5166" s="2" t="str">
        <f t="shared" si="79"/>
        <v>OK</v>
      </c>
    </row>
    <row r="5167" spans="1:4" x14ac:dyDescent="0.2">
      <c r="A5167" s="5">
        <v>5106</v>
      </c>
      <c r="B5167" s="138">
        <f>'Revenues 9-14'!C145</f>
        <v>4381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875305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1284012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2974811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217799</v>
      </c>
      <c r="D5239" s="2" t="str">
        <f t="shared" si="80"/>
        <v>Error?</v>
      </c>
    </row>
    <row r="5240" spans="1:4" x14ac:dyDescent="0.2">
      <c r="A5240" s="5">
        <v>5179</v>
      </c>
      <c r="B5240" s="138">
        <f>'Revenues 9-14'!C195</f>
        <v>6446</v>
      </c>
      <c r="D5240" s="2" t="str">
        <f t="shared" si="80"/>
        <v>Error?</v>
      </c>
    </row>
    <row r="5241" spans="1:4" x14ac:dyDescent="0.2">
      <c r="A5241" s="5">
        <v>5180</v>
      </c>
      <c r="B5241" s="138">
        <f>'Revenues 9-14'!C196</f>
        <v>108601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332846</v>
      </c>
      <c r="C5246" s="2" t="s">
        <v>594</v>
      </c>
      <c r="D5246" s="2" t="str">
        <f t="shared" si="80"/>
        <v>Error?</v>
      </c>
    </row>
    <row r="5247" spans="1:4" x14ac:dyDescent="0.2">
      <c r="A5247" s="5">
        <v>5186</v>
      </c>
      <c r="B5247" s="138">
        <f>'Revenues 9-14'!C203</f>
        <v>239315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239315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13590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291022</v>
      </c>
      <c r="D5278" s="2" t="str">
        <f t="shared" si="81"/>
        <v>Error?</v>
      </c>
    </row>
    <row r="5279" spans="1:4" x14ac:dyDescent="0.2">
      <c r="A5279" s="5">
        <v>5218</v>
      </c>
      <c r="B5279" s="138">
        <f>'Revenues 9-14'!C221</f>
        <v>8314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312926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3560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1054272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1054272</v>
      </c>
      <c r="C5326" s="2" t="s">
        <v>594</v>
      </c>
      <c r="D5326" s="2" t="str">
        <f t="shared" si="82"/>
        <v>Error?</v>
      </c>
    </row>
    <row r="5327" spans="1:4" x14ac:dyDescent="0.2">
      <c r="A5327" s="5">
        <v>5266</v>
      </c>
      <c r="B5327" s="138">
        <f>'Revenues 9-14'!C275</f>
        <v>13856824</v>
      </c>
      <c r="C5327" s="2" t="s">
        <v>594</v>
      </c>
      <c r="D5327" s="2" t="str">
        <f t="shared" si="82"/>
        <v>Error?</v>
      </c>
    </row>
    <row r="5328" spans="1:4" x14ac:dyDescent="0.2">
      <c r="A5328" s="5">
        <v>5267</v>
      </c>
      <c r="B5328" s="138">
        <f>'Revenues 9-14'!D5</f>
        <v>2124600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2124600</v>
      </c>
      <c r="C5334" s="2" t="s">
        <v>594</v>
      </c>
      <c r="D5334" s="2" t="str">
        <f t="shared" si="82"/>
        <v>Error?</v>
      </c>
    </row>
    <row r="5335" spans="1:4" x14ac:dyDescent="0.2">
      <c r="A5335" s="5">
        <v>5274</v>
      </c>
      <c r="B5335" s="138">
        <f>'Revenues 9-14'!D14</f>
        <v>307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307</v>
      </c>
      <c r="C5339" s="2" t="s">
        <v>594</v>
      </c>
      <c r="D5339" s="2" t="str">
        <f t="shared" si="82"/>
        <v>Error?</v>
      </c>
    </row>
    <row r="5340" spans="1:4" x14ac:dyDescent="0.2">
      <c r="A5340" s="5">
        <v>5279</v>
      </c>
      <c r="B5340" s="138">
        <f>'Revenues 9-14'!D65</f>
        <v>19819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19819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9587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33871</v>
      </c>
      <c r="D5354" s="2" t="str">
        <f t="shared" si="82"/>
        <v>Error?</v>
      </c>
    </row>
    <row r="5355" spans="1:4" x14ac:dyDescent="0.2">
      <c r="A5355" s="5">
        <v>5294</v>
      </c>
      <c r="B5355" s="138">
        <f>'Revenues 9-14'!D108</f>
        <v>43458</v>
      </c>
      <c r="C5355" s="2" t="s">
        <v>594</v>
      </c>
      <c r="D5355" s="2" t="str">
        <f t="shared" si="82"/>
        <v>Error?</v>
      </c>
    </row>
    <row r="5356" spans="1:4" x14ac:dyDescent="0.2">
      <c r="A5356" s="5">
        <v>5295</v>
      </c>
      <c r="B5356" s="138">
        <f>'Revenues 9-14'!D109</f>
        <v>2188184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2188184</v>
      </c>
      <c r="C5508" s="2" t="s">
        <v>594</v>
      </c>
      <c r="D5508" s="2" t="str">
        <f t="shared" si="85"/>
        <v>Error?</v>
      </c>
    </row>
    <row r="5509" spans="1:4" x14ac:dyDescent="0.2">
      <c r="A5509" s="5">
        <v>5448</v>
      </c>
      <c r="B5509" s="138">
        <f>'Revenues 9-14'!E5</f>
        <v>293864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293864</v>
      </c>
      <c r="C5513" s="2" t="s">
        <v>594</v>
      </c>
      <c r="D5513" s="2" t="str">
        <f t="shared" si="85"/>
        <v>Error?</v>
      </c>
    </row>
    <row r="5514" spans="1:4" x14ac:dyDescent="0.2">
      <c r="A5514" s="5">
        <v>5453</v>
      </c>
      <c r="B5514" s="138">
        <f>'Revenues 9-14'!E14</f>
        <v>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43</v>
      </c>
      <c r="C5518" s="2" t="s">
        <v>594</v>
      </c>
      <c r="D5518" s="2" t="str">
        <f t="shared" si="85"/>
        <v>Error?</v>
      </c>
    </row>
    <row r="5519" spans="1:4" x14ac:dyDescent="0.2">
      <c r="A5519" s="5">
        <v>5458</v>
      </c>
      <c r="B5519" s="138">
        <f>'Revenues 9-14'!E65</f>
        <v>1880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1880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295787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295787</v>
      </c>
      <c r="C5552" s="2" t="s">
        <v>594</v>
      </c>
      <c r="D5552" s="2" t="str">
        <f t="shared" si="85"/>
        <v>Error?</v>
      </c>
    </row>
    <row r="5553" spans="1:4" x14ac:dyDescent="0.2">
      <c r="A5553" s="5">
        <v>5492</v>
      </c>
      <c r="B5553" s="138">
        <f>'Revenues 9-14'!F5</f>
        <v>410941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410941</v>
      </c>
      <c r="C5557" s="2" t="s">
        <v>594</v>
      </c>
      <c r="D5557" s="2" t="str">
        <f t="shared" si="85"/>
        <v>Error?</v>
      </c>
    </row>
    <row r="5558" spans="1:4" x14ac:dyDescent="0.2">
      <c r="A5558" s="5">
        <v>5497</v>
      </c>
      <c r="B5558" s="138">
        <f>'Revenues 9-14'!F14</f>
        <v>82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82</v>
      </c>
      <c r="C5562" s="2" t="s">
        <v>594</v>
      </c>
      <c r="D5562" s="2" t="str">
        <f t="shared" si="85"/>
        <v>Error?</v>
      </c>
    </row>
    <row r="5563" spans="1:4" x14ac:dyDescent="0.2">
      <c r="A5563" s="5">
        <v>5502</v>
      </c>
      <c r="B5563" s="138">
        <f>'Revenues 9-14'!F42</f>
        <v>5854</v>
      </c>
      <c r="D5563" s="2" t="str">
        <f t="shared" si="85"/>
        <v>Error?</v>
      </c>
    </row>
    <row r="5564" spans="1:4" x14ac:dyDescent="0.2">
      <c r="A5564" s="5">
        <v>5503</v>
      </c>
      <c r="B5564" s="138">
        <f>'Revenues 9-14'!F43</f>
        <v>775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6654</v>
      </c>
      <c r="C5579" s="2" t="s">
        <v>594</v>
      </c>
      <c r="D5579" s="2" t="str">
        <f t="shared" si="86"/>
        <v>Error?</v>
      </c>
    </row>
    <row r="5580" spans="1:4" x14ac:dyDescent="0.2">
      <c r="A5580" s="5">
        <v>5519</v>
      </c>
      <c r="B5580" s="138">
        <f>'Revenues 9-14'!F65</f>
        <v>13824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13824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431501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33131</v>
      </c>
      <c r="D5615" s="2" t="str">
        <f t="shared" si="86"/>
        <v>Error?</v>
      </c>
    </row>
    <row r="5616" spans="1:4" x14ac:dyDescent="0.2">
      <c r="A5616" s="10">
        <v>5555</v>
      </c>
      <c r="D5616" s="2" t="str">
        <f t="shared" si="86"/>
        <v>OK</v>
      </c>
    </row>
    <row r="5617" spans="1:4" x14ac:dyDescent="0.2">
      <c r="A5617" s="5">
        <v>5556</v>
      </c>
      <c r="B5617" s="138">
        <f>'Revenues 9-14'!F152</f>
        <v>90779</v>
      </c>
      <c r="D5617" s="2" t="str">
        <f t="shared" si="86"/>
        <v>Error?</v>
      </c>
    </row>
    <row r="5618" spans="1:4" x14ac:dyDescent="0.2">
      <c r="A5618" s="5">
        <v>5557</v>
      </c>
      <c r="B5618" s="138">
        <f>'Revenues 9-14'!F154</f>
        <v>123910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123910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123910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555411</v>
      </c>
      <c r="C5720" s="2" t="s">
        <v>594</v>
      </c>
      <c r="D5720" s="2" t="str">
        <f t="shared" si="88"/>
        <v>Error?</v>
      </c>
    </row>
    <row r="5721" spans="1:4" x14ac:dyDescent="0.2">
      <c r="A5721" s="5">
        <v>5660</v>
      </c>
      <c r="B5721" s="138">
        <f>'Revenues 9-14'!G5</f>
        <v>165834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193562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359396</v>
      </c>
      <c r="C5725" s="2" t="s">
        <v>594</v>
      </c>
      <c r="D5725" s="2" t="str">
        <f t="shared" si="88"/>
        <v>Error?</v>
      </c>
    </row>
    <row r="5726" spans="1:4" x14ac:dyDescent="0.2">
      <c r="A5726" s="5">
        <v>5665</v>
      </c>
      <c r="B5726" s="138">
        <f>'Revenues 9-14'!G14</f>
        <v>48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157035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157083</v>
      </c>
      <c r="C5730" s="2" t="s">
        <v>594</v>
      </c>
      <c r="D5730" s="2" t="str">
        <f t="shared" si="88"/>
        <v>Error?</v>
      </c>
    </row>
    <row r="5731" spans="1:4" x14ac:dyDescent="0.2">
      <c r="A5731" s="5">
        <v>5670</v>
      </c>
      <c r="B5731" s="138">
        <f>'Revenues 9-14'!G65</f>
        <v>1793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1793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518272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939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939</v>
      </c>
      <c r="C5915" s="2" t="s">
        <v>594</v>
      </c>
      <c r="D5915" s="2" t="str">
        <f t="shared" si="91"/>
        <v>Error?</v>
      </c>
    </row>
    <row r="5916" spans="1:4" x14ac:dyDescent="0.2">
      <c r="A5916" s="5">
        <v>5855</v>
      </c>
      <c r="B5916" s="138">
        <f>'Revenues 9-14'!I5</f>
        <v>39338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39338</v>
      </c>
      <c r="C5918" s="2" t="s">
        <v>594</v>
      </c>
      <c r="D5918" s="2" t="str">
        <f t="shared" si="91"/>
        <v>Error?</v>
      </c>
    </row>
    <row r="5919" spans="1:4" x14ac:dyDescent="0.2">
      <c r="A5919" s="5">
        <v>5858</v>
      </c>
      <c r="B5919" s="138">
        <f>'Revenues 9-14'!I14</f>
        <v>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v>
      </c>
      <c r="C5923" s="2" t="s">
        <v>594</v>
      </c>
      <c r="D5923" s="2" t="str">
        <f t="shared" si="91"/>
        <v>Error?</v>
      </c>
    </row>
    <row r="5924" spans="1:4" x14ac:dyDescent="0.2">
      <c r="A5924" s="5">
        <v>5863</v>
      </c>
      <c r="B5924" s="138">
        <f>'Revenues 9-14'!I65</f>
        <v>20824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20824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60171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518272</v>
      </c>
      <c r="C6024" s="2" t="s">
        <v>594</v>
      </c>
      <c r="D6024" s="2" t="str">
        <f t="shared" si="93"/>
        <v>Error?</v>
      </c>
    </row>
    <row r="6025" spans="1:5" x14ac:dyDescent="0.2">
      <c r="A6025" s="5">
        <v>5964</v>
      </c>
      <c r="B6025" s="138">
        <f>'Revenues 9-14'!H109</f>
        <v>939</v>
      </c>
      <c r="C6025" s="2" t="s">
        <v>594</v>
      </c>
      <c r="D6025" s="2" t="str">
        <f t="shared" si="93"/>
        <v>Error?</v>
      </c>
    </row>
    <row r="6026" spans="1:5" x14ac:dyDescent="0.2">
      <c r="A6026" s="5">
        <v>5965</v>
      </c>
      <c r="B6026" s="138">
        <f>'Revenues 9-14'!I109</f>
        <v>60171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62947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26563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963.19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42106</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3980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500000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679596</v>
      </c>
      <c r="D6267" s="2" t="str">
        <f t="shared" si="96"/>
        <v>Error?</v>
      </c>
      <c r="E6267" s="2" t="s">
        <v>199</v>
      </c>
    </row>
    <row r="6268" spans="1:5" x14ac:dyDescent="0.2">
      <c r="A6268">
        <v>6207</v>
      </c>
      <c r="B6268" s="138">
        <f>'Acct Summary 7-8'!D82</f>
        <v>-52769</v>
      </c>
      <c r="D6268" s="2" t="str">
        <f t="shared" si="96"/>
        <v>Error?</v>
      </c>
      <c r="E6268" s="2" t="s">
        <v>199</v>
      </c>
    </row>
    <row r="6269" spans="1:5" x14ac:dyDescent="0.2">
      <c r="A6269">
        <v>6208</v>
      </c>
      <c r="B6269" s="138">
        <f>'Acct Summary 7-8'!E82</f>
        <v>-15274</v>
      </c>
      <c r="D6269" s="2" t="str">
        <f t="shared" si="96"/>
        <v>Error?</v>
      </c>
      <c r="E6269" s="2" t="s">
        <v>199</v>
      </c>
    </row>
    <row r="6270" spans="1:5" x14ac:dyDescent="0.2">
      <c r="A6270">
        <v>6209</v>
      </c>
      <c r="B6270" s="138">
        <f>'Acct Summary 7-8'!F82</f>
        <v>20055</v>
      </c>
      <c r="D6270" s="2" t="str">
        <f t="shared" si="96"/>
        <v>Error?</v>
      </c>
      <c r="E6270" s="2" t="s">
        <v>199</v>
      </c>
    </row>
    <row r="6271" spans="1:5" x14ac:dyDescent="0.2">
      <c r="A6271">
        <v>6210</v>
      </c>
      <c r="B6271" s="138">
        <f>'Acct Summary 7-8'!G82</f>
        <v>13899</v>
      </c>
      <c r="D6271" s="2" t="str">
        <f t="shared" ref="D6271:D6334" si="97">IF(ISBLANK(B6271),"OK",IF(A6271-B6271=0,"OK","Error?"))</f>
        <v>Error?</v>
      </c>
      <c r="E6271" s="2" t="s">
        <v>199</v>
      </c>
    </row>
    <row r="6272" spans="1:5" x14ac:dyDescent="0.2">
      <c r="A6272">
        <v>6211</v>
      </c>
      <c r="B6272" s="138">
        <f>'Acct Summary 7-8'!H82</f>
        <v>41204</v>
      </c>
      <c r="D6272" s="2" t="str">
        <f t="shared" si="97"/>
        <v>Error?</v>
      </c>
      <c r="E6272" s="2" t="s">
        <v>199</v>
      </c>
    </row>
    <row r="6273" spans="1:5" x14ac:dyDescent="0.2">
      <c r="A6273">
        <v>6212</v>
      </c>
      <c r="B6273" s="138">
        <f>'Acct Summary 7-8'!I82</f>
        <v>60171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9.8853921960798577E-2</v>
      </c>
      <c r="D6276" s="2" t="str">
        <f t="shared" si="97"/>
        <v>Error?</v>
      </c>
      <c r="E6276" s="2" t="s">
        <v>199</v>
      </c>
    </row>
    <row r="6277" spans="1:5" x14ac:dyDescent="0.2">
      <c r="A6277">
        <v>6216</v>
      </c>
      <c r="B6277" s="138">
        <f>'Acct Summary 7-8'!D83</f>
        <v>-2.4924744926275298E-2</v>
      </c>
      <c r="D6277" s="2" t="str">
        <f t="shared" si="97"/>
        <v>Error?</v>
      </c>
      <c r="E6277" s="2" t="s">
        <v>199</v>
      </c>
    </row>
    <row r="6278" spans="1:5" x14ac:dyDescent="0.2">
      <c r="A6278">
        <v>6217</v>
      </c>
      <c r="B6278" s="138">
        <f>'Acct Summary 7-8'!E83</f>
        <v>-6.3970046237351738E-2</v>
      </c>
      <c r="D6278" s="2" t="str">
        <f t="shared" si="97"/>
        <v>Error?</v>
      </c>
      <c r="E6278" s="2" t="s">
        <v>199</v>
      </c>
    </row>
    <row r="6279" spans="1:5" x14ac:dyDescent="0.2">
      <c r="A6279">
        <v>6218</v>
      </c>
      <c r="B6279" s="138">
        <f>'Acct Summary 7-8'!F83</f>
        <v>1.8462005827200045E-2</v>
      </c>
      <c r="D6279" s="2" t="str">
        <f t="shared" si="97"/>
        <v>Error?</v>
      </c>
      <c r="E6279" s="2" t="s">
        <v>199</v>
      </c>
    </row>
    <row r="6280" spans="1:5" x14ac:dyDescent="0.2">
      <c r="A6280">
        <v>6219</v>
      </c>
      <c r="B6280" s="138">
        <f>'Acct Summary 7-8'!G83</f>
        <v>6.0372424757081239E-2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3.658576626358339E-2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42106</v>
      </c>
      <c r="D6285" s="2" t="str">
        <f t="shared" si="97"/>
        <v>Error?</v>
      </c>
      <c r="E6285" s="2" t="s">
        <v>199</v>
      </c>
    </row>
    <row r="6286" spans="1:5" x14ac:dyDescent="0.2">
      <c r="A6286">
        <v>6225</v>
      </c>
      <c r="B6286" s="138">
        <f>'Acct Summary 7-8'!E38</f>
        <v>3980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500000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343147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1400</v>
      </c>
      <c r="D6844" s="2" t="str">
        <f t="shared" si="105"/>
        <v>Error?</v>
      </c>
    </row>
    <row r="6845" spans="1:4" x14ac:dyDescent="0.2">
      <c r="A6845">
        <v>6784</v>
      </c>
      <c r="B6845" s="138">
        <f>'Expenditures 15-22'!J5</f>
        <v>519</v>
      </c>
      <c r="D6845" s="2" t="str">
        <f t="shared" si="105"/>
        <v>Error?</v>
      </c>
    </row>
    <row r="6846" spans="1:4" x14ac:dyDescent="0.2">
      <c r="A6846">
        <v>6785</v>
      </c>
      <c r="B6846" s="138">
        <f>'Expenditures 15-22'!I7</f>
        <v>5195</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462803</v>
      </c>
      <c r="D6848" s="2" t="str">
        <f t="shared" si="106"/>
        <v>Error?</v>
      </c>
    </row>
    <row r="6849" spans="1:4" x14ac:dyDescent="0.2">
      <c r="A6849">
        <v>6788</v>
      </c>
      <c r="B6849" s="138">
        <f>'Expenditures 15-22'!I8</f>
        <v>3998</v>
      </c>
      <c r="D6849" s="2" t="str">
        <f t="shared" si="106"/>
        <v>Error?</v>
      </c>
    </row>
    <row r="6850" spans="1:4" x14ac:dyDescent="0.2">
      <c r="A6850">
        <v>6789</v>
      </c>
      <c r="B6850" s="138">
        <f>'Expenditures 15-22'!J8</f>
        <v>11825</v>
      </c>
      <c r="D6850" s="2" t="str">
        <f t="shared" si="106"/>
        <v>Error?</v>
      </c>
    </row>
    <row r="6851" spans="1:4" x14ac:dyDescent="0.2">
      <c r="A6851">
        <v>6790</v>
      </c>
      <c r="B6851" s="138">
        <f>'Expenditures 15-22'!I9</f>
        <v>2365</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197052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4013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194061</v>
      </c>
      <c r="D6880" s="2" t="str">
        <f t="shared" si="106"/>
        <v>Error?</v>
      </c>
    </row>
    <row r="6881" spans="1:4" x14ac:dyDescent="0.2">
      <c r="A6881">
        <v>6820</v>
      </c>
      <c r="B6881" s="138">
        <f>'Expenditures 15-22'!K22</f>
        <v>194061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16971</v>
      </c>
      <c r="D6902" s="2" t="str">
        <f t="shared" si="106"/>
        <v>Error?</v>
      </c>
    </row>
    <row r="6903" spans="1:4" x14ac:dyDescent="0.2">
      <c r="A6903">
        <v>6842</v>
      </c>
      <c r="B6903" s="138">
        <f>'Expenditures 15-22'!J33</f>
        <v>12344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6213</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6213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18428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-220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18208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920</v>
      </c>
      <c r="D6933" s="2" t="str">
        <f t="shared" si="107"/>
        <v>Error?</v>
      </c>
    </row>
    <row r="6934" spans="1:4" x14ac:dyDescent="0.2">
      <c r="A6934">
        <v>6873</v>
      </c>
      <c r="B6934" s="138">
        <f>'Expenditures 15-22'!E52</f>
        <v>96384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97304</v>
      </c>
      <c r="D6940" s="2" t="str">
        <f t="shared" si="107"/>
        <v>Error?</v>
      </c>
    </row>
    <row r="6941" spans="1:4" x14ac:dyDescent="0.2">
      <c r="A6941">
        <v>6880</v>
      </c>
      <c r="B6941" s="138">
        <f>'Expenditures 15-22'!L52</f>
        <v>42700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11668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11668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36089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878698</v>
      </c>
      <c r="D6983" s="2" t="str">
        <f t="shared" si="108"/>
        <v>Error?</v>
      </c>
    </row>
    <row r="6984" spans="1:4" x14ac:dyDescent="0.2">
      <c r="A6984">
        <v>6923</v>
      </c>
      <c r="B6984" s="138">
        <f>'Expenditures 15-22'!K86</f>
        <v>878698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9000</v>
      </c>
      <c r="D6993" s="2" t="str">
        <f t="shared" si="108"/>
        <v>Error?</v>
      </c>
    </row>
    <row r="6994" spans="1:4" x14ac:dyDescent="0.2">
      <c r="A6994">
        <v>6933</v>
      </c>
      <c r="B6994" s="138">
        <f>'Expenditures 15-22'!K91</f>
        <v>9000</v>
      </c>
      <c r="D6994" s="2" t="str">
        <f t="shared" si="108"/>
        <v>Error?</v>
      </c>
    </row>
    <row r="6995" spans="1:4" x14ac:dyDescent="0.2">
      <c r="A6995">
        <v>6934</v>
      </c>
      <c r="B6995" s="138">
        <f>'Expenditures 15-22'!H92</f>
        <v>887698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53060</v>
      </c>
      <c r="D7020" s="2" t="str">
        <f t="shared" si="108"/>
        <v>Error?</v>
      </c>
    </row>
    <row r="7021" spans="1:4" x14ac:dyDescent="0.2">
      <c r="A7021">
        <v>6960</v>
      </c>
      <c r="B7021" s="138">
        <f>'Expenditures 15-22'!J114</f>
        <v>12344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13416</v>
      </c>
      <c r="D7028" s="2" t="str">
        <f t="shared" si="108"/>
        <v>Error?</v>
      </c>
    </row>
    <row r="7029" spans="1:4" x14ac:dyDescent="0.2">
      <c r="A7029">
        <v>6968</v>
      </c>
      <c r="B7029" s="138">
        <f>'Expenditures 15-22'!J124</f>
        <v>2083</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13416</v>
      </c>
      <c r="D7033" s="2" t="str">
        <f t="shared" si="108"/>
        <v>Error?</v>
      </c>
    </row>
    <row r="7034" spans="1:4" x14ac:dyDescent="0.2">
      <c r="A7034">
        <v>6973</v>
      </c>
      <c r="B7034" s="138">
        <f>'Expenditures 15-22'!J127</f>
        <v>2083</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13416</v>
      </c>
      <c r="D7037" s="2" t="str">
        <f t="shared" si="108"/>
        <v>Error?</v>
      </c>
    </row>
    <row r="7038" spans="1:4" x14ac:dyDescent="0.2">
      <c r="A7038">
        <v>6977</v>
      </c>
      <c r="B7038" s="138">
        <f>'Expenditures 15-22'!J129</f>
        <v>2083</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13416</v>
      </c>
      <c r="D7051" s="2" t="str">
        <f t="shared" si="109"/>
        <v>Error?</v>
      </c>
    </row>
    <row r="7052" spans="1:5" x14ac:dyDescent="0.2">
      <c r="A7052">
        <v>6991</v>
      </c>
      <c r="B7052" s="138">
        <f>'Expenditures 15-22'!J151</f>
        <v>2083</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540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540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540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18928</v>
      </c>
      <c r="D7073" s="2" t="str">
        <f t="shared" si="109"/>
        <v>Error?</v>
      </c>
    </row>
    <row r="7074" spans="1:4" x14ac:dyDescent="0.2">
      <c r="A7074">
        <v>7013</v>
      </c>
      <c r="B7074" s="138">
        <f>'Expenditures 15-22'!K216</f>
        <v>18928</v>
      </c>
      <c r="D7074" s="2" t="str">
        <f t="shared" si="109"/>
        <v>Error?</v>
      </c>
    </row>
    <row r="7075" spans="1:4" x14ac:dyDescent="0.2">
      <c r="A7075">
        <v>7014</v>
      </c>
      <c r="B7075" s="138">
        <f>'Expenditures 15-22'!D218</f>
        <v>12626</v>
      </c>
      <c r="D7075" s="2" t="str">
        <f t="shared" si="109"/>
        <v>Error?</v>
      </c>
    </row>
    <row r="7076" spans="1:4" x14ac:dyDescent="0.2">
      <c r="A7076">
        <v>7015</v>
      </c>
      <c r="B7076" s="138">
        <f>'Expenditures 15-22'!K218</f>
        <v>12626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30285</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30285</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30285</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108012</v>
      </c>
      <c r="D7246" s="2" t="str">
        <f t="shared" si="112"/>
        <v>Error?</v>
      </c>
    </row>
    <row r="7247" spans="1:4" x14ac:dyDescent="0.2">
      <c r="A7247">
        <f t="shared" si="113"/>
        <v>7186</v>
      </c>
      <c r="B7247" s="138">
        <f>'Expenditures 15-22'!E7</f>
        <v>6384</v>
      </c>
      <c r="D7247" s="2" t="str">
        <f t="shared" si="112"/>
        <v>Error?</v>
      </c>
    </row>
    <row r="7248" spans="1:4" x14ac:dyDescent="0.2">
      <c r="A7248">
        <f t="shared" si="113"/>
        <v>7187</v>
      </c>
      <c r="B7248" s="138">
        <f>'Expenditures 15-22'!F7</f>
        <v>65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145626</v>
      </c>
      <c r="D7251" s="2" t="str">
        <f t="shared" si="112"/>
        <v>Error?</v>
      </c>
    </row>
    <row r="7252" spans="1:4" x14ac:dyDescent="0.2">
      <c r="A7252">
        <f t="shared" si="113"/>
        <v>7191</v>
      </c>
      <c r="B7252" s="138">
        <f>'Expenditures 15-22'!D9</f>
        <v>48693</v>
      </c>
      <c r="D7252" s="2" t="str">
        <f t="shared" si="112"/>
        <v>Error?</v>
      </c>
    </row>
    <row r="7253" spans="1:4" x14ac:dyDescent="0.2">
      <c r="A7253">
        <f t="shared" si="113"/>
        <v>7192</v>
      </c>
      <c r="B7253" s="138">
        <f>'Expenditures 15-22'!E9</f>
        <v>3</v>
      </c>
      <c r="D7253" s="2" t="str">
        <f t="shared" si="112"/>
        <v>Error?</v>
      </c>
    </row>
    <row r="7254" spans="1:4" x14ac:dyDescent="0.2">
      <c r="A7254">
        <f t="shared" si="113"/>
        <v>7193</v>
      </c>
      <c r="B7254" s="138">
        <f>'Expenditures 15-22'!F9</f>
        <v>365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97301</v>
      </c>
      <c r="D7624" s="2" t="str">
        <f t="shared" si="124"/>
        <v>Error?</v>
      </c>
      <c r="E7624" s="2" t="s">
        <v>19</v>
      </c>
    </row>
    <row r="7625" spans="1:5" x14ac:dyDescent="0.2">
      <c r="A7625">
        <f t="shared" si="123"/>
        <v>7564</v>
      </c>
      <c r="B7625" s="138">
        <f>'Cap Outlay Deprec 26'!I17</f>
        <v>9730.1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766915.1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317824</v>
      </c>
      <c r="D7797" s="2" t="str">
        <f t="shared" si="127"/>
        <v>Error?</v>
      </c>
      <c r="E7797" s="4" t="s">
        <v>2017</v>
      </c>
    </row>
    <row r="7798" spans="1:5" x14ac:dyDescent="0.2">
      <c r="A7798">
        <v>7737</v>
      </c>
      <c r="B7798" s="138">
        <f>'Contracts Paid in CY 29'!F141</f>
        <v>63141</v>
      </c>
      <c r="D7798" s="2" t="str">
        <f t="shared" si="127"/>
        <v>Error?</v>
      </c>
      <c r="E7798" s="4" t="s">
        <v>2017</v>
      </c>
    </row>
    <row r="7799" spans="1:5" x14ac:dyDescent="0.2">
      <c r="A7799">
        <v>7738</v>
      </c>
      <c r="B7799" s="138">
        <f>'Contracts Paid in CY 29'!G141</f>
        <v>254683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J19" sqref="J19"/>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80" t="s">
        <v>1253</v>
      </c>
      <c r="B2" s="2580"/>
      <c r="C2" s="2580"/>
      <c r="D2" s="2580"/>
      <c r="E2" s="2580"/>
      <c r="F2" s="2580"/>
      <c r="G2" s="2580"/>
      <c r="H2" s="2580"/>
      <c r="I2" s="2580"/>
      <c r="J2" s="2580"/>
      <c r="K2" s="2580"/>
      <c r="L2" s="2580"/>
    </row>
    <row r="3" spans="1:29" ht="13.5" customHeight="1" x14ac:dyDescent="0.2">
      <c r="A3" s="2611" t="s">
        <v>1252</v>
      </c>
      <c r="B3" s="2611"/>
      <c r="C3" s="2611"/>
      <c r="D3" s="2611"/>
      <c r="E3" s="2611"/>
      <c r="F3" s="2611"/>
      <c r="G3" s="2611"/>
      <c r="H3" s="2611"/>
      <c r="I3" s="2611"/>
      <c r="J3" s="2611"/>
      <c r="K3" s="2611"/>
      <c r="L3" s="2611"/>
    </row>
    <row r="4" spans="1:29" ht="13.5" customHeight="1" x14ac:dyDescent="0.2">
      <c r="A4" s="2580" t="s">
        <v>1799</v>
      </c>
      <c r="B4" s="2601"/>
      <c r="C4" s="2601"/>
      <c r="D4" s="2601"/>
      <c r="E4" s="2601"/>
      <c r="F4" s="2601"/>
      <c r="G4" s="2601"/>
      <c r="H4" s="2601"/>
      <c r="I4" s="2601"/>
      <c r="J4" s="2601"/>
      <c r="K4" s="2601"/>
      <c r="L4" s="2601"/>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602" t="str">
        <f>COVER!A17</f>
        <v>Wood Dale SD 7</v>
      </c>
      <c r="B7" s="2603"/>
      <c r="C7" s="2603"/>
      <c r="D7" s="2604"/>
      <c r="E7" s="2605">
        <f>COVER!A13</f>
        <v>19022007002</v>
      </c>
      <c r="F7" s="2606"/>
      <c r="G7" s="2612">
        <f>COVER!T23</f>
        <v>66003412</v>
      </c>
      <c r="H7" s="2613"/>
      <c r="I7" s="2613"/>
      <c r="J7" s="2613"/>
      <c r="K7" s="2613"/>
      <c r="L7" s="2614"/>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615"/>
      <c r="B9" s="2616"/>
      <c r="C9" s="2616"/>
      <c r="D9" s="2616"/>
      <c r="E9" s="2616"/>
      <c r="F9" s="2617"/>
      <c r="G9" s="2586" t="str">
        <f>COVER!T13</f>
        <v>Mathieson, Moyski, Austin &amp; Co. LLP</v>
      </c>
      <c r="H9" s="2618"/>
      <c r="I9" s="2618"/>
      <c r="J9" s="2618"/>
      <c r="K9" s="2618"/>
      <c r="L9" s="2619"/>
    </row>
    <row r="10" spans="1:29" ht="13.5" customHeight="1" x14ac:dyDescent="0.2">
      <c r="A10" s="2592">
        <f>COVER!A38</f>
        <v>0</v>
      </c>
      <c r="B10" s="2593"/>
      <c r="C10" s="2593"/>
      <c r="D10" s="2593"/>
      <c r="E10" s="2593"/>
      <c r="F10" s="2594"/>
      <c r="G10" s="2586" t="str">
        <f>COVER!T17</f>
        <v>211 South Wheaton Avenue, Suite 300</v>
      </c>
      <c r="H10" s="2587"/>
      <c r="I10" s="2587"/>
      <c r="J10" s="2587"/>
      <c r="K10" s="2587"/>
      <c r="L10" s="2588"/>
    </row>
    <row r="11" spans="1:29" ht="13.5" customHeight="1" x14ac:dyDescent="0.2">
      <c r="A11" s="1174" t="s">
        <v>1599</v>
      </c>
      <c r="B11" s="1175"/>
      <c r="C11" s="1176"/>
      <c r="D11" s="1181"/>
      <c r="E11" s="1176"/>
      <c r="F11" s="1180"/>
      <c r="G11" s="2586" t="str">
        <f>COVER!T19</f>
        <v>Wheaton</v>
      </c>
      <c r="H11" s="2587"/>
      <c r="I11" s="2587"/>
      <c r="J11" s="2587"/>
      <c r="K11" s="2587"/>
      <c r="L11" s="2588"/>
    </row>
    <row r="12" spans="1:29" ht="13.5" customHeight="1" x14ac:dyDescent="0.2">
      <c r="A12" s="2595" t="s">
        <v>1598</v>
      </c>
      <c r="B12" s="2596"/>
      <c r="C12" s="2596"/>
      <c r="D12" s="2596"/>
      <c r="E12" s="2596"/>
      <c r="F12" s="2597"/>
      <c r="G12" s="2589"/>
      <c r="H12" s="2590"/>
      <c r="I12" s="2590"/>
      <c r="J12" s="2590"/>
      <c r="K12" s="2590"/>
      <c r="L12" s="2591"/>
    </row>
    <row r="13" spans="1:29" ht="13.5" customHeight="1" x14ac:dyDescent="0.2">
      <c r="A13" s="2586"/>
      <c r="B13" s="2587"/>
      <c r="C13" s="2587"/>
      <c r="D13" s="2587"/>
      <c r="E13" s="2587"/>
      <c r="F13" s="2588"/>
      <c r="G13" s="2581" t="s">
        <v>1600</v>
      </c>
      <c r="H13" s="2582"/>
      <c r="I13" s="2598" t="str">
        <f>COVER!T25</f>
        <v>bmathieson@MMAadvisors.com</v>
      </c>
      <c r="J13" s="2599"/>
      <c r="K13" s="2599"/>
      <c r="L13" s="2600"/>
    </row>
    <row r="14" spans="1:29" ht="13.5" customHeight="1" x14ac:dyDescent="0.2">
      <c r="A14" s="2586" t="str">
        <f>COVER!A19</f>
        <v>543 North Wood Dale Road</v>
      </c>
      <c r="B14" s="2587"/>
      <c r="C14" s="2587"/>
      <c r="D14" s="2587"/>
      <c r="E14" s="2587"/>
      <c r="F14" s="2588"/>
      <c r="G14" s="1185" t="s">
        <v>1247</v>
      </c>
      <c r="H14" s="1183"/>
      <c r="I14" s="1183"/>
      <c r="J14" s="1183"/>
      <c r="K14" s="1183"/>
      <c r="L14" s="1184"/>
    </row>
    <row r="15" spans="1:29" ht="13.5" customHeight="1" x14ac:dyDescent="0.2">
      <c r="A15" s="2586" t="str">
        <f>COVER!A21</f>
        <v xml:space="preserve">Wood Dale </v>
      </c>
      <c r="B15" s="2587"/>
      <c r="C15" s="2587"/>
      <c r="D15" s="2587"/>
      <c r="E15" s="2587"/>
      <c r="F15" s="2588"/>
      <c r="G15" s="2583" t="str">
        <f>COVER!T15</f>
        <v>Brett J. Mathieson</v>
      </c>
      <c r="H15" s="2584"/>
      <c r="I15" s="2584"/>
      <c r="J15" s="2584"/>
      <c r="K15" s="2584"/>
      <c r="L15" s="2585"/>
    </row>
    <row r="16" spans="1:29" ht="12.2" customHeight="1" x14ac:dyDescent="0.2">
      <c r="A16" s="2608" t="str">
        <f>COVER!A25</f>
        <v>60191-1587</v>
      </c>
      <c r="B16" s="2609"/>
      <c r="C16" s="2609"/>
      <c r="D16" s="2609"/>
      <c r="E16" s="2609"/>
      <c r="F16" s="2610"/>
      <c r="G16" s="2620"/>
      <c r="H16" s="2621"/>
      <c r="I16" s="2621"/>
      <c r="J16" s="2621"/>
      <c r="K16" s="2621"/>
      <c r="L16" s="2622"/>
    </row>
    <row r="17" spans="1:13" ht="12.2" customHeight="1" x14ac:dyDescent="0.2">
      <c r="A17" s="2623"/>
      <c r="B17" s="2609"/>
      <c r="C17" s="2609"/>
      <c r="D17" s="2609"/>
      <c r="E17" s="2609"/>
      <c r="F17" s="2610"/>
      <c r="G17" s="1185" t="s">
        <v>1246</v>
      </c>
      <c r="H17" s="1183"/>
      <c r="I17" s="1183"/>
      <c r="J17" s="1183"/>
      <c r="K17" s="1187" t="s">
        <v>1245</v>
      </c>
      <c r="L17" s="1180"/>
      <c r="M17" s="1173"/>
    </row>
    <row r="18" spans="1:13" ht="12.2" customHeight="1" x14ac:dyDescent="0.2">
      <c r="A18" s="2592"/>
      <c r="B18" s="2593"/>
      <c r="C18" s="2593"/>
      <c r="D18" s="2593"/>
      <c r="E18" s="2593"/>
      <c r="F18" s="2594"/>
      <c r="G18" s="2602" t="str">
        <f>COVER!T21</f>
        <v>630-653-1616</v>
      </c>
      <c r="H18" s="2603"/>
      <c r="I18" s="2603"/>
      <c r="J18" s="2603"/>
      <c r="K18" s="2602" t="str">
        <f>COVER!X21</f>
        <v>630-653-1735</v>
      </c>
      <c r="L18" s="2607"/>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J19" sqref="J19"/>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624" t="str">
        <f>'Single Audit Cover'!A7</f>
        <v>Wood Dale SD 7</v>
      </c>
      <c r="B1" s="2601"/>
      <c r="C1" s="2601"/>
      <c r="D1" s="2601"/>
    </row>
    <row r="2" spans="1:11" s="1204" customFormat="1" ht="12.75" x14ac:dyDescent="0.2">
      <c r="A2" s="2625">
        <f>'Single Audit Cover'!E7</f>
        <v>19022007002</v>
      </c>
      <c r="B2" s="2626"/>
      <c r="C2" s="2626"/>
      <c r="D2" s="2626"/>
    </row>
    <row r="3" spans="1:11" s="1204" customFormat="1" ht="12.75" x14ac:dyDescent="0.2">
      <c r="A3" s="2624" t="s">
        <v>1593</v>
      </c>
      <c r="B3" s="2601"/>
      <c r="C3" s="2601"/>
      <c r="D3" s="2601"/>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1945</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628" t="str">
        <f>'Single Audit Cover'!A7</f>
        <v>Wood Dale SD 7</v>
      </c>
      <c r="B1" s="2628"/>
      <c r="C1" s="2628"/>
      <c r="D1" s="2628"/>
      <c r="E1" s="2628"/>
    </row>
    <row r="2" spans="1:5" x14ac:dyDescent="0.2">
      <c r="A2" s="2629">
        <f>'Single Audit Cover'!E7</f>
        <v>19022007002</v>
      </c>
      <c r="B2" s="2629"/>
      <c r="C2" s="2629"/>
      <c r="D2" s="2629"/>
      <c r="E2" s="2629"/>
    </row>
    <row r="3" spans="1:5" ht="4.5" customHeight="1" x14ac:dyDescent="0.2"/>
    <row r="4" spans="1:5" x14ac:dyDescent="0.2">
      <c r="A4" s="2628" t="s">
        <v>1307</v>
      </c>
      <c r="B4" s="2628"/>
      <c r="C4" s="2628"/>
      <c r="D4" s="2628"/>
      <c r="E4" s="2628"/>
    </row>
    <row r="5" spans="1:5" x14ac:dyDescent="0.2">
      <c r="A5" s="2631" t="str">
        <f>'Single Audit Cover'!A4</f>
        <v>Year Ending June 30, 2018</v>
      </c>
      <c r="B5" s="2631"/>
      <c r="C5" s="2631"/>
      <c r="D5" s="2631"/>
      <c r="E5" s="2631"/>
    </row>
    <row r="6" spans="1:5" x14ac:dyDescent="0.2">
      <c r="A6" s="2628" t="s">
        <v>1306</v>
      </c>
      <c r="B6" s="2628"/>
      <c r="C6" s="2628"/>
      <c r="D6" s="2628"/>
      <c r="E6" s="2628"/>
    </row>
    <row r="8" spans="1:5" x14ac:dyDescent="0.2">
      <c r="A8" s="1249" t="s">
        <v>1305</v>
      </c>
    </row>
    <row r="10" spans="1:5" x14ac:dyDescent="0.2">
      <c r="A10" s="1250" t="s">
        <v>1304</v>
      </c>
      <c r="B10" s="1251" t="s">
        <v>1303</v>
      </c>
      <c r="C10" s="1251"/>
      <c r="D10" s="1252">
        <f>SUM('Acct Summary 7-8'!C7:K7)</f>
        <v>1054272</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26563</v>
      </c>
    </row>
    <row r="15" spans="1:5" x14ac:dyDescent="0.2">
      <c r="A15" s="1250"/>
      <c r="B15" s="1251"/>
      <c r="C15" s="1251"/>
    </row>
    <row r="16" spans="1:5" x14ac:dyDescent="0.2">
      <c r="A16" s="1250" t="s">
        <v>1953</v>
      </c>
      <c r="B16" s="1251"/>
      <c r="C16" s="1251"/>
    </row>
    <row r="17" spans="1:4" x14ac:dyDescent="0.2">
      <c r="A17" s="1250" t="s">
        <v>1601</v>
      </c>
      <c r="B17" s="1251" t="s">
        <v>1298</v>
      </c>
      <c r="C17" s="1251"/>
      <c r="D17" s="1253">
        <f>-SUM('Revenues 9-14'!C271:D271,'Revenues 9-14'!F271:G271)</f>
        <v>-33407</v>
      </c>
    </row>
    <row r="19" spans="1:4" ht="13.5" thickBot="1" x14ac:dyDescent="0.25">
      <c r="A19" s="1254" t="s">
        <v>1297</v>
      </c>
      <c r="D19" s="1255">
        <f>SUM(D10:D17)</f>
        <v>1047428</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630" t="s">
        <v>2221</v>
      </c>
      <c r="B24" s="2630"/>
      <c r="D24" s="1257">
        <v>1</v>
      </c>
    </row>
    <row r="25" spans="1:4" x14ac:dyDescent="0.2">
      <c r="A25" s="2627"/>
      <c r="B25" s="2627"/>
      <c r="D25" s="1257"/>
    </row>
    <row r="26" spans="1:4" x14ac:dyDescent="0.2">
      <c r="A26" s="2627"/>
      <c r="B26" s="2627"/>
      <c r="D26" s="1257"/>
    </row>
    <row r="27" spans="1:4" x14ac:dyDescent="0.2">
      <c r="A27" s="2627"/>
      <c r="B27" s="2627"/>
      <c r="D27" s="1257"/>
    </row>
    <row r="28" spans="1:4" x14ac:dyDescent="0.2">
      <c r="A28" s="2627"/>
      <c r="B28" s="2627"/>
      <c r="D28" s="1257"/>
    </row>
    <row r="29" spans="1:4" x14ac:dyDescent="0.2">
      <c r="A29" s="2627"/>
      <c r="B29" s="2627"/>
      <c r="D29" s="1257"/>
    </row>
    <row r="30" spans="1:4" x14ac:dyDescent="0.2">
      <c r="A30" s="2627"/>
      <c r="B30" s="2627"/>
      <c r="D30" s="1257"/>
    </row>
    <row r="32" spans="1:4" x14ac:dyDescent="0.2">
      <c r="A32" s="1249" t="s">
        <v>1295</v>
      </c>
      <c r="D32" s="1252">
        <f>SUM(D19:D30)</f>
        <v>1047429</v>
      </c>
    </row>
    <row r="33" spans="1:4" x14ac:dyDescent="0.2">
      <c r="D33" s="1258"/>
    </row>
    <row r="34" spans="1:4" x14ac:dyDescent="0.2">
      <c r="A34" s="317" t="s">
        <v>1294</v>
      </c>
    </row>
    <row r="35" spans="1:4" x14ac:dyDescent="0.2">
      <c r="A35" s="317" t="s">
        <v>1293</v>
      </c>
      <c r="B35" s="1247" t="s">
        <v>1292</v>
      </c>
      <c r="D35" s="1259">
        <v>1047429</v>
      </c>
    </row>
    <row r="37" spans="1:4" x14ac:dyDescent="0.2">
      <c r="A37" s="1249" t="s">
        <v>1291</v>
      </c>
    </row>
    <row r="39" spans="1:4" ht="13.35" customHeight="1" x14ac:dyDescent="0.2">
      <c r="A39" s="1256" t="s">
        <v>1290</v>
      </c>
    </row>
    <row r="40" spans="1:4" x14ac:dyDescent="0.2">
      <c r="A40" s="2627"/>
      <c r="B40" s="2627"/>
      <c r="D40" s="1257"/>
    </row>
    <row r="41" spans="1:4" x14ac:dyDescent="0.2">
      <c r="A41" s="2627"/>
      <c r="B41" s="2627"/>
      <c r="D41" s="1260"/>
    </row>
    <row r="42" spans="1:4" x14ac:dyDescent="0.2">
      <c r="A42" s="2627"/>
      <c r="B42" s="2627"/>
      <c r="D42" s="1260"/>
    </row>
    <row r="43" spans="1:4" x14ac:dyDescent="0.2">
      <c r="A43" s="2627"/>
      <c r="B43" s="2627"/>
      <c r="D43" s="1260"/>
    </row>
    <row r="44" spans="1:4" x14ac:dyDescent="0.2">
      <c r="A44" s="2627"/>
      <c r="B44" s="2627"/>
      <c r="D44" s="1260"/>
    </row>
    <row r="45" spans="1:4" x14ac:dyDescent="0.2">
      <c r="A45" s="2627"/>
      <c r="B45" s="2627"/>
      <c r="D45" s="1260"/>
    </row>
    <row r="47" spans="1:4" x14ac:dyDescent="0.2">
      <c r="B47" s="1261" t="s">
        <v>1289</v>
      </c>
      <c r="C47" s="1261"/>
      <c r="D47" s="1262">
        <f>SUM(D35:D45)</f>
        <v>1047429</v>
      </c>
    </row>
    <row r="49" spans="2:4" x14ac:dyDescent="0.2">
      <c r="B49" s="1261" t="s">
        <v>1288</v>
      </c>
      <c r="C49" s="1261"/>
      <c r="D49" s="126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J19" sqref="J19"/>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641" t="str">
        <f>'Single Audit Cover'!A7</f>
        <v>Wood Dale SD 7</v>
      </c>
      <c r="B1" s="2641"/>
      <c r="C1" s="2641"/>
      <c r="D1" s="2641"/>
      <c r="E1" s="2641"/>
      <c r="F1" s="2641"/>
    </row>
    <row r="2" spans="1:7" ht="13.5" customHeight="1" x14ac:dyDescent="0.2">
      <c r="A2" s="2642">
        <f>'Single Audit Cover'!E7</f>
        <v>19022007002</v>
      </c>
      <c r="B2" s="2642"/>
      <c r="C2" s="2642"/>
      <c r="D2" s="2642"/>
      <c r="E2" s="2642"/>
      <c r="F2" s="2642"/>
      <c r="G2" s="1264"/>
    </row>
    <row r="3" spans="1:7" ht="15.75" customHeight="1" x14ac:dyDescent="0.2">
      <c r="A3" s="2643" t="s">
        <v>1333</v>
      </c>
      <c r="B3" s="2643"/>
      <c r="C3" s="2643"/>
      <c r="D3" s="2643"/>
      <c r="E3" s="2643"/>
      <c r="F3" s="2643"/>
    </row>
    <row r="4" spans="1:7" ht="13.5" customHeight="1" x14ac:dyDescent="0.2">
      <c r="A4" s="2644" t="str">
        <f>'Single Audit Cover'!A4</f>
        <v>Year Ending June 30, 2018</v>
      </c>
      <c r="B4" s="2644"/>
      <c r="C4" s="2644"/>
      <c r="D4" s="2644"/>
      <c r="E4" s="2644"/>
      <c r="F4" s="2644"/>
    </row>
    <row r="5" spans="1:7" ht="8.25" customHeight="1" x14ac:dyDescent="0.2">
      <c r="C5" s="317"/>
      <c r="D5" s="317"/>
    </row>
    <row r="6" spans="1:7" ht="13.5" customHeight="1" x14ac:dyDescent="0.2">
      <c r="A6" s="1265" t="s">
        <v>1831</v>
      </c>
      <c r="C6" s="317"/>
      <c r="D6" s="317"/>
    </row>
    <row r="7" spans="1:7" ht="60.95" customHeight="1" x14ac:dyDescent="0.2">
      <c r="A7" s="2640" t="s">
        <v>2222</v>
      </c>
      <c r="B7" s="2640"/>
      <c r="C7" s="2640"/>
      <c r="D7" s="2640"/>
      <c r="E7" s="2640"/>
      <c r="F7" s="2640"/>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2081</v>
      </c>
      <c r="F10" s="1269" t="s">
        <v>101</v>
      </c>
      <c r="G10" s="1267"/>
    </row>
    <row r="11" spans="1:7" ht="12" customHeight="1" x14ac:dyDescent="0.2">
      <c r="A11" s="1268"/>
      <c r="B11" s="1269"/>
      <c r="C11" s="1916"/>
      <c r="D11" s="1269"/>
      <c r="E11" s="1916"/>
      <c r="F11" s="1269"/>
      <c r="G11" s="1267"/>
    </row>
    <row r="12" spans="1:7" x14ac:dyDescent="0.2">
      <c r="A12" s="1265" t="s">
        <v>1669</v>
      </c>
      <c r="C12" s="1249"/>
      <c r="D12" s="1249"/>
    </row>
    <row r="13" spans="1:7" ht="15" customHeight="1" x14ac:dyDescent="0.2">
      <c r="A13" s="2640" t="s">
        <v>2223</v>
      </c>
      <c r="B13" s="2640"/>
      <c r="C13" s="2640"/>
      <c r="D13" s="2640"/>
      <c r="E13" s="2640"/>
      <c r="F13" s="2640"/>
    </row>
    <row r="14" spans="1:7" ht="9.75" customHeight="1" x14ac:dyDescent="0.2">
      <c r="C14" s="1249"/>
      <c r="D14" s="1249"/>
    </row>
    <row r="15" spans="1:7" ht="13.5" customHeight="1" x14ac:dyDescent="0.2">
      <c r="C15" s="1860" t="s">
        <v>1332</v>
      </c>
      <c r="D15" s="2638" t="s">
        <v>1331</v>
      </c>
      <c r="E15" s="2638"/>
      <c r="F15" s="2638"/>
    </row>
    <row r="16" spans="1:7" ht="13.5" customHeight="1" x14ac:dyDescent="0.2">
      <c r="A16" s="1271"/>
      <c r="B16" s="1265" t="s">
        <v>1330</v>
      </c>
      <c r="C16" s="1860" t="s">
        <v>1329</v>
      </c>
      <c r="D16" s="2639" t="s">
        <v>1670</v>
      </c>
      <c r="E16" s="2639"/>
      <c r="F16" s="2639"/>
    </row>
    <row r="17" spans="1:6" ht="20.45" customHeight="1" x14ac:dyDescent="0.2">
      <c r="A17" s="1272"/>
      <c r="B17" s="1273" t="s">
        <v>2214</v>
      </c>
      <c r="C17" s="1274"/>
      <c r="D17" s="2633"/>
      <c r="E17" s="2633"/>
      <c r="F17" s="2633"/>
    </row>
    <row r="18" spans="1:6" ht="20.65" customHeight="1" x14ac:dyDescent="0.2">
      <c r="A18" s="1272"/>
      <c r="B18" s="1273"/>
      <c r="C18" s="1274"/>
      <c r="D18" s="2633"/>
      <c r="E18" s="2633"/>
      <c r="F18" s="2633"/>
    </row>
    <row r="19" spans="1:6" ht="20.65" customHeight="1" x14ac:dyDescent="0.2">
      <c r="A19" s="1272"/>
      <c r="B19" s="1273"/>
      <c r="C19" s="1274"/>
      <c r="D19" s="2633"/>
      <c r="E19" s="2633"/>
      <c r="F19" s="2633"/>
    </row>
    <row r="20" spans="1:6" ht="20.65" customHeight="1" x14ac:dyDescent="0.2">
      <c r="A20" s="1272"/>
      <c r="B20" s="1273"/>
      <c r="C20" s="1274"/>
      <c r="D20" s="2633"/>
      <c r="E20" s="2633"/>
      <c r="F20" s="2633"/>
    </row>
    <row r="21" spans="1:6" ht="20.65" customHeight="1" x14ac:dyDescent="0.2">
      <c r="A21" s="1272"/>
      <c r="B21" s="1273"/>
      <c r="C21" s="1274"/>
      <c r="D21" s="2633"/>
      <c r="E21" s="2633"/>
      <c r="F21" s="2633"/>
    </row>
    <row r="22" spans="1:6" ht="20.65" customHeight="1" x14ac:dyDescent="0.2">
      <c r="A22" s="1272"/>
      <c r="B22" s="1273"/>
      <c r="C22" s="1274"/>
      <c r="D22" s="2633"/>
      <c r="E22" s="2633"/>
      <c r="F22" s="2633"/>
    </row>
    <row r="23" spans="1:6" ht="20.65" customHeight="1" x14ac:dyDescent="0.2">
      <c r="A23" s="1272"/>
      <c r="B23" s="1273"/>
      <c r="C23" s="1274"/>
      <c r="D23" s="2633"/>
      <c r="E23" s="2633"/>
      <c r="F23" s="2633"/>
    </row>
    <row r="24" spans="1:6" ht="20.65" customHeight="1" x14ac:dyDescent="0.2">
      <c r="A24" s="1272"/>
      <c r="B24" s="1273"/>
      <c r="C24" s="1274"/>
      <c r="D24" s="2633"/>
      <c r="E24" s="2633"/>
      <c r="F24" s="2633"/>
    </row>
    <row r="25" spans="1:6" ht="20.65" customHeight="1" x14ac:dyDescent="0.2">
      <c r="A25" s="1272"/>
      <c r="B25" s="1273"/>
      <c r="C25" s="1274"/>
      <c r="D25" s="2633"/>
      <c r="E25" s="2633"/>
      <c r="F25" s="2633"/>
    </row>
    <row r="26" spans="1:6" ht="20.65" customHeight="1" x14ac:dyDescent="0.2">
      <c r="A26" s="1272"/>
      <c r="B26" s="1273"/>
      <c r="C26" s="1274"/>
      <c r="D26" s="2633"/>
      <c r="E26" s="2633"/>
      <c r="F26" s="2633"/>
    </row>
    <row r="27" spans="1:6" ht="20.65" customHeight="1" x14ac:dyDescent="0.2">
      <c r="A27" s="1272"/>
      <c r="B27" s="1273"/>
      <c r="C27" s="1274"/>
      <c r="D27" s="2633"/>
      <c r="E27" s="2633"/>
      <c r="F27" s="2633"/>
    </row>
    <row r="28" spans="1:6" ht="20.65" customHeight="1" x14ac:dyDescent="0.2">
      <c r="A28" s="1272"/>
      <c r="B28" s="1273"/>
      <c r="C28" s="1274"/>
      <c r="D28" s="2633"/>
      <c r="E28" s="2633"/>
      <c r="F28" s="2633"/>
    </row>
    <row r="29" spans="1:6" ht="20.65" customHeight="1" x14ac:dyDescent="0.2">
      <c r="A29" s="1272"/>
      <c r="B29" s="1273"/>
      <c r="C29" s="1274"/>
      <c r="D29" s="2633"/>
      <c r="E29" s="2633"/>
      <c r="F29" s="2633"/>
    </row>
    <row r="30" spans="1:6" ht="12" customHeight="1" x14ac:dyDescent="0.2">
      <c r="A30" s="328"/>
      <c r="B30" s="328"/>
      <c r="C30" s="1467"/>
      <c r="D30" s="1917"/>
      <c r="E30" s="1275"/>
    </row>
    <row r="31" spans="1:6" ht="12" customHeight="1" x14ac:dyDescent="0.2">
      <c r="A31" s="1276" t="s">
        <v>1630</v>
      </c>
      <c r="B31" s="328"/>
      <c r="C31" s="1467"/>
      <c r="D31" s="1917"/>
      <c r="E31" s="1275"/>
    </row>
    <row r="32" spans="1:6" ht="30" customHeight="1" x14ac:dyDescent="0.2">
      <c r="A32" s="2634" t="s">
        <v>2120</v>
      </c>
      <c r="B32" s="2634"/>
      <c r="C32" s="2634"/>
      <c r="D32" s="2634"/>
      <c r="E32" s="2634"/>
      <c r="F32" s="2634"/>
    </row>
    <row r="33" spans="1:6" ht="13.5" customHeight="1" x14ac:dyDescent="0.2">
      <c r="A33" s="328" t="s">
        <v>1509</v>
      </c>
      <c r="B33" s="328"/>
      <c r="C33" s="1277">
        <v>26563</v>
      </c>
      <c r="D33" s="1917"/>
      <c r="E33" s="1275"/>
    </row>
    <row r="34" spans="1:6" ht="13.5" customHeight="1" x14ac:dyDescent="0.2">
      <c r="A34" s="328" t="s">
        <v>1946</v>
      </c>
      <c r="B34" s="328"/>
      <c r="C34" s="1278">
        <v>0</v>
      </c>
      <c r="D34" s="1917" t="s">
        <v>1671</v>
      </c>
      <c r="E34" s="2635">
        <f>+C33+C34</f>
        <v>26563</v>
      </c>
      <c r="F34" s="2636"/>
    </row>
    <row r="35" spans="1:6" ht="12" customHeight="1" x14ac:dyDescent="0.2">
      <c r="A35" s="328"/>
      <c r="B35" s="328"/>
      <c r="C35" s="1918"/>
      <c r="D35" s="1917"/>
      <c r="E35" s="1279"/>
      <c r="F35" s="1280"/>
    </row>
    <row r="36" spans="1:6" ht="13.5" customHeight="1" x14ac:dyDescent="0.2">
      <c r="A36" s="1276" t="s">
        <v>1631</v>
      </c>
      <c r="B36" s="328"/>
      <c r="C36" s="1467"/>
      <c r="D36" s="1917"/>
      <c r="E36" s="1275"/>
    </row>
    <row r="37" spans="1:6" ht="14.25" customHeight="1" x14ac:dyDescent="0.2">
      <c r="A37" s="328" t="s">
        <v>1563</v>
      </c>
      <c r="B37" s="328"/>
      <c r="C37" s="1919"/>
      <c r="D37" s="1917"/>
      <c r="E37" s="1275"/>
    </row>
    <row r="38" spans="1:6" ht="14.25" customHeight="1" x14ac:dyDescent="0.2">
      <c r="A38" s="328"/>
      <c r="B38" s="328" t="s">
        <v>1510</v>
      </c>
      <c r="C38" s="1281" t="s">
        <v>401</v>
      </c>
      <c r="D38" s="1917"/>
      <c r="E38" s="1275"/>
    </row>
    <row r="39" spans="1:6" ht="14.25" customHeight="1" x14ac:dyDescent="0.2">
      <c r="A39" s="328"/>
      <c r="B39" s="328" t="s">
        <v>1511</v>
      </c>
      <c r="C39" s="1281" t="s">
        <v>401</v>
      </c>
      <c r="D39" s="1917"/>
      <c r="E39" s="1275"/>
    </row>
    <row r="40" spans="1:6" ht="14.25" customHeight="1" x14ac:dyDescent="0.2">
      <c r="A40" s="328"/>
      <c r="B40" s="328" t="s">
        <v>1512</v>
      </c>
      <c r="C40" s="1281" t="s">
        <v>401</v>
      </c>
      <c r="D40" s="1917"/>
      <c r="E40" s="1275"/>
    </row>
    <row r="41" spans="1:6" ht="14.25" customHeight="1" x14ac:dyDescent="0.2">
      <c r="A41" s="328"/>
      <c r="B41" s="328" t="s">
        <v>1513</v>
      </c>
      <c r="C41" s="1281" t="s">
        <v>401</v>
      </c>
      <c r="D41" s="1917"/>
      <c r="E41" s="1275"/>
    </row>
    <row r="42" spans="1:6" ht="14.25" customHeight="1" x14ac:dyDescent="0.2">
      <c r="A42" s="328" t="s">
        <v>1514</v>
      </c>
      <c r="B42" s="328"/>
      <c r="C42" s="1915" t="s">
        <v>401</v>
      </c>
      <c r="D42" s="1917"/>
      <c r="E42" s="1275"/>
    </row>
    <row r="43" spans="1:6" ht="14.25" customHeight="1" x14ac:dyDescent="0.2">
      <c r="A43" s="328" t="s">
        <v>1515</v>
      </c>
      <c r="B43" s="328"/>
      <c r="C43" s="1282" t="s">
        <v>401</v>
      </c>
      <c r="D43" s="1917"/>
      <c r="E43" s="1275"/>
    </row>
    <row r="44" spans="1:6" ht="14.25" customHeight="1" x14ac:dyDescent="0.2">
      <c r="A44" s="328"/>
      <c r="B44" s="328"/>
      <c r="C44" s="1919" t="s">
        <v>1516</v>
      </c>
      <c r="D44" s="1917"/>
      <c r="E44" s="1275"/>
    </row>
    <row r="45" spans="1:6" ht="13.5" customHeight="1" x14ac:dyDescent="0.2">
      <c r="B45" s="322"/>
      <c r="C45" s="1283"/>
      <c r="D45" s="1283"/>
    </row>
    <row r="46" spans="1:6" x14ac:dyDescent="0.2">
      <c r="A46" s="1284" t="s">
        <v>1833</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637" t="s">
        <v>1672</v>
      </c>
      <c r="C49" s="2637"/>
      <c r="D49" s="2637"/>
      <c r="E49" s="1388"/>
    </row>
    <row r="50" spans="1:5" s="1289" customFormat="1" ht="3.75" customHeight="1" x14ac:dyDescent="0.2">
      <c r="A50" s="1288"/>
      <c r="B50" s="1859"/>
      <c r="C50" s="1859"/>
      <c r="D50" s="1859"/>
      <c r="E50" s="1388"/>
    </row>
    <row r="51" spans="1:5" s="1289" customFormat="1" ht="20.25" customHeight="1" x14ac:dyDescent="0.2">
      <c r="A51" s="1290">
        <v>6</v>
      </c>
      <c r="B51" s="2632" t="s">
        <v>1632</v>
      </c>
      <c r="C51" s="2632"/>
      <c r="D51" s="2632"/>
    </row>
    <row r="52" spans="1:5" ht="14.25" customHeight="1" x14ac:dyDescent="0.2">
      <c r="A52" s="1290"/>
      <c r="B52" s="2632"/>
      <c r="C52" s="2632"/>
      <c r="D52" s="263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19" sqref="J19"/>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611" t="str">
        <f>'Single Audit Cover'!A7</f>
        <v>Wood Dale SD 7</v>
      </c>
      <c r="C1" s="2645"/>
      <c r="D1" s="2645"/>
      <c r="E1" s="2645"/>
      <c r="F1" s="2645"/>
      <c r="G1" s="2645"/>
      <c r="H1" s="2645"/>
      <c r="I1" s="2645"/>
      <c r="J1" s="2645"/>
      <c r="K1" s="2645"/>
      <c r="L1" s="2645"/>
      <c r="M1" s="2645"/>
    </row>
    <row r="2" spans="2:14" ht="15" x14ac:dyDescent="0.2">
      <c r="B2" s="2642">
        <f>'Single Audit Cover'!E7</f>
        <v>19022007002</v>
      </c>
      <c r="C2" s="2642"/>
      <c r="D2" s="2642"/>
      <c r="E2" s="2642"/>
      <c r="F2" s="2642"/>
      <c r="G2" s="2642"/>
      <c r="H2" s="2642"/>
      <c r="I2" s="2642"/>
      <c r="J2" s="2642"/>
      <c r="K2" s="2642"/>
      <c r="L2" s="2642"/>
      <c r="M2" s="2642"/>
      <c r="N2" s="1291"/>
    </row>
    <row r="3" spans="2:14" ht="15" x14ac:dyDescent="0.2">
      <c r="B3" s="2646" t="s">
        <v>1281</v>
      </c>
      <c r="C3" s="2646"/>
      <c r="D3" s="2646"/>
      <c r="E3" s="2646"/>
      <c r="F3" s="2646"/>
      <c r="G3" s="2646"/>
      <c r="H3" s="2646"/>
      <c r="I3" s="2646"/>
      <c r="J3" s="2646"/>
      <c r="K3" s="2646"/>
      <c r="L3" s="2646"/>
      <c r="M3" s="2646"/>
      <c r="N3" s="1291"/>
    </row>
    <row r="4" spans="2:14" ht="15" x14ac:dyDescent="0.2">
      <c r="B4" s="2647" t="str">
        <f>'Single Audit Cover'!A4</f>
        <v>Year Ending June 30, 2018</v>
      </c>
      <c r="C4" s="2647"/>
      <c r="D4" s="2647"/>
      <c r="E4" s="2647"/>
      <c r="F4" s="2647"/>
      <c r="G4" s="2647"/>
      <c r="H4" s="2647"/>
      <c r="I4" s="2647"/>
      <c r="J4" s="2647"/>
      <c r="K4" s="2647"/>
      <c r="L4" s="2647"/>
      <c r="M4" s="2647"/>
      <c r="N4" s="1291"/>
    </row>
    <row r="6" spans="2:14" x14ac:dyDescent="0.2">
      <c r="B6" s="1292"/>
      <c r="C6" s="1293"/>
      <c r="D6" s="1294" t="s">
        <v>1327</v>
      </c>
      <c r="E6" s="1295" t="s">
        <v>548</v>
      </c>
      <c r="F6" s="1296"/>
      <c r="G6" s="1297" t="s">
        <v>1834</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1947</v>
      </c>
      <c r="K8" s="1308" t="s">
        <v>1323</v>
      </c>
      <c r="L8" s="1309" t="s">
        <v>1319</v>
      </c>
      <c r="M8" s="1310" t="s">
        <v>30</v>
      </c>
    </row>
    <row r="9" spans="2:14" ht="14.25" x14ac:dyDescent="0.2">
      <c r="B9" s="1314" t="s">
        <v>1321</v>
      </c>
      <c r="C9" s="1302" t="s">
        <v>1835</v>
      </c>
      <c r="D9" s="1303" t="s">
        <v>1836</v>
      </c>
      <c r="E9" s="1311" t="s">
        <v>1663</v>
      </c>
      <c r="F9" s="1312" t="s">
        <v>1947</v>
      </c>
      <c r="G9" s="1313" t="s">
        <v>1663</v>
      </c>
      <c r="H9" s="1306" t="s">
        <v>1664</v>
      </c>
      <c r="I9" s="1308" t="s">
        <v>1947</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c r="M11" s="1329"/>
    </row>
    <row r="12" spans="2:14" ht="20.100000000000001" customHeight="1" x14ac:dyDescent="0.2">
      <c r="B12" s="1326"/>
      <c r="C12" s="1330"/>
      <c r="D12" s="1331"/>
      <c r="E12" s="1332"/>
      <c r="F12" s="1332"/>
      <c r="G12" s="1332"/>
      <c r="H12" s="1332"/>
      <c r="I12" s="1332"/>
      <c r="J12" s="1332"/>
      <c r="K12" s="1332"/>
      <c r="L12" s="1329"/>
      <c r="M12" s="1332"/>
    </row>
    <row r="13" spans="2:14" ht="20.100000000000001" customHeight="1" x14ac:dyDescent="0.2">
      <c r="B13" s="1326"/>
      <c r="C13" s="1330"/>
      <c r="D13" s="1331"/>
      <c r="E13" s="1332"/>
      <c r="F13" s="1332"/>
      <c r="G13" s="1332"/>
      <c r="H13" s="1332"/>
      <c r="I13" s="1332"/>
      <c r="J13" s="1332"/>
      <c r="K13" s="1332"/>
      <c r="L13" s="1329"/>
      <c r="M13" s="1332"/>
    </row>
    <row r="14" spans="2:14" ht="20.100000000000001" customHeight="1" x14ac:dyDescent="0.2">
      <c r="B14" s="1326"/>
      <c r="C14" s="1330"/>
      <c r="D14" s="1331"/>
      <c r="E14" s="1332"/>
      <c r="F14" s="1332"/>
      <c r="G14" s="1332"/>
      <c r="H14" s="1332"/>
      <c r="I14" s="1332"/>
      <c r="J14" s="1332"/>
      <c r="K14" s="1332"/>
      <c r="L14" s="1329"/>
      <c r="M14" s="1332"/>
    </row>
    <row r="15" spans="2:14" ht="20.100000000000001" customHeight="1" x14ac:dyDescent="0.2">
      <c r="B15" s="1326"/>
      <c r="C15" s="1330"/>
      <c r="D15" s="1331"/>
      <c r="E15" s="1332"/>
      <c r="F15" s="1332"/>
      <c r="G15" s="1332"/>
      <c r="H15" s="1332"/>
      <c r="I15" s="1332"/>
      <c r="J15" s="1332"/>
      <c r="K15" s="1332"/>
      <c r="L15" s="1329"/>
      <c r="M15" s="1332"/>
    </row>
    <row r="16" spans="2:14" ht="20.100000000000001" customHeight="1" x14ac:dyDescent="0.2">
      <c r="B16" s="1326"/>
      <c r="C16" s="1330"/>
      <c r="D16" s="1331"/>
      <c r="E16" s="1332"/>
      <c r="F16" s="1332"/>
      <c r="G16" s="1332"/>
      <c r="H16" s="1332"/>
      <c r="I16" s="1332"/>
      <c r="J16" s="1332"/>
      <c r="K16" s="1332"/>
      <c r="L16" s="1329"/>
      <c r="M16" s="1332"/>
    </row>
    <row r="17" spans="2:14" ht="20.100000000000001" customHeight="1" x14ac:dyDescent="0.2">
      <c r="B17" s="1326"/>
      <c r="C17" s="1330"/>
      <c r="D17" s="1331"/>
      <c r="E17" s="1332"/>
      <c r="F17" s="1332"/>
      <c r="G17" s="1332"/>
      <c r="H17" s="1332"/>
      <c r="I17" s="1332"/>
      <c r="J17" s="1332"/>
      <c r="K17" s="1332"/>
      <c r="L17" s="1329"/>
      <c r="M17" s="1332"/>
    </row>
    <row r="18" spans="2:14" ht="20.100000000000001" customHeight="1" x14ac:dyDescent="0.2">
      <c r="B18" s="1326"/>
      <c r="C18" s="1330"/>
      <c r="D18" s="1331"/>
      <c r="E18" s="1332"/>
      <c r="F18" s="1332"/>
      <c r="G18" s="1332"/>
      <c r="H18" s="1332"/>
      <c r="I18" s="1332"/>
      <c r="J18" s="1332"/>
      <c r="K18" s="1332"/>
      <c r="L18" s="1329"/>
      <c r="M18" s="1332"/>
    </row>
    <row r="19" spans="2:14" ht="20.100000000000001" customHeight="1" x14ac:dyDescent="0.2">
      <c r="B19" s="1326"/>
      <c r="C19" s="1330"/>
      <c r="D19" s="1331"/>
      <c r="E19" s="1332"/>
      <c r="F19" s="1332"/>
      <c r="G19" s="1332"/>
      <c r="H19" s="1332"/>
      <c r="I19" s="1332"/>
      <c r="J19" s="1332"/>
      <c r="K19" s="1332"/>
      <c r="L19" s="1329"/>
      <c r="M19" s="1332"/>
    </row>
    <row r="20" spans="2:14" ht="20.100000000000001" customHeight="1" x14ac:dyDescent="0.2">
      <c r="B20" s="1326"/>
      <c r="C20" s="1330"/>
      <c r="D20" s="1331"/>
      <c r="E20" s="1332"/>
      <c r="F20" s="1332"/>
      <c r="G20" s="1332"/>
      <c r="H20" s="1332"/>
      <c r="I20" s="1332"/>
      <c r="J20" s="1332"/>
      <c r="K20" s="1332"/>
      <c r="L20" s="1329"/>
      <c r="M20" s="1332"/>
    </row>
    <row r="21" spans="2:14" ht="20.100000000000001" customHeight="1" x14ac:dyDescent="0.2">
      <c r="B21" s="1326"/>
      <c r="C21" s="1330"/>
      <c r="D21" s="1331"/>
      <c r="E21" s="1332"/>
      <c r="F21" s="1332"/>
      <c r="G21" s="1332"/>
      <c r="H21" s="1332"/>
      <c r="I21" s="1332"/>
      <c r="J21" s="1332"/>
      <c r="K21" s="1332"/>
      <c r="L21" s="1329"/>
      <c r="M21" s="1332"/>
    </row>
    <row r="22" spans="2:14" ht="20.100000000000001" customHeight="1" x14ac:dyDescent="0.2">
      <c r="B22" s="1326"/>
      <c r="C22" s="1330"/>
      <c r="D22" s="1331"/>
      <c r="E22" s="1332"/>
      <c r="F22" s="1332"/>
      <c r="G22" s="1332"/>
      <c r="H22" s="1332"/>
      <c r="I22" s="1332"/>
      <c r="J22" s="1332"/>
      <c r="K22" s="1332"/>
      <c r="L22" s="1329"/>
      <c r="M22" s="1332"/>
    </row>
    <row r="23" spans="2:14" ht="20.100000000000001" customHeight="1" x14ac:dyDescent="0.2">
      <c r="B23" s="1326"/>
      <c r="C23" s="1330"/>
      <c r="D23" s="1331"/>
      <c r="E23" s="1332"/>
      <c r="F23" s="1332"/>
      <c r="G23" s="1332"/>
      <c r="H23" s="1332"/>
      <c r="I23" s="1332"/>
      <c r="J23" s="1332"/>
      <c r="K23" s="1332"/>
      <c r="L23" s="1329"/>
      <c r="M23" s="1332"/>
    </row>
    <row r="24" spans="2:14" ht="20.100000000000001" customHeight="1" x14ac:dyDescent="0.2">
      <c r="B24" s="1326"/>
      <c r="C24" s="1330"/>
      <c r="D24" s="1331"/>
      <c r="E24" s="1332"/>
      <c r="F24" s="1332"/>
      <c r="G24" s="1332"/>
      <c r="H24" s="1332"/>
      <c r="I24" s="1332"/>
      <c r="J24" s="1332"/>
      <c r="K24" s="1332"/>
      <c r="L24" s="1329"/>
      <c r="M24" s="1332"/>
    </row>
    <row r="25" spans="2:14" ht="20.100000000000001" customHeight="1" x14ac:dyDescent="0.2">
      <c r="B25" s="1326"/>
      <c r="C25" s="1330"/>
      <c r="D25" s="1331"/>
      <c r="E25" s="1332"/>
      <c r="F25" s="1332"/>
      <c r="G25" s="1332"/>
      <c r="H25" s="1332"/>
      <c r="I25" s="1332"/>
      <c r="J25" s="1332"/>
      <c r="K25" s="1332"/>
      <c r="L25" s="1329"/>
      <c r="M25" s="1332"/>
    </row>
    <row r="26" spans="2:14" ht="20.100000000000001" customHeight="1" x14ac:dyDescent="0.2">
      <c r="B26" s="1326"/>
      <c r="C26" s="1330"/>
      <c r="D26" s="1331"/>
      <c r="E26" s="1332"/>
      <c r="F26" s="1332"/>
      <c r="G26" s="1332"/>
      <c r="H26" s="1332"/>
      <c r="I26" s="1332"/>
      <c r="J26" s="1332"/>
      <c r="K26" s="1332"/>
      <c r="L26" s="1329"/>
      <c r="M26" s="1332"/>
    </row>
    <row r="27" spans="2:14" ht="20.100000000000001" customHeight="1" x14ac:dyDescent="0.2">
      <c r="B27" s="1326"/>
      <c r="C27" s="1330"/>
      <c r="D27" s="1331"/>
      <c r="E27" s="1332"/>
      <c r="F27" s="1332"/>
      <c r="G27" s="1332"/>
      <c r="H27" s="1332"/>
      <c r="I27" s="1332"/>
      <c r="J27" s="1332"/>
      <c r="K27" s="1332"/>
      <c r="L27" s="1329"/>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1837</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1948</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1838</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1839</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1840</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1841</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3" t="s">
        <v>1230</v>
      </c>
      <c r="B2" s="2253"/>
      <c r="C2" s="2253"/>
      <c r="D2" s="2253"/>
      <c r="E2" s="2253"/>
      <c r="F2" s="2253"/>
      <c r="G2" s="2253"/>
      <c r="H2" s="2253"/>
      <c r="I2" s="2253"/>
      <c r="J2" s="225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67" t="s">
        <v>1731</v>
      </c>
      <c r="B35" s="2268"/>
      <c r="C35" s="2268"/>
      <c r="D35" s="2268"/>
      <c r="E35" s="2269"/>
      <c r="F35" s="2269"/>
      <c r="G35" s="2269"/>
      <c r="H35" s="2269"/>
      <c r="I35" s="226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67" t="s">
        <v>331</v>
      </c>
      <c r="B47" s="2270"/>
      <c r="C47" s="2270"/>
      <c r="D47" s="2270"/>
      <c r="E47" s="2271"/>
      <c r="F47" s="2271"/>
      <c r="G47" s="2271"/>
      <c r="H47" s="2271"/>
      <c r="I47" s="227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4"/>
      <c r="C57" s="2275"/>
      <c r="D57" s="2275"/>
      <c r="E57" s="2275"/>
      <c r="F57" s="2275"/>
      <c r="G57" s="2275"/>
      <c r="H57" s="2275"/>
      <c r="I57" s="2275"/>
      <c r="J57" s="2276"/>
    </row>
    <row r="58" spans="1:10" s="181" customFormat="1" x14ac:dyDescent="0.2">
      <c r="A58" s="253"/>
      <c r="B58" s="2277"/>
      <c r="C58" s="2278"/>
      <c r="D58" s="2278"/>
      <c r="E58" s="2278"/>
      <c r="F58" s="2278"/>
      <c r="G58" s="2278"/>
      <c r="H58" s="2278"/>
      <c r="I58" s="2278"/>
      <c r="J58" s="2279"/>
    </row>
    <row r="59" spans="1:10" s="181" customFormat="1" x14ac:dyDescent="0.2">
      <c r="A59" s="253"/>
      <c r="B59" s="2277"/>
      <c r="C59" s="2278"/>
      <c r="D59" s="2278"/>
      <c r="E59" s="2278"/>
      <c r="F59" s="2278"/>
      <c r="G59" s="2278"/>
      <c r="H59" s="2278"/>
      <c r="I59" s="2278"/>
      <c r="J59" s="2279"/>
    </row>
    <row r="60" spans="1:10" s="181" customFormat="1" x14ac:dyDescent="0.2">
      <c r="A60" s="253"/>
      <c r="B60" s="2277"/>
      <c r="C60" s="2278"/>
      <c r="D60" s="2278"/>
      <c r="E60" s="2278"/>
      <c r="F60" s="2278"/>
      <c r="G60" s="2278"/>
      <c r="H60" s="2278"/>
      <c r="I60" s="2278"/>
      <c r="J60" s="2279"/>
    </row>
    <row r="61" spans="1:10" s="181" customFormat="1" x14ac:dyDescent="0.2">
      <c r="A61" s="253"/>
      <c r="B61" s="2277"/>
      <c r="C61" s="2278"/>
      <c r="D61" s="2278"/>
      <c r="E61" s="2278"/>
      <c r="F61" s="2278"/>
      <c r="G61" s="2278"/>
      <c r="H61" s="2278"/>
      <c r="I61" s="2278"/>
      <c r="J61" s="2279"/>
    </row>
    <row r="62" spans="1:10" s="181" customFormat="1" x14ac:dyDescent="0.2">
      <c r="A62" s="253"/>
      <c r="B62" s="2277"/>
      <c r="C62" s="2278"/>
      <c r="D62" s="2278"/>
      <c r="E62" s="2278"/>
      <c r="F62" s="2278"/>
      <c r="G62" s="2278"/>
      <c r="H62" s="2278"/>
      <c r="I62" s="2278"/>
      <c r="J62" s="2279"/>
    </row>
    <row r="63" spans="1:10" s="181" customFormat="1" x14ac:dyDescent="0.2">
      <c r="A63" s="253"/>
      <c r="B63" s="2277"/>
      <c r="C63" s="2278"/>
      <c r="D63" s="2278"/>
      <c r="E63" s="2278"/>
      <c r="F63" s="2278"/>
      <c r="G63" s="2278"/>
      <c r="H63" s="2278"/>
      <c r="I63" s="2278"/>
      <c r="J63" s="2279"/>
    </row>
    <row r="64" spans="1:10" s="181" customFormat="1" x14ac:dyDescent="0.2">
      <c r="A64" s="253"/>
      <c r="B64" s="2277"/>
      <c r="C64" s="2278"/>
      <c r="D64" s="2278"/>
      <c r="E64" s="2278"/>
      <c r="F64" s="2278"/>
      <c r="G64" s="2278"/>
      <c r="H64" s="2278"/>
      <c r="I64" s="2278"/>
      <c r="J64" s="2279"/>
    </row>
    <row r="65" spans="1:10" s="181" customFormat="1" x14ac:dyDescent="0.2">
      <c r="A65" s="253"/>
      <c r="B65" s="2277"/>
      <c r="C65" s="2278"/>
      <c r="D65" s="2278"/>
      <c r="E65" s="2278"/>
      <c r="F65" s="2278"/>
      <c r="G65" s="2278"/>
      <c r="H65" s="2278"/>
      <c r="I65" s="2278"/>
      <c r="J65" s="2279"/>
    </row>
    <row r="66" spans="1:10" s="181" customFormat="1" x14ac:dyDescent="0.2">
      <c r="A66" s="253"/>
      <c r="B66" s="2277"/>
      <c r="C66" s="2278"/>
      <c r="D66" s="2278"/>
      <c r="E66" s="2278"/>
      <c r="F66" s="2278"/>
      <c r="G66" s="2278"/>
      <c r="H66" s="2278"/>
      <c r="I66" s="2278"/>
      <c r="J66" s="2279"/>
    </row>
    <row r="67" spans="1:10" s="181" customFormat="1" ht="9" customHeight="1" x14ac:dyDescent="0.2">
      <c r="A67" s="254"/>
      <c r="B67" s="2280"/>
      <c r="C67" s="2281"/>
      <c r="D67" s="2281"/>
      <c r="E67" s="2281"/>
      <c r="F67" s="2281"/>
      <c r="G67" s="2281"/>
      <c r="H67" s="2281"/>
      <c r="I67" s="2281"/>
      <c r="J67" s="22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67" t="s">
        <v>1390</v>
      </c>
      <c r="B70" s="2270"/>
      <c r="C70" s="2270"/>
      <c r="D70" s="2270"/>
      <c r="E70" s="2271"/>
      <c r="F70" s="2271"/>
      <c r="G70" s="2271"/>
      <c r="H70" s="2271"/>
      <c r="I70" s="227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2" t="s">
        <v>1387</v>
      </c>
      <c r="B83" s="2272"/>
      <c r="C83" s="2272"/>
      <c r="D83" s="227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54"/>
      <c r="C102" s="2255"/>
      <c r="D102" s="2255"/>
      <c r="E102" s="2255"/>
      <c r="F102" s="2255"/>
      <c r="G102" s="2255"/>
      <c r="H102" s="2255"/>
      <c r="I102" s="2256"/>
    </row>
    <row r="103" spans="1:9" s="181" customFormat="1" ht="11.25" customHeight="1" x14ac:dyDescent="0.2">
      <c r="A103" s="316"/>
      <c r="B103" s="2257"/>
      <c r="C103" s="2258"/>
      <c r="D103" s="2258"/>
      <c r="E103" s="2258"/>
      <c r="F103" s="2258"/>
      <c r="G103" s="2258"/>
      <c r="H103" s="2258"/>
      <c r="I103" s="2259"/>
    </row>
    <row r="104" spans="1:9" s="181" customFormat="1" ht="11.25" customHeight="1" x14ac:dyDescent="0.2">
      <c r="A104" s="316"/>
      <c r="B104" s="2257"/>
      <c r="C104" s="2258"/>
      <c r="D104" s="2258"/>
      <c r="E104" s="2258"/>
      <c r="F104" s="2258"/>
      <c r="G104" s="2258"/>
      <c r="H104" s="2258"/>
      <c r="I104" s="2259"/>
    </row>
    <row r="105" spans="1:9" s="181" customFormat="1" x14ac:dyDescent="0.2">
      <c r="A105" s="316"/>
      <c r="B105" s="2257"/>
      <c r="C105" s="2258"/>
      <c r="D105" s="2258"/>
      <c r="E105" s="2258"/>
      <c r="F105" s="2258"/>
      <c r="G105" s="2258"/>
      <c r="H105" s="2258"/>
      <c r="I105" s="2259"/>
    </row>
    <row r="106" spans="1:9" s="181" customFormat="1" ht="11.25" customHeight="1" x14ac:dyDescent="0.2">
      <c r="A106" s="316"/>
      <c r="B106" s="2257"/>
      <c r="C106" s="2258"/>
      <c r="D106" s="2258"/>
      <c r="E106" s="2258"/>
      <c r="F106" s="2258"/>
      <c r="G106" s="2258"/>
      <c r="H106" s="2258"/>
      <c r="I106" s="2259"/>
    </row>
    <row r="107" spans="1:9" s="181" customFormat="1" ht="11.25" customHeight="1" x14ac:dyDescent="0.2">
      <c r="A107" s="316"/>
      <c r="B107" s="2257"/>
      <c r="C107" s="2258"/>
      <c r="D107" s="2258"/>
      <c r="E107" s="2258"/>
      <c r="F107" s="2258"/>
      <c r="G107" s="2258"/>
      <c r="H107" s="2258"/>
      <c r="I107" s="2259"/>
    </row>
    <row r="108" spans="1:9" s="181" customFormat="1" ht="11.25" customHeight="1" x14ac:dyDescent="0.2">
      <c r="A108" s="316"/>
      <c r="B108" s="2257"/>
      <c r="C108" s="2258"/>
      <c r="D108" s="2258"/>
      <c r="E108" s="2258"/>
      <c r="F108" s="2258"/>
      <c r="G108" s="2258"/>
      <c r="H108" s="2258"/>
      <c r="I108" s="2259"/>
    </row>
    <row r="109" spans="1:9" s="181" customFormat="1" ht="11.25" customHeight="1" x14ac:dyDescent="0.2">
      <c r="A109" s="316"/>
      <c r="B109" s="2257"/>
      <c r="C109" s="2258"/>
      <c r="D109" s="2258"/>
      <c r="E109" s="2258"/>
      <c r="F109" s="2258"/>
      <c r="G109" s="2258"/>
      <c r="H109" s="2258"/>
      <c r="I109" s="2259"/>
    </row>
    <row r="110" spans="1:9" s="181" customFormat="1" ht="11.25" customHeight="1" x14ac:dyDescent="0.2">
      <c r="A110" s="316"/>
      <c r="B110" s="2257"/>
      <c r="C110" s="2258"/>
      <c r="D110" s="2258"/>
      <c r="E110" s="2258"/>
      <c r="F110" s="2258"/>
      <c r="G110" s="2258"/>
      <c r="H110" s="2258"/>
      <c r="I110" s="2259"/>
    </row>
    <row r="111" spans="1:9" s="181" customFormat="1" ht="11.25" customHeight="1" x14ac:dyDescent="0.2">
      <c r="A111" s="316"/>
      <c r="B111" s="2257"/>
      <c r="C111" s="2258"/>
      <c r="D111" s="2258"/>
      <c r="E111" s="2258"/>
      <c r="F111" s="2258"/>
      <c r="G111" s="2258"/>
      <c r="H111" s="2258"/>
      <c r="I111" s="2259"/>
    </row>
    <row r="112" spans="1:9" s="181" customFormat="1" ht="11.25" customHeight="1" x14ac:dyDescent="0.2">
      <c r="A112" s="316"/>
      <c r="B112" s="2260"/>
      <c r="C112" s="2261"/>
      <c r="D112" s="2261"/>
      <c r="E112" s="2261"/>
      <c r="F112" s="2261"/>
      <c r="G112" s="2261"/>
      <c r="H112" s="2261"/>
      <c r="I112" s="22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3" t="s">
        <v>2080</v>
      </c>
      <c r="D114" s="226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4" t="s">
        <v>1397</v>
      </c>
      <c r="D117" s="2265"/>
      <c r="E117" s="2266"/>
      <c r="F117" s="2266"/>
      <c r="G117" s="2266"/>
      <c r="H117" s="2266"/>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89" transitionEvaluation="1" transitionEntry="1">
    <pageSetUpPr fitToPage="1"/>
  </sheetPr>
  <dimension ref="A1:N124"/>
  <sheetViews>
    <sheetView showGridLines="0" topLeftCell="B2" zoomScaleNormal="100" zoomScaleSheetLayoutView="100" workbookViewId="0">
      <pane ySplit="11" topLeftCell="A89" activePane="bottomLeft" state="frozen"/>
      <selection activeCell="J19" sqref="J19"/>
      <selection pane="bottomLeft" activeCell="J19" sqref="J19"/>
    </sheetView>
  </sheetViews>
  <sheetFormatPr defaultColWidth="8.42578125" defaultRowHeight="12" x14ac:dyDescent="0.2"/>
  <cols>
    <col min="1" max="1" width="20.7109375" style="1981" customWidth="1"/>
    <col min="2" max="2" width="4.140625" style="1981" customWidth="1"/>
    <col min="3" max="3" width="8.140625" style="1981" customWidth="1"/>
    <col min="4" max="4" width="8.42578125" style="1981" customWidth="1"/>
    <col min="5" max="5" width="14.5703125" style="1981" customWidth="1"/>
    <col min="6" max="6" width="11" style="1981" customWidth="1"/>
    <col min="7" max="7" width="12.85546875" style="1981" customWidth="1"/>
    <col min="8" max="8" width="11" style="1981" customWidth="1"/>
    <col min="9" max="9" width="12.140625" style="1981" customWidth="1"/>
    <col min="10" max="10" width="11" style="1981" customWidth="1"/>
    <col min="11" max="11" width="12.140625" style="1981" customWidth="1"/>
    <col min="12" max="12" width="11.7109375" style="1981" customWidth="1"/>
    <col min="13" max="13" width="13" style="1981" customWidth="1"/>
    <col min="14" max="14" width="10.140625" style="2007" customWidth="1"/>
    <col min="15" max="256" width="8.42578125" style="1981"/>
    <col min="257" max="257" width="20.7109375" style="1981" customWidth="1"/>
    <col min="258" max="258" width="4.140625" style="1981" customWidth="1"/>
    <col min="259" max="259" width="8.140625" style="1981" customWidth="1"/>
    <col min="260" max="260" width="8.42578125" style="1981"/>
    <col min="261" max="261" width="14.5703125" style="1981" customWidth="1"/>
    <col min="262" max="262" width="11" style="1981" customWidth="1"/>
    <col min="263" max="263" width="12.85546875" style="1981" customWidth="1"/>
    <col min="264" max="264" width="11" style="1981" customWidth="1"/>
    <col min="265" max="265" width="12.140625" style="1981" customWidth="1"/>
    <col min="266" max="266" width="11" style="1981" customWidth="1"/>
    <col min="267" max="267" width="12.140625" style="1981" customWidth="1"/>
    <col min="268" max="268" width="11.7109375" style="1981" customWidth="1"/>
    <col min="269" max="269" width="13" style="1981" customWidth="1"/>
    <col min="270" max="270" width="10.140625" style="1981" customWidth="1"/>
    <col min="271" max="512" width="8.42578125" style="1981"/>
    <col min="513" max="513" width="20.7109375" style="1981" customWidth="1"/>
    <col min="514" max="514" width="4.140625" style="1981" customWidth="1"/>
    <col min="515" max="515" width="8.140625" style="1981" customWidth="1"/>
    <col min="516" max="516" width="8.42578125" style="1981"/>
    <col min="517" max="517" width="14.5703125" style="1981" customWidth="1"/>
    <col min="518" max="518" width="11" style="1981" customWidth="1"/>
    <col min="519" max="519" width="12.85546875" style="1981" customWidth="1"/>
    <col min="520" max="520" width="11" style="1981" customWidth="1"/>
    <col min="521" max="521" width="12.140625" style="1981" customWidth="1"/>
    <col min="522" max="522" width="11" style="1981" customWidth="1"/>
    <col min="523" max="523" width="12.140625" style="1981" customWidth="1"/>
    <col min="524" max="524" width="11.7109375" style="1981" customWidth="1"/>
    <col min="525" max="525" width="13" style="1981" customWidth="1"/>
    <col min="526" max="526" width="10.140625" style="1981" customWidth="1"/>
    <col min="527" max="768" width="8.42578125" style="1981"/>
    <col min="769" max="769" width="20.7109375" style="1981" customWidth="1"/>
    <col min="770" max="770" width="4.140625" style="1981" customWidth="1"/>
    <col min="771" max="771" width="8.140625" style="1981" customWidth="1"/>
    <col min="772" max="772" width="8.42578125" style="1981"/>
    <col min="773" max="773" width="14.5703125" style="1981" customWidth="1"/>
    <col min="774" max="774" width="11" style="1981" customWidth="1"/>
    <col min="775" max="775" width="12.85546875" style="1981" customWidth="1"/>
    <col min="776" max="776" width="11" style="1981" customWidth="1"/>
    <col min="777" max="777" width="12.140625" style="1981" customWidth="1"/>
    <col min="778" max="778" width="11" style="1981" customWidth="1"/>
    <col min="779" max="779" width="12.140625" style="1981" customWidth="1"/>
    <col min="780" max="780" width="11.7109375" style="1981" customWidth="1"/>
    <col min="781" max="781" width="13" style="1981" customWidth="1"/>
    <col min="782" max="782" width="10.140625" style="1981" customWidth="1"/>
    <col min="783" max="1024" width="8.42578125" style="1981"/>
    <col min="1025" max="1025" width="20.7109375" style="1981" customWidth="1"/>
    <col min="1026" max="1026" width="4.140625" style="1981" customWidth="1"/>
    <col min="1027" max="1027" width="8.140625" style="1981" customWidth="1"/>
    <col min="1028" max="1028" width="8.42578125" style="1981"/>
    <col min="1029" max="1029" width="14.5703125" style="1981" customWidth="1"/>
    <col min="1030" max="1030" width="11" style="1981" customWidth="1"/>
    <col min="1031" max="1031" width="12.85546875" style="1981" customWidth="1"/>
    <col min="1032" max="1032" width="11" style="1981" customWidth="1"/>
    <col min="1033" max="1033" width="12.140625" style="1981" customWidth="1"/>
    <col min="1034" max="1034" width="11" style="1981" customWidth="1"/>
    <col min="1035" max="1035" width="12.140625" style="1981" customWidth="1"/>
    <col min="1036" max="1036" width="11.7109375" style="1981" customWidth="1"/>
    <col min="1037" max="1037" width="13" style="1981" customWidth="1"/>
    <col min="1038" max="1038" width="10.140625" style="1981" customWidth="1"/>
    <col min="1039" max="1280" width="8.42578125" style="1981"/>
    <col min="1281" max="1281" width="20.7109375" style="1981" customWidth="1"/>
    <col min="1282" max="1282" width="4.140625" style="1981" customWidth="1"/>
    <col min="1283" max="1283" width="8.140625" style="1981" customWidth="1"/>
    <col min="1284" max="1284" width="8.42578125" style="1981"/>
    <col min="1285" max="1285" width="14.5703125" style="1981" customWidth="1"/>
    <col min="1286" max="1286" width="11" style="1981" customWidth="1"/>
    <col min="1287" max="1287" width="12.85546875" style="1981" customWidth="1"/>
    <col min="1288" max="1288" width="11" style="1981" customWidth="1"/>
    <col min="1289" max="1289" width="12.140625" style="1981" customWidth="1"/>
    <col min="1290" max="1290" width="11" style="1981" customWidth="1"/>
    <col min="1291" max="1291" width="12.140625" style="1981" customWidth="1"/>
    <col min="1292" max="1292" width="11.7109375" style="1981" customWidth="1"/>
    <col min="1293" max="1293" width="13" style="1981" customWidth="1"/>
    <col min="1294" max="1294" width="10.140625" style="1981" customWidth="1"/>
    <col min="1295" max="1536" width="8.42578125" style="1981"/>
    <col min="1537" max="1537" width="20.7109375" style="1981" customWidth="1"/>
    <col min="1538" max="1538" width="4.140625" style="1981" customWidth="1"/>
    <col min="1539" max="1539" width="8.140625" style="1981" customWidth="1"/>
    <col min="1540" max="1540" width="8.42578125" style="1981"/>
    <col min="1541" max="1541" width="14.5703125" style="1981" customWidth="1"/>
    <col min="1542" max="1542" width="11" style="1981" customWidth="1"/>
    <col min="1543" max="1543" width="12.85546875" style="1981" customWidth="1"/>
    <col min="1544" max="1544" width="11" style="1981" customWidth="1"/>
    <col min="1545" max="1545" width="12.140625" style="1981" customWidth="1"/>
    <col min="1546" max="1546" width="11" style="1981" customWidth="1"/>
    <col min="1547" max="1547" width="12.140625" style="1981" customWidth="1"/>
    <col min="1548" max="1548" width="11.7109375" style="1981" customWidth="1"/>
    <col min="1549" max="1549" width="13" style="1981" customWidth="1"/>
    <col min="1550" max="1550" width="10.140625" style="1981" customWidth="1"/>
    <col min="1551" max="1792" width="8.42578125" style="1981"/>
    <col min="1793" max="1793" width="20.7109375" style="1981" customWidth="1"/>
    <col min="1794" max="1794" width="4.140625" style="1981" customWidth="1"/>
    <col min="1795" max="1795" width="8.140625" style="1981" customWidth="1"/>
    <col min="1796" max="1796" width="8.42578125" style="1981"/>
    <col min="1797" max="1797" width="14.5703125" style="1981" customWidth="1"/>
    <col min="1798" max="1798" width="11" style="1981" customWidth="1"/>
    <col min="1799" max="1799" width="12.85546875" style="1981" customWidth="1"/>
    <col min="1800" max="1800" width="11" style="1981" customWidth="1"/>
    <col min="1801" max="1801" width="12.140625" style="1981" customWidth="1"/>
    <col min="1802" max="1802" width="11" style="1981" customWidth="1"/>
    <col min="1803" max="1803" width="12.140625" style="1981" customWidth="1"/>
    <col min="1804" max="1804" width="11.7109375" style="1981" customWidth="1"/>
    <col min="1805" max="1805" width="13" style="1981" customWidth="1"/>
    <col min="1806" max="1806" width="10.140625" style="1981" customWidth="1"/>
    <col min="1807" max="2048" width="8.42578125" style="1981"/>
    <col min="2049" max="2049" width="20.7109375" style="1981" customWidth="1"/>
    <col min="2050" max="2050" width="4.140625" style="1981" customWidth="1"/>
    <col min="2051" max="2051" width="8.140625" style="1981" customWidth="1"/>
    <col min="2052" max="2052" width="8.42578125" style="1981"/>
    <col min="2053" max="2053" width="14.5703125" style="1981" customWidth="1"/>
    <col min="2054" max="2054" width="11" style="1981" customWidth="1"/>
    <col min="2055" max="2055" width="12.85546875" style="1981" customWidth="1"/>
    <col min="2056" max="2056" width="11" style="1981" customWidth="1"/>
    <col min="2057" max="2057" width="12.140625" style="1981" customWidth="1"/>
    <col min="2058" max="2058" width="11" style="1981" customWidth="1"/>
    <col min="2059" max="2059" width="12.140625" style="1981" customWidth="1"/>
    <col min="2060" max="2060" width="11.7109375" style="1981" customWidth="1"/>
    <col min="2061" max="2061" width="13" style="1981" customWidth="1"/>
    <col min="2062" max="2062" width="10.140625" style="1981" customWidth="1"/>
    <col min="2063" max="2304" width="8.42578125" style="1981"/>
    <col min="2305" max="2305" width="20.7109375" style="1981" customWidth="1"/>
    <col min="2306" max="2306" width="4.140625" style="1981" customWidth="1"/>
    <col min="2307" max="2307" width="8.140625" style="1981" customWidth="1"/>
    <col min="2308" max="2308" width="8.42578125" style="1981"/>
    <col min="2309" max="2309" width="14.5703125" style="1981" customWidth="1"/>
    <col min="2310" max="2310" width="11" style="1981" customWidth="1"/>
    <col min="2311" max="2311" width="12.85546875" style="1981" customWidth="1"/>
    <col min="2312" max="2312" width="11" style="1981" customWidth="1"/>
    <col min="2313" max="2313" width="12.140625" style="1981" customWidth="1"/>
    <col min="2314" max="2314" width="11" style="1981" customWidth="1"/>
    <col min="2315" max="2315" width="12.140625" style="1981" customWidth="1"/>
    <col min="2316" max="2316" width="11.7109375" style="1981" customWidth="1"/>
    <col min="2317" max="2317" width="13" style="1981" customWidth="1"/>
    <col min="2318" max="2318" width="10.140625" style="1981" customWidth="1"/>
    <col min="2319" max="2560" width="8.42578125" style="1981"/>
    <col min="2561" max="2561" width="20.7109375" style="1981" customWidth="1"/>
    <col min="2562" max="2562" width="4.140625" style="1981" customWidth="1"/>
    <col min="2563" max="2563" width="8.140625" style="1981" customWidth="1"/>
    <col min="2564" max="2564" width="8.42578125" style="1981"/>
    <col min="2565" max="2565" width="14.5703125" style="1981" customWidth="1"/>
    <col min="2566" max="2566" width="11" style="1981" customWidth="1"/>
    <col min="2567" max="2567" width="12.85546875" style="1981" customWidth="1"/>
    <col min="2568" max="2568" width="11" style="1981" customWidth="1"/>
    <col min="2569" max="2569" width="12.140625" style="1981" customWidth="1"/>
    <col min="2570" max="2570" width="11" style="1981" customWidth="1"/>
    <col min="2571" max="2571" width="12.140625" style="1981" customWidth="1"/>
    <col min="2572" max="2572" width="11.7109375" style="1981" customWidth="1"/>
    <col min="2573" max="2573" width="13" style="1981" customWidth="1"/>
    <col min="2574" max="2574" width="10.140625" style="1981" customWidth="1"/>
    <col min="2575" max="2816" width="8.42578125" style="1981"/>
    <col min="2817" max="2817" width="20.7109375" style="1981" customWidth="1"/>
    <col min="2818" max="2818" width="4.140625" style="1981" customWidth="1"/>
    <col min="2819" max="2819" width="8.140625" style="1981" customWidth="1"/>
    <col min="2820" max="2820" width="8.42578125" style="1981"/>
    <col min="2821" max="2821" width="14.5703125" style="1981" customWidth="1"/>
    <col min="2822" max="2822" width="11" style="1981" customWidth="1"/>
    <col min="2823" max="2823" width="12.85546875" style="1981" customWidth="1"/>
    <col min="2824" max="2824" width="11" style="1981" customWidth="1"/>
    <col min="2825" max="2825" width="12.140625" style="1981" customWidth="1"/>
    <col min="2826" max="2826" width="11" style="1981" customWidth="1"/>
    <col min="2827" max="2827" width="12.140625" style="1981" customWidth="1"/>
    <col min="2828" max="2828" width="11.7109375" style="1981" customWidth="1"/>
    <col min="2829" max="2829" width="13" style="1981" customWidth="1"/>
    <col min="2830" max="2830" width="10.140625" style="1981" customWidth="1"/>
    <col min="2831" max="3072" width="8.42578125" style="1981"/>
    <col min="3073" max="3073" width="20.7109375" style="1981" customWidth="1"/>
    <col min="3074" max="3074" width="4.140625" style="1981" customWidth="1"/>
    <col min="3075" max="3075" width="8.140625" style="1981" customWidth="1"/>
    <col min="3076" max="3076" width="8.42578125" style="1981"/>
    <col min="3077" max="3077" width="14.5703125" style="1981" customWidth="1"/>
    <col min="3078" max="3078" width="11" style="1981" customWidth="1"/>
    <col min="3079" max="3079" width="12.85546875" style="1981" customWidth="1"/>
    <col min="3080" max="3080" width="11" style="1981" customWidth="1"/>
    <col min="3081" max="3081" width="12.140625" style="1981" customWidth="1"/>
    <col min="3082" max="3082" width="11" style="1981" customWidth="1"/>
    <col min="3083" max="3083" width="12.140625" style="1981" customWidth="1"/>
    <col min="3084" max="3084" width="11.7109375" style="1981" customWidth="1"/>
    <col min="3085" max="3085" width="13" style="1981" customWidth="1"/>
    <col min="3086" max="3086" width="10.140625" style="1981" customWidth="1"/>
    <col min="3087" max="3328" width="8.42578125" style="1981"/>
    <col min="3329" max="3329" width="20.7109375" style="1981" customWidth="1"/>
    <col min="3330" max="3330" width="4.140625" style="1981" customWidth="1"/>
    <col min="3331" max="3331" width="8.140625" style="1981" customWidth="1"/>
    <col min="3332" max="3332" width="8.42578125" style="1981"/>
    <col min="3333" max="3333" width="14.5703125" style="1981" customWidth="1"/>
    <col min="3334" max="3334" width="11" style="1981" customWidth="1"/>
    <col min="3335" max="3335" width="12.85546875" style="1981" customWidth="1"/>
    <col min="3336" max="3336" width="11" style="1981" customWidth="1"/>
    <col min="3337" max="3337" width="12.140625" style="1981" customWidth="1"/>
    <col min="3338" max="3338" width="11" style="1981" customWidth="1"/>
    <col min="3339" max="3339" width="12.140625" style="1981" customWidth="1"/>
    <col min="3340" max="3340" width="11.7109375" style="1981" customWidth="1"/>
    <col min="3341" max="3341" width="13" style="1981" customWidth="1"/>
    <col min="3342" max="3342" width="10.140625" style="1981" customWidth="1"/>
    <col min="3343" max="3584" width="8.42578125" style="1981"/>
    <col min="3585" max="3585" width="20.7109375" style="1981" customWidth="1"/>
    <col min="3586" max="3586" width="4.140625" style="1981" customWidth="1"/>
    <col min="3587" max="3587" width="8.140625" style="1981" customWidth="1"/>
    <col min="3588" max="3588" width="8.42578125" style="1981"/>
    <col min="3589" max="3589" width="14.5703125" style="1981" customWidth="1"/>
    <col min="3590" max="3590" width="11" style="1981" customWidth="1"/>
    <col min="3591" max="3591" width="12.85546875" style="1981" customWidth="1"/>
    <col min="3592" max="3592" width="11" style="1981" customWidth="1"/>
    <col min="3593" max="3593" width="12.140625" style="1981" customWidth="1"/>
    <col min="3594" max="3594" width="11" style="1981" customWidth="1"/>
    <col min="3595" max="3595" width="12.140625" style="1981" customWidth="1"/>
    <col min="3596" max="3596" width="11.7109375" style="1981" customWidth="1"/>
    <col min="3597" max="3597" width="13" style="1981" customWidth="1"/>
    <col min="3598" max="3598" width="10.140625" style="1981" customWidth="1"/>
    <col min="3599" max="3840" width="8.42578125" style="1981"/>
    <col min="3841" max="3841" width="20.7109375" style="1981" customWidth="1"/>
    <col min="3842" max="3842" width="4.140625" style="1981" customWidth="1"/>
    <col min="3843" max="3843" width="8.140625" style="1981" customWidth="1"/>
    <col min="3844" max="3844" width="8.42578125" style="1981"/>
    <col min="3845" max="3845" width="14.5703125" style="1981" customWidth="1"/>
    <col min="3846" max="3846" width="11" style="1981" customWidth="1"/>
    <col min="3847" max="3847" width="12.85546875" style="1981" customWidth="1"/>
    <col min="3848" max="3848" width="11" style="1981" customWidth="1"/>
    <col min="3849" max="3849" width="12.140625" style="1981" customWidth="1"/>
    <col min="3850" max="3850" width="11" style="1981" customWidth="1"/>
    <col min="3851" max="3851" width="12.140625" style="1981" customWidth="1"/>
    <col min="3852" max="3852" width="11.7109375" style="1981" customWidth="1"/>
    <col min="3853" max="3853" width="13" style="1981" customWidth="1"/>
    <col min="3854" max="3854" width="10.140625" style="1981" customWidth="1"/>
    <col min="3855" max="4096" width="8.42578125" style="1981"/>
    <col min="4097" max="4097" width="20.7109375" style="1981" customWidth="1"/>
    <col min="4098" max="4098" width="4.140625" style="1981" customWidth="1"/>
    <col min="4099" max="4099" width="8.140625" style="1981" customWidth="1"/>
    <col min="4100" max="4100" width="8.42578125" style="1981"/>
    <col min="4101" max="4101" width="14.5703125" style="1981" customWidth="1"/>
    <col min="4102" max="4102" width="11" style="1981" customWidth="1"/>
    <col min="4103" max="4103" width="12.85546875" style="1981" customWidth="1"/>
    <col min="4104" max="4104" width="11" style="1981" customWidth="1"/>
    <col min="4105" max="4105" width="12.140625" style="1981" customWidth="1"/>
    <col min="4106" max="4106" width="11" style="1981" customWidth="1"/>
    <col min="4107" max="4107" width="12.140625" style="1981" customWidth="1"/>
    <col min="4108" max="4108" width="11.7109375" style="1981" customWidth="1"/>
    <col min="4109" max="4109" width="13" style="1981" customWidth="1"/>
    <col min="4110" max="4110" width="10.140625" style="1981" customWidth="1"/>
    <col min="4111" max="4352" width="8.42578125" style="1981"/>
    <col min="4353" max="4353" width="20.7109375" style="1981" customWidth="1"/>
    <col min="4354" max="4354" width="4.140625" style="1981" customWidth="1"/>
    <col min="4355" max="4355" width="8.140625" style="1981" customWidth="1"/>
    <col min="4356" max="4356" width="8.42578125" style="1981"/>
    <col min="4357" max="4357" width="14.5703125" style="1981" customWidth="1"/>
    <col min="4358" max="4358" width="11" style="1981" customWidth="1"/>
    <col min="4359" max="4359" width="12.85546875" style="1981" customWidth="1"/>
    <col min="4360" max="4360" width="11" style="1981" customWidth="1"/>
    <col min="4361" max="4361" width="12.140625" style="1981" customWidth="1"/>
    <col min="4362" max="4362" width="11" style="1981" customWidth="1"/>
    <col min="4363" max="4363" width="12.140625" style="1981" customWidth="1"/>
    <col min="4364" max="4364" width="11.7109375" style="1981" customWidth="1"/>
    <col min="4365" max="4365" width="13" style="1981" customWidth="1"/>
    <col min="4366" max="4366" width="10.140625" style="1981" customWidth="1"/>
    <col min="4367" max="4608" width="8.42578125" style="1981"/>
    <col min="4609" max="4609" width="20.7109375" style="1981" customWidth="1"/>
    <col min="4610" max="4610" width="4.140625" style="1981" customWidth="1"/>
    <col min="4611" max="4611" width="8.140625" style="1981" customWidth="1"/>
    <col min="4612" max="4612" width="8.42578125" style="1981"/>
    <col min="4613" max="4613" width="14.5703125" style="1981" customWidth="1"/>
    <col min="4614" max="4614" width="11" style="1981" customWidth="1"/>
    <col min="4615" max="4615" width="12.85546875" style="1981" customWidth="1"/>
    <col min="4616" max="4616" width="11" style="1981" customWidth="1"/>
    <col min="4617" max="4617" width="12.140625" style="1981" customWidth="1"/>
    <col min="4618" max="4618" width="11" style="1981" customWidth="1"/>
    <col min="4619" max="4619" width="12.140625" style="1981" customWidth="1"/>
    <col min="4620" max="4620" width="11.7109375" style="1981" customWidth="1"/>
    <col min="4621" max="4621" width="13" style="1981" customWidth="1"/>
    <col min="4622" max="4622" width="10.140625" style="1981" customWidth="1"/>
    <col min="4623" max="4864" width="8.42578125" style="1981"/>
    <col min="4865" max="4865" width="20.7109375" style="1981" customWidth="1"/>
    <col min="4866" max="4866" width="4.140625" style="1981" customWidth="1"/>
    <col min="4867" max="4867" width="8.140625" style="1981" customWidth="1"/>
    <col min="4868" max="4868" width="8.42578125" style="1981"/>
    <col min="4869" max="4869" width="14.5703125" style="1981" customWidth="1"/>
    <col min="4870" max="4870" width="11" style="1981" customWidth="1"/>
    <col min="4871" max="4871" width="12.85546875" style="1981" customWidth="1"/>
    <col min="4872" max="4872" width="11" style="1981" customWidth="1"/>
    <col min="4873" max="4873" width="12.140625" style="1981" customWidth="1"/>
    <col min="4874" max="4874" width="11" style="1981" customWidth="1"/>
    <col min="4875" max="4875" width="12.140625" style="1981" customWidth="1"/>
    <col min="4876" max="4876" width="11.7109375" style="1981" customWidth="1"/>
    <col min="4877" max="4877" width="13" style="1981" customWidth="1"/>
    <col min="4878" max="4878" width="10.140625" style="1981" customWidth="1"/>
    <col min="4879" max="5120" width="8.42578125" style="1981"/>
    <col min="5121" max="5121" width="20.7109375" style="1981" customWidth="1"/>
    <col min="5122" max="5122" width="4.140625" style="1981" customWidth="1"/>
    <col min="5123" max="5123" width="8.140625" style="1981" customWidth="1"/>
    <col min="5124" max="5124" width="8.42578125" style="1981"/>
    <col min="5125" max="5125" width="14.5703125" style="1981" customWidth="1"/>
    <col min="5126" max="5126" width="11" style="1981" customWidth="1"/>
    <col min="5127" max="5127" width="12.85546875" style="1981" customWidth="1"/>
    <col min="5128" max="5128" width="11" style="1981" customWidth="1"/>
    <col min="5129" max="5129" width="12.140625" style="1981" customWidth="1"/>
    <col min="5130" max="5130" width="11" style="1981" customWidth="1"/>
    <col min="5131" max="5131" width="12.140625" style="1981" customWidth="1"/>
    <col min="5132" max="5132" width="11.7109375" style="1981" customWidth="1"/>
    <col min="5133" max="5133" width="13" style="1981" customWidth="1"/>
    <col min="5134" max="5134" width="10.140625" style="1981" customWidth="1"/>
    <col min="5135" max="5376" width="8.42578125" style="1981"/>
    <col min="5377" max="5377" width="20.7109375" style="1981" customWidth="1"/>
    <col min="5378" max="5378" width="4.140625" style="1981" customWidth="1"/>
    <col min="5379" max="5379" width="8.140625" style="1981" customWidth="1"/>
    <col min="5380" max="5380" width="8.42578125" style="1981"/>
    <col min="5381" max="5381" width="14.5703125" style="1981" customWidth="1"/>
    <col min="5382" max="5382" width="11" style="1981" customWidth="1"/>
    <col min="5383" max="5383" width="12.85546875" style="1981" customWidth="1"/>
    <col min="5384" max="5384" width="11" style="1981" customWidth="1"/>
    <col min="5385" max="5385" width="12.140625" style="1981" customWidth="1"/>
    <col min="5386" max="5386" width="11" style="1981" customWidth="1"/>
    <col min="5387" max="5387" width="12.140625" style="1981" customWidth="1"/>
    <col min="5388" max="5388" width="11.7109375" style="1981" customWidth="1"/>
    <col min="5389" max="5389" width="13" style="1981" customWidth="1"/>
    <col min="5390" max="5390" width="10.140625" style="1981" customWidth="1"/>
    <col min="5391" max="5632" width="8.42578125" style="1981"/>
    <col min="5633" max="5633" width="20.7109375" style="1981" customWidth="1"/>
    <col min="5634" max="5634" width="4.140625" style="1981" customWidth="1"/>
    <col min="5635" max="5635" width="8.140625" style="1981" customWidth="1"/>
    <col min="5636" max="5636" width="8.42578125" style="1981"/>
    <col min="5637" max="5637" width="14.5703125" style="1981" customWidth="1"/>
    <col min="5638" max="5638" width="11" style="1981" customWidth="1"/>
    <col min="5639" max="5639" width="12.85546875" style="1981" customWidth="1"/>
    <col min="5640" max="5640" width="11" style="1981" customWidth="1"/>
    <col min="5641" max="5641" width="12.140625" style="1981" customWidth="1"/>
    <col min="5642" max="5642" width="11" style="1981" customWidth="1"/>
    <col min="5643" max="5643" width="12.140625" style="1981" customWidth="1"/>
    <col min="5644" max="5644" width="11.7109375" style="1981" customWidth="1"/>
    <col min="5645" max="5645" width="13" style="1981" customWidth="1"/>
    <col min="5646" max="5646" width="10.140625" style="1981" customWidth="1"/>
    <col min="5647" max="5888" width="8.42578125" style="1981"/>
    <col min="5889" max="5889" width="20.7109375" style="1981" customWidth="1"/>
    <col min="5890" max="5890" width="4.140625" style="1981" customWidth="1"/>
    <col min="5891" max="5891" width="8.140625" style="1981" customWidth="1"/>
    <col min="5892" max="5892" width="8.42578125" style="1981"/>
    <col min="5893" max="5893" width="14.5703125" style="1981" customWidth="1"/>
    <col min="5894" max="5894" width="11" style="1981" customWidth="1"/>
    <col min="5895" max="5895" width="12.85546875" style="1981" customWidth="1"/>
    <col min="5896" max="5896" width="11" style="1981" customWidth="1"/>
    <col min="5897" max="5897" width="12.140625" style="1981" customWidth="1"/>
    <col min="5898" max="5898" width="11" style="1981" customWidth="1"/>
    <col min="5899" max="5899" width="12.140625" style="1981" customWidth="1"/>
    <col min="5900" max="5900" width="11.7109375" style="1981" customWidth="1"/>
    <col min="5901" max="5901" width="13" style="1981" customWidth="1"/>
    <col min="5902" max="5902" width="10.140625" style="1981" customWidth="1"/>
    <col min="5903" max="6144" width="8.42578125" style="1981"/>
    <col min="6145" max="6145" width="20.7109375" style="1981" customWidth="1"/>
    <col min="6146" max="6146" width="4.140625" style="1981" customWidth="1"/>
    <col min="6147" max="6147" width="8.140625" style="1981" customWidth="1"/>
    <col min="6148" max="6148" width="8.42578125" style="1981"/>
    <col min="6149" max="6149" width="14.5703125" style="1981" customWidth="1"/>
    <col min="6150" max="6150" width="11" style="1981" customWidth="1"/>
    <col min="6151" max="6151" width="12.85546875" style="1981" customWidth="1"/>
    <col min="6152" max="6152" width="11" style="1981" customWidth="1"/>
    <col min="6153" max="6153" width="12.140625" style="1981" customWidth="1"/>
    <col min="6154" max="6154" width="11" style="1981" customWidth="1"/>
    <col min="6155" max="6155" width="12.140625" style="1981" customWidth="1"/>
    <col min="6156" max="6156" width="11.7109375" style="1981" customWidth="1"/>
    <col min="6157" max="6157" width="13" style="1981" customWidth="1"/>
    <col min="6158" max="6158" width="10.140625" style="1981" customWidth="1"/>
    <col min="6159" max="6400" width="8.42578125" style="1981"/>
    <col min="6401" max="6401" width="20.7109375" style="1981" customWidth="1"/>
    <col min="6402" max="6402" width="4.140625" style="1981" customWidth="1"/>
    <col min="6403" max="6403" width="8.140625" style="1981" customWidth="1"/>
    <col min="6404" max="6404" width="8.42578125" style="1981"/>
    <col min="6405" max="6405" width="14.5703125" style="1981" customWidth="1"/>
    <col min="6406" max="6406" width="11" style="1981" customWidth="1"/>
    <col min="6407" max="6407" width="12.85546875" style="1981" customWidth="1"/>
    <col min="6408" max="6408" width="11" style="1981" customWidth="1"/>
    <col min="6409" max="6409" width="12.140625" style="1981" customWidth="1"/>
    <col min="6410" max="6410" width="11" style="1981" customWidth="1"/>
    <col min="6411" max="6411" width="12.140625" style="1981" customWidth="1"/>
    <col min="6412" max="6412" width="11.7109375" style="1981" customWidth="1"/>
    <col min="6413" max="6413" width="13" style="1981" customWidth="1"/>
    <col min="6414" max="6414" width="10.140625" style="1981" customWidth="1"/>
    <col min="6415" max="6656" width="8.42578125" style="1981"/>
    <col min="6657" max="6657" width="20.7109375" style="1981" customWidth="1"/>
    <col min="6658" max="6658" width="4.140625" style="1981" customWidth="1"/>
    <col min="6659" max="6659" width="8.140625" style="1981" customWidth="1"/>
    <col min="6660" max="6660" width="8.42578125" style="1981"/>
    <col min="6661" max="6661" width="14.5703125" style="1981" customWidth="1"/>
    <col min="6662" max="6662" width="11" style="1981" customWidth="1"/>
    <col min="6663" max="6663" width="12.85546875" style="1981" customWidth="1"/>
    <col min="6664" max="6664" width="11" style="1981" customWidth="1"/>
    <col min="6665" max="6665" width="12.140625" style="1981" customWidth="1"/>
    <col min="6666" max="6666" width="11" style="1981" customWidth="1"/>
    <col min="6667" max="6667" width="12.140625" style="1981" customWidth="1"/>
    <col min="6668" max="6668" width="11.7109375" style="1981" customWidth="1"/>
    <col min="6669" max="6669" width="13" style="1981" customWidth="1"/>
    <col min="6670" max="6670" width="10.140625" style="1981" customWidth="1"/>
    <col min="6671" max="6912" width="8.42578125" style="1981"/>
    <col min="6913" max="6913" width="20.7109375" style="1981" customWidth="1"/>
    <col min="6914" max="6914" width="4.140625" style="1981" customWidth="1"/>
    <col min="6915" max="6915" width="8.140625" style="1981" customWidth="1"/>
    <col min="6916" max="6916" width="8.42578125" style="1981"/>
    <col min="6917" max="6917" width="14.5703125" style="1981" customWidth="1"/>
    <col min="6918" max="6918" width="11" style="1981" customWidth="1"/>
    <col min="6919" max="6919" width="12.85546875" style="1981" customWidth="1"/>
    <col min="6920" max="6920" width="11" style="1981" customWidth="1"/>
    <col min="6921" max="6921" width="12.140625" style="1981" customWidth="1"/>
    <col min="6922" max="6922" width="11" style="1981" customWidth="1"/>
    <col min="6923" max="6923" width="12.140625" style="1981" customWidth="1"/>
    <col min="6924" max="6924" width="11.7109375" style="1981" customWidth="1"/>
    <col min="6925" max="6925" width="13" style="1981" customWidth="1"/>
    <col min="6926" max="6926" width="10.140625" style="1981" customWidth="1"/>
    <col min="6927" max="7168" width="8.42578125" style="1981"/>
    <col min="7169" max="7169" width="20.7109375" style="1981" customWidth="1"/>
    <col min="7170" max="7170" width="4.140625" style="1981" customWidth="1"/>
    <col min="7171" max="7171" width="8.140625" style="1981" customWidth="1"/>
    <col min="7172" max="7172" width="8.42578125" style="1981"/>
    <col min="7173" max="7173" width="14.5703125" style="1981" customWidth="1"/>
    <col min="7174" max="7174" width="11" style="1981" customWidth="1"/>
    <col min="7175" max="7175" width="12.85546875" style="1981" customWidth="1"/>
    <col min="7176" max="7176" width="11" style="1981" customWidth="1"/>
    <col min="7177" max="7177" width="12.140625" style="1981" customWidth="1"/>
    <col min="7178" max="7178" width="11" style="1981" customWidth="1"/>
    <col min="7179" max="7179" width="12.140625" style="1981" customWidth="1"/>
    <col min="7180" max="7180" width="11.7109375" style="1981" customWidth="1"/>
    <col min="7181" max="7181" width="13" style="1981" customWidth="1"/>
    <col min="7182" max="7182" width="10.140625" style="1981" customWidth="1"/>
    <col min="7183" max="7424" width="8.42578125" style="1981"/>
    <col min="7425" max="7425" width="20.7109375" style="1981" customWidth="1"/>
    <col min="7426" max="7426" width="4.140625" style="1981" customWidth="1"/>
    <col min="7427" max="7427" width="8.140625" style="1981" customWidth="1"/>
    <col min="7428" max="7428" width="8.42578125" style="1981"/>
    <col min="7429" max="7429" width="14.5703125" style="1981" customWidth="1"/>
    <col min="7430" max="7430" width="11" style="1981" customWidth="1"/>
    <col min="7431" max="7431" width="12.85546875" style="1981" customWidth="1"/>
    <col min="7432" max="7432" width="11" style="1981" customWidth="1"/>
    <col min="7433" max="7433" width="12.140625" style="1981" customWidth="1"/>
    <col min="7434" max="7434" width="11" style="1981" customWidth="1"/>
    <col min="7435" max="7435" width="12.140625" style="1981" customWidth="1"/>
    <col min="7436" max="7436" width="11.7109375" style="1981" customWidth="1"/>
    <col min="7437" max="7437" width="13" style="1981" customWidth="1"/>
    <col min="7438" max="7438" width="10.140625" style="1981" customWidth="1"/>
    <col min="7439" max="7680" width="8.42578125" style="1981"/>
    <col min="7681" max="7681" width="20.7109375" style="1981" customWidth="1"/>
    <col min="7682" max="7682" width="4.140625" style="1981" customWidth="1"/>
    <col min="7683" max="7683" width="8.140625" style="1981" customWidth="1"/>
    <col min="7684" max="7684" width="8.42578125" style="1981"/>
    <col min="7685" max="7685" width="14.5703125" style="1981" customWidth="1"/>
    <col min="7686" max="7686" width="11" style="1981" customWidth="1"/>
    <col min="7687" max="7687" width="12.85546875" style="1981" customWidth="1"/>
    <col min="7688" max="7688" width="11" style="1981" customWidth="1"/>
    <col min="7689" max="7689" width="12.140625" style="1981" customWidth="1"/>
    <col min="7690" max="7690" width="11" style="1981" customWidth="1"/>
    <col min="7691" max="7691" width="12.140625" style="1981" customWidth="1"/>
    <col min="7692" max="7692" width="11.7109375" style="1981" customWidth="1"/>
    <col min="7693" max="7693" width="13" style="1981" customWidth="1"/>
    <col min="7694" max="7694" width="10.140625" style="1981" customWidth="1"/>
    <col min="7695" max="7936" width="8.42578125" style="1981"/>
    <col min="7937" max="7937" width="20.7109375" style="1981" customWidth="1"/>
    <col min="7938" max="7938" width="4.140625" style="1981" customWidth="1"/>
    <col min="7939" max="7939" width="8.140625" style="1981" customWidth="1"/>
    <col min="7940" max="7940" width="8.42578125" style="1981"/>
    <col min="7941" max="7941" width="14.5703125" style="1981" customWidth="1"/>
    <col min="7942" max="7942" width="11" style="1981" customWidth="1"/>
    <col min="7943" max="7943" width="12.85546875" style="1981" customWidth="1"/>
    <col min="7944" max="7944" width="11" style="1981" customWidth="1"/>
    <col min="7945" max="7945" width="12.140625" style="1981" customWidth="1"/>
    <col min="7946" max="7946" width="11" style="1981" customWidth="1"/>
    <col min="7947" max="7947" width="12.140625" style="1981" customWidth="1"/>
    <col min="7948" max="7948" width="11.7109375" style="1981" customWidth="1"/>
    <col min="7949" max="7949" width="13" style="1981" customWidth="1"/>
    <col min="7950" max="7950" width="10.140625" style="1981" customWidth="1"/>
    <col min="7951" max="8192" width="8.42578125" style="1981"/>
    <col min="8193" max="8193" width="20.7109375" style="1981" customWidth="1"/>
    <col min="8194" max="8194" width="4.140625" style="1981" customWidth="1"/>
    <col min="8195" max="8195" width="8.140625" style="1981" customWidth="1"/>
    <col min="8196" max="8196" width="8.42578125" style="1981"/>
    <col min="8197" max="8197" width="14.5703125" style="1981" customWidth="1"/>
    <col min="8198" max="8198" width="11" style="1981" customWidth="1"/>
    <col min="8199" max="8199" width="12.85546875" style="1981" customWidth="1"/>
    <col min="8200" max="8200" width="11" style="1981" customWidth="1"/>
    <col min="8201" max="8201" width="12.140625" style="1981" customWidth="1"/>
    <col min="8202" max="8202" width="11" style="1981" customWidth="1"/>
    <col min="8203" max="8203" width="12.140625" style="1981" customWidth="1"/>
    <col min="8204" max="8204" width="11.7109375" style="1981" customWidth="1"/>
    <col min="8205" max="8205" width="13" style="1981" customWidth="1"/>
    <col min="8206" max="8206" width="10.140625" style="1981" customWidth="1"/>
    <col min="8207" max="8448" width="8.42578125" style="1981"/>
    <col min="8449" max="8449" width="20.7109375" style="1981" customWidth="1"/>
    <col min="8450" max="8450" width="4.140625" style="1981" customWidth="1"/>
    <col min="8451" max="8451" width="8.140625" style="1981" customWidth="1"/>
    <col min="8452" max="8452" width="8.42578125" style="1981"/>
    <col min="8453" max="8453" width="14.5703125" style="1981" customWidth="1"/>
    <col min="8454" max="8454" width="11" style="1981" customWidth="1"/>
    <col min="8455" max="8455" width="12.85546875" style="1981" customWidth="1"/>
    <col min="8456" max="8456" width="11" style="1981" customWidth="1"/>
    <col min="8457" max="8457" width="12.140625" style="1981" customWidth="1"/>
    <col min="8458" max="8458" width="11" style="1981" customWidth="1"/>
    <col min="8459" max="8459" width="12.140625" style="1981" customWidth="1"/>
    <col min="8460" max="8460" width="11.7109375" style="1981" customWidth="1"/>
    <col min="8461" max="8461" width="13" style="1981" customWidth="1"/>
    <col min="8462" max="8462" width="10.140625" style="1981" customWidth="1"/>
    <col min="8463" max="8704" width="8.42578125" style="1981"/>
    <col min="8705" max="8705" width="20.7109375" style="1981" customWidth="1"/>
    <col min="8706" max="8706" width="4.140625" style="1981" customWidth="1"/>
    <col min="8707" max="8707" width="8.140625" style="1981" customWidth="1"/>
    <col min="8708" max="8708" width="8.42578125" style="1981"/>
    <col min="8709" max="8709" width="14.5703125" style="1981" customWidth="1"/>
    <col min="8710" max="8710" width="11" style="1981" customWidth="1"/>
    <col min="8711" max="8711" width="12.85546875" style="1981" customWidth="1"/>
    <col min="8712" max="8712" width="11" style="1981" customWidth="1"/>
    <col min="8713" max="8713" width="12.140625" style="1981" customWidth="1"/>
    <col min="8714" max="8714" width="11" style="1981" customWidth="1"/>
    <col min="8715" max="8715" width="12.140625" style="1981" customWidth="1"/>
    <col min="8716" max="8716" width="11.7109375" style="1981" customWidth="1"/>
    <col min="8717" max="8717" width="13" style="1981" customWidth="1"/>
    <col min="8718" max="8718" width="10.140625" style="1981" customWidth="1"/>
    <col min="8719" max="8960" width="8.42578125" style="1981"/>
    <col min="8961" max="8961" width="20.7109375" style="1981" customWidth="1"/>
    <col min="8962" max="8962" width="4.140625" style="1981" customWidth="1"/>
    <col min="8963" max="8963" width="8.140625" style="1981" customWidth="1"/>
    <col min="8964" max="8964" width="8.42578125" style="1981"/>
    <col min="8965" max="8965" width="14.5703125" style="1981" customWidth="1"/>
    <col min="8966" max="8966" width="11" style="1981" customWidth="1"/>
    <col min="8967" max="8967" width="12.85546875" style="1981" customWidth="1"/>
    <col min="8968" max="8968" width="11" style="1981" customWidth="1"/>
    <col min="8969" max="8969" width="12.140625" style="1981" customWidth="1"/>
    <col min="8970" max="8970" width="11" style="1981" customWidth="1"/>
    <col min="8971" max="8971" width="12.140625" style="1981" customWidth="1"/>
    <col min="8972" max="8972" width="11.7109375" style="1981" customWidth="1"/>
    <col min="8973" max="8973" width="13" style="1981" customWidth="1"/>
    <col min="8974" max="8974" width="10.140625" style="1981" customWidth="1"/>
    <col min="8975" max="9216" width="8.42578125" style="1981"/>
    <col min="9217" max="9217" width="20.7109375" style="1981" customWidth="1"/>
    <col min="9218" max="9218" width="4.140625" style="1981" customWidth="1"/>
    <col min="9219" max="9219" width="8.140625" style="1981" customWidth="1"/>
    <col min="9220" max="9220" width="8.42578125" style="1981"/>
    <col min="9221" max="9221" width="14.5703125" style="1981" customWidth="1"/>
    <col min="9222" max="9222" width="11" style="1981" customWidth="1"/>
    <col min="9223" max="9223" width="12.85546875" style="1981" customWidth="1"/>
    <col min="9224" max="9224" width="11" style="1981" customWidth="1"/>
    <col min="9225" max="9225" width="12.140625" style="1981" customWidth="1"/>
    <col min="9226" max="9226" width="11" style="1981" customWidth="1"/>
    <col min="9227" max="9227" width="12.140625" style="1981" customWidth="1"/>
    <col min="9228" max="9228" width="11.7109375" style="1981" customWidth="1"/>
    <col min="9229" max="9229" width="13" style="1981" customWidth="1"/>
    <col min="9230" max="9230" width="10.140625" style="1981" customWidth="1"/>
    <col min="9231" max="9472" width="8.42578125" style="1981"/>
    <col min="9473" max="9473" width="20.7109375" style="1981" customWidth="1"/>
    <col min="9474" max="9474" width="4.140625" style="1981" customWidth="1"/>
    <col min="9475" max="9475" width="8.140625" style="1981" customWidth="1"/>
    <col min="9476" max="9476" width="8.42578125" style="1981"/>
    <col min="9477" max="9477" width="14.5703125" style="1981" customWidth="1"/>
    <col min="9478" max="9478" width="11" style="1981" customWidth="1"/>
    <col min="9479" max="9479" width="12.85546875" style="1981" customWidth="1"/>
    <col min="9480" max="9480" width="11" style="1981" customWidth="1"/>
    <col min="9481" max="9481" width="12.140625" style="1981" customWidth="1"/>
    <col min="9482" max="9482" width="11" style="1981" customWidth="1"/>
    <col min="9483" max="9483" width="12.140625" style="1981" customWidth="1"/>
    <col min="9484" max="9484" width="11.7109375" style="1981" customWidth="1"/>
    <col min="9485" max="9485" width="13" style="1981" customWidth="1"/>
    <col min="9486" max="9486" width="10.140625" style="1981" customWidth="1"/>
    <col min="9487" max="9728" width="8.42578125" style="1981"/>
    <col min="9729" max="9729" width="20.7109375" style="1981" customWidth="1"/>
    <col min="9730" max="9730" width="4.140625" style="1981" customWidth="1"/>
    <col min="9731" max="9731" width="8.140625" style="1981" customWidth="1"/>
    <col min="9732" max="9732" width="8.42578125" style="1981"/>
    <col min="9733" max="9733" width="14.5703125" style="1981" customWidth="1"/>
    <col min="9734" max="9734" width="11" style="1981" customWidth="1"/>
    <col min="9735" max="9735" width="12.85546875" style="1981" customWidth="1"/>
    <col min="9736" max="9736" width="11" style="1981" customWidth="1"/>
    <col min="9737" max="9737" width="12.140625" style="1981" customWidth="1"/>
    <col min="9738" max="9738" width="11" style="1981" customWidth="1"/>
    <col min="9739" max="9739" width="12.140625" style="1981" customWidth="1"/>
    <col min="9740" max="9740" width="11.7109375" style="1981" customWidth="1"/>
    <col min="9741" max="9741" width="13" style="1981" customWidth="1"/>
    <col min="9742" max="9742" width="10.140625" style="1981" customWidth="1"/>
    <col min="9743" max="9984" width="8.42578125" style="1981"/>
    <col min="9985" max="9985" width="20.7109375" style="1981" customWidth="1"/>
    <col min="9986" max="9986" width="4.140625" style="1981" customWidth="1"/>
    <col min="9987" max="9987" width="8.140625" style="1981" customWidth="1"/>
    <col min="9988" max="9988" width="8.42578125" style="1981"/>
    <col min="9989" max="9989" width="14.5703125" style="1981" customWidth="1"/>
    <col min="9990" max="9990" width="11" style="1981" customWidth="1"/>
    <col min="9991" max="9991" width="12.85546875" style="1981" customWidth="1"/>
    <col min="9992" max="9992" width="11" style="1981" customWidth="1"/>
    <col min="9993" max="9993" width="12.140625" style="1981" customWidth="1"/>
    <col min="9994" max="9994" width="11" style="1981" customWidth="1"/>
    <col min="9995" max="9995" width="12.140625" style="1981" customWidth="1"/>
    <col min="9996" max="9996" width="11.7109375" style="1981" customWidth="1"/>
    <col min="9997" max="9997" width="13" style="1981" customWidth="1"/>
    <col min="9998" max="9998" width="10.140625" style="1981" customWidth="1"/>
    <col min="9999" max="10240" width="8.42578125" style="1981"/>
    <col min="10241" max="10241" width="20.7109375" style="1981" customWidth="1"/>
    <col min="10242" max="10242" width="4.140625" style="1981" customWidth="1"/>
    <col min="10243" max="10243" width="8.140625" style="1981" customWidth="1"/>
    <col min="10244" max="10244" width="8.42578125" style="1981"/>
    <col min="10245" max="10245" width="14.5703125" style="1981" customWidth="1"/>
    <col min="10246" max="10246" width="11" style="1981" customWidth="1"/>
    <col min="10247" max="10247" width="12.85546875" style="1981" customWidth="1"/>
    <col min="10248" max="10248" width="11" style="1981" customWidth="1"/>
    <col min="10249" max="10249" width="12.140625" style="1981" customWidth="1"/>
    <col min="10250" max="10250" width="11" style="1981" customWidth="1"/>
    <col min="10251" max="10251" width="12.140625" style="1981" customWidth="1"/>
    <col min="10252" max="10252" width="11.7109375" style="1981" customWidth="1"/>
    <col min="10253" max="10253" width="13" style="1981" customWidth="1"/>
    <col min="10254" max="10254" width="10.140625" style="1981" customWidth="1"/>
    <col min="10255" max="10496" width="8.42578125" style="1981"/>
    <col min="10497" max="10497" width="20.7109375" style="1981" customWidth="1"/>
    <col min="10498" max="10498" width="4.140625" style="1981" customWidth="1"/>
    <col min="10499" max="10499" width="8.140625" style="1981" customWidth="1"/>
    <col min="10500" max="10500" width="8.42578125" style="1981"/>
    <col min="10501" max="10501" width="14.5703125" style="1981" customWidth="1"/>
    <col min="10502" max="10502" width="11" style="1981" customWidth="1"/>
    <col min="10503" max="10503" width="12.85546875" style="1981" customWidth="1"/>
    <col min="10504" max="10504" width="11" style="1981" customWidth="1"/>
    <col min="10505" max="10505" width="12.140625" style="1981" customWidth="1"/>
    <col min="10506" max="10506" width="11" style="1981" customWidth="1"/>
    <col min="10507" max="10507" width="12.140625" style="1981" customWidth="1"/>
    <col min="10508" max="10508" width="11.7109375" style="1981" customWidth="1"/>
    <col min="10509" max="10509" width="13" style="1981" customWidth="1"/>
    <col min="10510" max="10510" width="10.140625" style="1981" customWidth="1"/>
    <col min="10511" max="10752" width="8.42578125" style="1981"/>
    <col min="10753" max="10753" width="20.7109375" style="1981" customWidth="1"/>
    <col min="10754" max="10754" width="4.140625" style="1981" customWidth="1"/>
    <col min="10755" max="10755" width="8.140625" style="1981" customWidth="1"/>
    <col min="10756" max="10756" width="8.42578125" style="1981"/>
    <col min="10757" max="10757" width="14.5703125" style="1981" customWidth="1"/>
    <col min="10758" max="10758" width="11" style="1981" customWidth="1"/>
    <col min="10759" max="10759" width="12.85546875" style="1981" customWidth="1"/>
    <col min="10760" max="10760" width="11" style="1981" customWidth="1"/>
    <col min="10761" max="10761" width="12.140625" style="1981" customWidth="1"/>
    <col min="10762" max="10762" width="11" style="1981" customWidth="1"/>
    <col min="10763" max="10763" width="12.140625" style="1981" customWidth="1"/>
    <col min="10764" max="10764" width="11.7109375" style="1981" customWidth="1"/>
    <col min="10765" max="10765" width="13" style="1981" customWidth="1"/>
    <col min="10766" max="10766" width="10.140625" style="1981" customWidth="1"/>
    <col min="10767" max="11008" width="8.42578125" style="1981"/>
    <col min="11009" max="11009" width="20.7109375" style="1981" customWidth="1"/>
    <col min="11010" max="11010" width="4.140625" style="1981" customWidth="1"/>
    <col min="11011" max="11011" width="8.140625" style="1981" customWidth="1"/>
    <col min="11012" max="11012" width="8.42578125" style="1981"/>
    <col min="11013" max="11013" width="14.5703125" style="1981" customWidth="1"/>
    <col min="11014" max="11014" width="11" style="1981" customWidth="1"/>
    <col min="11015" max="11015" width="12.85546875" style="1981" customWidth="1"/>
    <col min="11016" max="11016" width="11" style="1981" customWidth="1"/>
    <col min="11017" max="11017" width="12.140625" style="1981" customWidth="1"/>
    <col min="11018" max="11018" width="11" style="1981" customWidth="1"/>
    <col min="11019" max="11019" width="12.140625" style="1981" customWidth="1"/>
    <col min="11020" max="11020" width="11.7109375" style="1981" customWidth="1"/>
    <col min="11021" max="11021" width="13" style="1981" customWidth="1"/>
    <col min="11022" max="11022" width="10.140625" style="1981" customWidth="1"/>
    <col min="11023" max="11264" width="8.42578125" style="1981"/>
    <col min="11265" max="11265" width="20.7109375" style="1981" customWidth="1"/>
    <col min="11266" max="11266" width="4.140625" style="1981" customWidth="1"/>
    <col min="11267" max="11267" width="8.140625" style="1981" customWidth="1"/>
    <col min="11268" max="11268" width="8.42578125" style="1981"/>
    <col min="11269" max="11269" width="14.5703125" style="1981" customWidth="1"/>
    <col min="11270" max="11270" width="11" style="1981" customWidth="1"/>
    <col min="11271" max="11271" width="12.85546875" style="1981" customWidth="1"/>
    <col min="11272" max="11272" width="11" style="1981" customWidth="1"/>
    <col min="11273" max="11273" width="12.140625" style="1981" customWidth="1"/>
    <col min="11274" max="11274" width="11" style="1981" customWidth="1"/>
    <col min="11275" max="11275" width="12.140625" style="1981" customWidth="1"/>
    <col min="11276" max="11276" width="11.7109375" style="1981" customWidth="1"/>
    <col min="11277" max="11277" width="13" style="1981" customWidth="1"/>
    <col min="11278" max="11278" width="10.140625" style="1981" customWidth="1"/>
    <col min="11279" max="11520" width="8.42578125" style="1981"/>
    <col min="11521" max="11521" width="20.7109375" style="1981" customWidth="1"/>
    <col min="11522" max="11522" width="4.140625" style="1981" customWidth="1"/>
    <col min="11523" max="11523" width="8.140625" style="1981" customWidth="1"/>
    <col min="11524" max="11524" width="8.42578125" style="1981"/>
    <col min="11525" max="11525" width="14.5703125" style="1981" customWidth="1"/>
    <col min="11526" max="11526" width="11" style="1981" customWidth="1"/>
    <col min="11527" max="11527" width="12.85546875" style="1981" customWidth="1"/>
    <col min="11528" max="11528" width="11" style="1981" customWidth="1"/>
    <col min="11529" max="11529" width="12.140625" style="1981" customWidth="1"/>
    <col min="11530" max="11530" width="11" style="1981" customWidth="1"/>
    <col min="11531" max="11531" width="12.140625" style="1981" customWidth="1"/>
    <col min="11532" max="11532" width="11.7109375" style="1981" customWidth="1"/>
    <col min="11533" max="11533" width="13" style="1981" customWidth="1"/>
    <col min="11534" max="11534" width="10.140625" style="1981" customWidth="1"/>
    <col min="11535" max="11776" width="8.42578125" style="1981"/>
    <col min="11777" max="11777" width="20.7109375" style="1981" customWidth="1"/>
    <col min="11778" max="11778" width="4.140625" style="1981" customWidth="1"/>
    <col min="11779" max="11779" width="8.140625" style="1981" customWidth="1"/>
    <col min="11780" max="11780" width="8.42578125" style="1981"/>
    <col min="11781" max="11781" width="14.5703125" style="1981" customWidth="1"/>
    <col min="11782" max="11782" width="11" style="1981" customWidth="1"/>
    <col min="11783" max="11783" width="12.85546875" style="1981" customWidth="1"/>
    <col min="11784" max="11784" width="11" style="1981" customWidth="1"/>
    <col min="11785" max="11785" width="12.140625" style="1981" customWidth="1"/>
    <col min="11786" max="11786" width="11" style="1981" customWidth="1"/>
    <col min="11787" max="11787" width="12.140625" style="1981" customWidth="1"/>
    <col min="11788" max="11788" width="11.7109375" style="1981" customWidth="1"/>
    <col min="11789" max="11789" width="13" style="1981" customWidth="1"/>
    <col min="11790" max="11790" width="10.140625" style="1981" customWidth="1"/>
    <col min="11791" max="12032" width="8.42578125" style="1981"/>
    <col min="12033" max="12033" width="20.7109375" style="1981" customWidth="1"/>
    <col min="12034" max="12034" width="4.140625" style="1981" customWidth="1"/>
    <col min="12035" max="12035" width="8.140625" style="1981" customWidth="1"/>
    <col min="12036" max="12036" width="8.42578125" style="1981"/>
    <col min="12037" max="12037" width="14.5703125" style="1981" customWidth="1"/>
    <col min="12038" max="12038" width="11" style="1981" customWidth="1"/>
    <col min="12039" max="12039" width="12.85546875" style="1981" customWidth="1"/>
    <col min="12040" max="12040" width="11" style="1981" customWidth="1"/>
    <col min="12041" max="12041" width="12.140625" style="1981" customWidth="1"/>
    <col min="12042" max="12042" width="11" style="1981" customWidth="1"/>
    <col min="12043" max="12043" width="12.140625" style="1981" customWidth="1"/>
    <col min="12044" max="12044" width="11.7109375" style="1981" customWidth="1"/>
    <col min="12045" max="12045" width="13" style="1981" customWidth="1"/>
    <col min="12046" max="12046" width="10.140625" style="1981" customWidth="1"/>
    <col min="12047" max="12288" width="8.42578125" style="1981"/>
    <col min="12289" max="12289" width="20.7109375" style="1981" customWidth="1"/>
    <col min="12290" max="12290" width="4.140625" style="1981" customWidth="1"/>
    <col min="12291" max="12291" width="8.140625" style="1981" customWidth="1"/>
    <col min="12292" max="12292" width="8.42578125" style="1981"/>
    <col min="12293" max="12293" width="14.5703125" style="1981" customWidth="1"/>
    <col min="12294" max="12294" width="11" style="1981" customWidth="1"/>
    <col min="12295" max="12295" width="12.85546875" style="1981" customWidth="1"/>
    <col min="12296" max="12296" width="11" style="1981" customWidth="1"/>
    <col min="12297" max="12297" width="12.140625" style="1981" customWidth="1"/>
    <col min="12298" max="12298" width="11" style="1981" customWidth="1"/>
    <col min="12299" max="12299" width="12.140625" style="1981" customWidth="1"/>
    <col min="12300" max="12300" width="11.7109375" style="1981" customWidth="1"/>
    <col min="12301" max="12301" width="13" style="1981" customWidth="1"/>
    <col min="12302" max="12302" width="10.140625" style="1981" customWidth="1"/>
    <col min="12303" max="12544" width="8.42578125" style="1981"/>
    <col min="12545" max="12545" width="20.7109375" style="1981" customWidth="1"/>
    <col min="12546" max="12546" width="4.140625" style="1981" customWidth="1"/>
    <col min="12547" max="12547" width="8.140625" style="1981" customWidth="1"/>
    <col min="12548" max="12548" width="8.42578125" style="1981"/>
    <col min="12549" max="12549" width="14.5703125" style="1981" customWidth="1"/>
    <col min="12550" max="12550" width="11" style="1981" customWidth="1"/>
    <col min="12551" max="12551" width="12.85546875" style="1981" customWidth="1"/>
    <col min="12552" max="12552" width="11" style="1981" customWidth="1"/>
    <col min="12553" max="12553" width="12.140625" style="1981" customWidth="1"/>
    <col min="12554" max="12554" width="11" style="1981" customWidth="1"/>
    <col min="12555" max="12555" width="12.140625" style="1981" customWidth="1"/>
    <col min="12556" max="12556" width="11.7109375" style="1981" customWidth="1"/>
    <col min="12557" max="12557" width="13" style="1981" customWidth="1"/>
    <col min="12558" max="12558" width="10.140625" style="1981" customWidth="1"/>
    <col min="12559" max="12800" width="8.42578125" style="1981"/>
    <col min="12801" max="12801" width="20.7109375" style="1981" customWidth="1"/>
    <col min="12802" max="12802" width="4.140625" style="1981" customWidth="1"/>
    <col min="12803" max="12803" width="8.140625" style="1981" customWidth="1"/>
    <col min="12804" max="12804" width="8.42578125" style="1981"/>
    <col min="12805" max="12805" width="14.5703125" style="1981" customWidth="1"/>
    <col min="12806" max="12806" width="11" style="1981" customWidth="1"/>
    <col min="12807" max="12807" width="12.85546875" style="1981" customWidth="1"/>
    <col min="12808" max="12808" width="11" style="1981" customWidth="1"/>
    <col min="12809" max="12809" width="12.140625" style="1981" customWidth="1"/>
    <col min="12810" max="12810" width="11" style="1981" customWidth="1"/>
    <col min="12811" max="12811" width="12.140625" style="1981" customWidth="1"/>
    <col min="12812" max="12812" width="11.7109375" style="1981" customWidth="1"/>
    <col min="12813" max="12813" width="13" style="1981" customWidth="1"/>
    <col min="12814" max="12814" width="10.140625" style="1981" customWidth="1"/>
    <col min="12815" max="13056" width="8.42578125" style="1981"/>
    <col min="13057" max="13057" width="20.7109375" style="1981" customWidth="1"/>
    <col min="13058" max="13058" width="4.140625" style="1981" customWidth="1"/>
    <col min="13059" max="13059" width="8.140625" style="1981" customWidth="1"/>
    <col min="13060" max="13060" width="8.42578125" style="1981"/>
    <col min="13061" max="13061" width="14.5703125" style="1981" customWidth="1"/>
    <col min="13062" max="13062" width="11" style="1981" customWidth="1"/>
    <col min="13063" max="13063" width="12.85546875" style="1981" customWidth="1"/>
    <col min="13064" max="13064" width="11" style="1981" customWidth="1"/>
    <col min="13065" max="13065" width="12.140625" style="1981" customWidth="1"/>
    <col min="13066" max="13066" width="11" style="1981" customWidth="1"/>
    <col min="13067" max="13067" width="12.140625" style="1981" customWidth="1"/>
    <col min="13068" max="13068" width="11.7109375" style="1981" customWidth="1"/>
    <col min="13069" max="13069" width="13" style="1981" customWidth="1"/>
    <col min="13070" max="13070" width="10.140625" style="1981" customWidth="1"/>
    <col min="13071" max="13312" width="8.42578125" style="1981"/>
    <col min="13313" max="13313" width="20.7109375" style="1981" customWidth="1"/>
    <col min="13314" max="13314" width="4.140625" style="1981" customWidth="1"/>
    <col min="13315" max="13315" width="8.140625" style="1981" customWidth="1"/>
    <col min="13316" max="13316" width="8.42578125" style="1981"/>
    <col min="13317" max="13317" width="14.5703125" style="1981" customWidth="1"/>
    <col min="13318" max="13318" width="11" style="1981" customWidth="1"/>
    <col min="13319" max="13319" width="12.85546875" style="1981" customWidth="1"/>
    <col min="13320" max="13320" width="11" style="1981" customWidth="1"/>
    <col min="13321" max="13321" width="12.140625" style="1981" customWidth="1"/>
    <col min="13322" max="13322" width="11" style="1981" customWidth="1"/>
    <col min="13323" max="13323" width="12.140625" style="1981" customWidth="1"/>
    <col min="13324" max="13324" width="11.7109375" style="1981" customWidth="1"/>
    <col min="13325" max="13325" width="13" style="1981" customWidth="1"/>
    <col min="13326" max="13326" width="10.140625" style="1981" customWidth="1"/>
    <col min="13327" max="13568" width="8.42578125" style="1981"/>
    <col min="13569" max="13569" width="20.7109375" style="1981" customWidth="1"/>
    <col min="13570" max="13570" width="4.140625" style="1981" customWidth="1"/>
    <col min="13571" max="13571" width="8.140625" style="1981" customWidth="1"/>
    <col min="13572" max="13572" width="8.42578125" style="1981"/>
    <col min="13573" max="13573" width="14.5703125" style="1981" customWidth="1"/>
    <col min="13574" max="13574" width="11" style="1981" customWidth="1"/>
    <col min="13575" max="13575" width="12.85546875" style="1981" customWidth="1"/>
    <col min="13576" max="13576" width="11" style="1981" customWidth="1"/>
    <col min="13577" max="13577" width="12.140625" style="1981" customWidth="1"/>
    <col min="13578" max="13578" width="11" style="1981" customWidth="1"/>
    <col min="13579" max="13579" width="12.140625" style="1981" customWidth="1"/>
    <col min="13580" max="13580" width="11.7109375" style="1981" customWidth="1"/>
    <col min="13581" max="13581" width="13" style="1981" customWidth="1"/>
    <col min="13582" max="13582" width="10.140625" style="1981" customWidth="1"/>
    <col min="13583" max="13824" width="8.42578125" style="1981"/>
    <col min="13825" max="13825" width="20.7109375" style="1981" customWidth="1"/>
    <col min="13826" max="13826" width="4.140625" style="1981" customWidth="1"/>
    <col min="13827" max="13827" width="8.140625" style="1981" customWidth="1"/>
    <col min="13828" max="13828" width="8.42578125" style="1981"/>
    <col min="13829" max="13829" width="14.5703125" style="1981" customWidth="1"/>
    <col min="13830" max="13830" width="11" style="1981" customWidth="1"/>
    <col min="13831" max="13831" width="12.85546875" style="1981" customWidth="1"/>
    <col min="13832" max="13832" width="11" style="1981" customWidth="1"/>
    <col min="13833" max="13833" width="12.140625" style="1981" customWidth="1"/>
    <col min="13834" max="13834" width="11" style="1981" customWidth="1"/>
    <col min="13835" max="13835" width="12.140625" style="1981" customWidth="1"/>
    <col min="13836" max="13836" width="11.7109375" style="1981" customWidth="1"/>
    <col min="13837" max="13837" width="13" style="1981" customWidth="1"/>
    <col min="13838" max="13838" width="10.140625" style="1981" customWidth="1"/>
    <col min="13839" max="14080" width="8.42578125" style="1981"/>
    <col min="14081" max="14081" width="20.7109375" style="1981" customWidth="1"/>
    <col min="14082" max="14082" width="4.140625" style="1981" customWidth="1"/>
    <col min="14083" max="14083" width="8.140625" style="1981" customWidth="1"/>
    <col min="14084" max="14084" width="8.42578125" style="1981"/>
    <col min="14085" max="14085" width="14.5703125" style="1981" customWidth="1"/>
    <col min="14086" max="14086" width="11" style="1981" customWidth="1"/>
    <col min="14087" max="14087" width="12.85546875" style="1981" customWidth="1"/>
    <col min="14088" max="14088" width="11" style="1981" customWidth="1"/>
    <col min="14089" max="14089" width="12.140625" style="1981" customWidth="1"/>
    <col min="14090" max="14090" width="11" style="1981" customWidth="1"/>
    <col min="14091" max="14091" width="12.140625" style="1981" customWidth="1"/>
    <col min="14092" max="14092" width="11.7109375" style="1981" customWidth="1"/>
    <col min="14093" max="14093" width="13" style="1981" customWidth="1"/>
    <col min="14094" max="14094" width="10.140625" style="1981" customWidth="1"/>
    <col min="14095" max="14336" width="8.42578125" style="1981"/>
    <col min="14337" max="14337" width="20.7109375" style="1981" customWidth="1"/>
    <col min="14338" max="14338" width="4.140625" style="1981" customWidth="1"/>
    <col min="14339" max="14339" width="8.140625" style="1981" customWidth="1"/>
    <col min="14340" max="14340" width="8.42578125" style="1981"/>
    <col min="14341" max="14341" width="14.5703125" style="1981" customWidth="1"/>
    <col min="14342" max="14342" width="11" style="1981" customWidth="1"/>
    <col min="14343" max="14343" width="12.85546875" style="1981" customWidth="1"/>
    <col min="14344" max="14344" width="11" style="1981" customWidth="1"/>
    <col min="14345" max="14345" width="12.140625" style="1981" customWidth="1"/>
    <col min="14346" max="14346" width="11" style="1981" customWidth="1"/>
    <col min="14347" max="14347" width="12.140625" style="1981" customWidth="1"/>
    <col min="14348" max="14348" width="11.7109375" style="1981" customWidth="1"/>
    <col min="14349" max="14349" width="13" style="1981" customWidth="1"/>
    <col min="14350" max="14350" width="10.140625" style="1981" customWidth="1"/>
    <col min="14351" max="14592" width="8.42578125" style="1981"/>
    <col min="14593" max="14593" width="20.7109375" style="1981" customWidth="1"/>
    <col min="14594" max="14594" width="4.140625" style="1981" customWidth="1"/>
    <col min="14595" max="14595" width="8.140625" style="1981" customWidth="1"/>
    <col min="14596" max="14596" width="8.42578125" style="1981"/>
    <col min="14597" max="14597" width="14.5703125" style="1981" customWidth="1"/>
    <col min="14598" max="14598" width="11" style="1981" customWidth="1"/>
    <col min="14599" max="14599" width="12.85546875" style="1981" customWidth="1"/>
    <col min="14600" max="14600" width="11" style="1981" customWidth="1"/>
    <col min="14601" max="14601" width="12.140625" style="1981" customWidth="1"/>
    <col min="14602" max="14602" width="11" style="1981" customWidth="1"/>
    <col min="14603" max="14603" width="12.140625" style="1981" customWidth="1"/>
    <col min="14604" max="14604" width="11.7109375" style="1981" customWidth="1"/>
    <col min="14605" max="14605" width="13" style="1981" customWidth="1"/>
    <col min="14606" max="14606" width="10.140625" style="1981" customWidth="1"/>
    <col min="14607" max="14848" width="8.42578125" style="1981"/>
    <col min="14849" max="14849" width="20.7109375" style="1981" customWidth="1"/>
    <col min="14850" max="14850" width="4.140625" style="1981" customWidth="1"/>
    <col min="14851" max="14851" width="8.140625" style="1981" customWidth="1"/>
    <col min="14852" max="14852" width="8.42578125" style="1981"/>
    <col min="14853" max="14853" width="14.5703125" style="1981" customWidth="1"/>
    <col min="14854" max="14854" width="11" style="1981" customWidth="1"/>
    <col min="14855" max="14855" width="12.85546875" style="1981" customWidth="1"/>
    <col min="14856" max="14856" width="11" style="1981" customWidth="1"/>
    <col min="14857" max="14857" width="12.140625" style="1981" customWidth="1"/>
    <col min="14858" max="14858" width="11" style="1981" customWidth="1"/>
    <col min="14859" max="14859" width="12.140625" style="1981" customWidth="1"/>
    <col min="14860" max="14860" width="11.7109375" style="1981" customWidth="1"/>
    <col min="14861" max="14861" width="13" style="1981" customWidth="1"/>
    <col min="14862" max="14862" width="10.140625" style="1981" customWidth="1"/>
    <col min="14863" max="15104" width="8.42578125" style="1981"/>
    <col min="15105" max="15105" width="20.7109375" style="1981" customWidth="1"/>
    <col min="15106" max="15106" width="4.140625" style="1981" customWidth="1"/>
    <col min="15107" max="15107" width="8.140625" style="1981" customWidth="1"/>
    <col min="15108" max="15108" width="8.42578125" style="1981"/>
    <col min="15109" max="15109" width="14.5703125" style="1981" customWidth="1"/>
    <col min="15110" max="15110" width="11" style="1981" customWidth="1"/>
    <col min="15111" max="15111" width="12.85546875" style="1981" customWidth="1"/>
    <col min="15112" max="15112" width="11" style="1981" customWidth="1"/>
    <col min="15113" max="15113" width="12.140625" style="1981" customWidth="1"/>
    <col min="15114" max="15114" width="11" style="1981" customWidth="1"/>
    <col min="15115" max="15115" width="12.140625" style="1981" customWidth="1"/>
    <col min="15116" max="15116" width="11.7109375" style="1981" customWidth="1"/>
    <col min="15117" max="15117" width="13" style="1981" customWidth="1"/>
    <col min="15118" max="15118" width="10.140625" style="1981" customWidth="1"/>
    <col min="15119" max="15360" width="8.42578125" style="1981"/>
    <col min="15361" max="15361" width="20.7109375" style="1981" customWidth="1"/>
    <col min="15362" max="15362" width="4.140625" style="1981" customWidth="1"/>
    <col min="15363" max="15363" width="8.140625" style="1981" customWidth="1"/>
    <col min="15364" max="15364" width="8.42578125" style="1981"/>
    <col min="15365" max="15365" width="14.5703125" style="1981" customWidth="1"/>
    <col min="15366" max="15366" width="11" style="1981" customWidth="1"/>
    <col min="15367" max="15367" width="12.85546875" style="1981" customWidth="1"/>
    <col min="15368" max="15368" width="11" style="1981" customWidth="1"/>
    <col min="15369" max="15369" width="12.140625" style="1981" customWidth="1"/>
    <col min="15370" max="15370" width="11" style="1981" customWidth="1"/>
    <col min="15371" max="15371" width="12.140625" style="1981" customWidth="1"/>
    <col min="15372" max="15372" width="11.7109375" style="1981" customWidth="1"/>
    <col min="15373" max="15373" width="13" style="1981" customWidth="1"/>
    <col min="15374" max="15374" width="10.140625" style="1981" customWidth="1"/>
    <col min="15375" max="15616" width="8.42578125" style="1981"/>
    <col min="15617" max="15617" width="20.7109375" style="1981" customWidth="1"/>
    <col min="15618" max="15618" width="4.140625" style="1981" customWidth="1"/>
    <col min="15619" max="15619" width="8.140625" style="1981" customWidth="1"/>
    <col min="15620" max="15620" width="8.42578125" style="1981"/>
    <col min="15621" max="15621" width="14.5703125" style="1981" customWidth="1"/>
    <col min="15622" max="15622" width="11" style="1981" customWidth="1"/>
    <col min="15623" max="15623" width="12.85546875" style="1981" customWidth="1"/>
    <col min="15624" max="15624" width="11" style="1981" customWidth="1"/>
    <col min="15625" max="15625" width="12.140625" style="1981" customWidth="1"/>
    <col min="15626" max="15626" width="11" style="1981" customWidth="1"/>
    <col min="15627" max="15627" width="12.140625" style="1981" customWidth="1"/>
    <col min="15628" max="15628" width="11.7109375" style="1981" customWidth="1"/>
    <col min="15629" max="15629" width="13" style="1981" customWidth="1"/>
    <col min="15630" max="15630" width="10.140625" style="1981" customWidth="1"/>
    <col min="15631" max="15872" width="8.42578125" style="1981"/>
    <col min="15873" max="15873" width="20.7109375" style="1981" customWidth="1"/>
    <col min="15874" max="15874" width="4.140625" style="1981" customWidth="1"/>
    <col min="15875" max="15875" width="8.140625" style="1981" customWidth="1"/>
    <col min="15876" max="15876" width="8.42578125" style="1981"/>
    <col min="15877" max="15877" width="14.5703125" style="1981" customWidth="1"/>
    <col min="15878" max="15878" width="11" style="1981" customWidth="1"/>
    <col min="15879" max="15879" width="12.85546875" style="1981" customWidth="1"/>
    <col min="15880" max="15880" width="11" style="1981" customWidth="1"/>
    <col min="15881" max="15881" width="12.140625" style="1981" customWidth="1"/>
    <col min="15882" max="15882" width="11" style="1981" customWidth="1"/>
    <col min="15883" max="15883" width="12.140625" style="1981" customWidth="1"/>
    <col min="15884" max="15884" width="11.7109375" style="1981" customWidth="1"/>
    <col min="15885" max="15885" width="13" style="1981" customWidth="1"/>
    <col min="15886" max="15886" width="10.140625" style="1981" customWidth="1"/>
    <col min="15887" max="16128" width="8.42578125" style="1981"/>
    <col min="16129" max="16129" width="20.7109375" style="1981" customWidth="1"/>
    <col min="16130" max="16130" width="4.140625" style="1981" customWidth="1"/>
    <col min="16131" max="16131" width="8.140625" style="1981" customWidth="1"/>
    <col min="16132" max="16132" width="8.42578125" style="1981"/>
    <col min="16133" max="16133" width="14.5703125" style="1981" customWidth="1"/>
    <col min="16134" max="16134" width="11" style="1981" customWidth="1"/>
    <col min="16135" max="16135" width="12.85546875" style="1981" customWidth="1"/>
    <col min="16136" max="16136" width="11" style="1981" customWidth="1"/>
    <col min="16137" max="16137" width="12.140625" style="1981" customWidth="1"/>
    <col min="16138" max="16138" width="11" style="1981" customWidth="1"/>
    <col min="16139" max="16139" width="12.140625" style="1981" customWidth="1"/>
    <col min="16140" max="16140" width="11.7109375" style="1981" customWidth="1"/>
    <col min="16141" max="16141" width="13" style="1981" customWidth="1"/>
    <col min="16142" max="16142" width="10.140625" style="1981" customWidth="1"/>
    <col min="16143" max="16384" width="8.42578125" style="1981"/>
  </cols>
  <sheetData>
    <row r="1" spans="1:14" ht="12.75" x14ac:dyDescent="0.2">
      <c r="A1" s="2652" t="s">
        <v>2084</v>
      </c>
      <c r="B1" s="2652"/>
      <c r="C1" s="2652"/>
      <c r="D1" s="2652"/>
      <c r="E1" s="2652"/>
      <c r="F1" s="2652"/>
      <c r="G1" s="2652"/>
      <c r="H1" s="2652"/>
      <c r="I1" s="2652"/>
      <c r="J1" s="2652"/>
      <c r="K1" s="2652"/>
      <c r="L1" s="2652"/>
      <c r="M1" s="2652"/>
      <c r="N1" s="2652"/>
    </row>
    <row r="2" spans="1:14" ht="12.75" x14ac:dyDescent="0.2">
      <c r="A2" s="2652" t="s">
        <v>2082</v>
      </c>
      <c r="B2" s="2652"/>
      <c r="C2" s="2652"/>
      <c r="D2" s="2652"/>
      <c r="E2" s="2652"/>
      <c r="F2" s="2652"/>
      <c r="G2" s="2652"/>
      <c r="H2" s="2652"/>
      <c r="I2" s="2652"/>
      <c r="J2" s="2652"/>
      <c r="K2" s="2652"/>
      <c r="L2" s="2652"/>
      <c r="M2" s="2652"/>
      <c r="N2" s="2652"/>
    </row>
    <row r="3" spans="1:14" x14ac:dyDescent="0.2">
      <c r="A3" s="2653" t="s">
        <v>1281</v>
      </c>
      <c r="B3" s="2653"/>
      <c r="C3" s="2653"/>
      <c r="D3" s="2653"/>
      <c r="E3" s="2653"/>
      <c r="F3" s="2653"/>
      <c r="G3" s="2653"/>
      <c r="H3" s="2653"/>
      <c r="I3" s="2653"/>
      <c r="J3" s="2653"/>
      <c r="K3" s="2653"/>
      <c r="L3" s="2653"/>
      <c r="M3" s="2653"/>
      <c r="N3" s="2653"/>
    </row>
    <row r="4" spans="1:14" x14ac:dyDescent="0.2">
      <c r="A4" s="2654" t="s">
        <v>2121</v>
      </c>
      <c r="B4" s="2654"/>
      <c r="C4" s="2654"/>
      <c r="D4" s="2654"/>
      <c r="E4" s="2654"/>
      <c r="F4" s="2654"/>
      <c r="G4" s="2654"/>
      <c r="H4" s="2654"/>
      <c r="I4" s="2654"/>
      <c r="J4" s="2654"/>
      <c r="K4" s="2654"/>
      <c r="L4" s="2654"/>
      <c r="M4" s="2654"/>
      <c r="N4" s="2654"/>
    </row>
    <row r="5" spans="1:14" ht="9" customHeight="1" x14ac:dyDescent="0.2">
      <c r="A5" s="1982"/>
      <c r="B5" s="1982"/>
      <c r="C5" s="1982"/>
      <c r="D5" s="1982"/>
      <c r="E5" s="1982"/>
      <c r="F5" s="1982"/>
      <c r="G5" s="1982"/>
      <c r="H5" s="1982"/>
      <c r="I5" s="1982"/>
      <c r="J5" s="1982"/>
      <c r="K5" s="1982"/>
      <c r="L5" s="1982"/>
      <c r="M5" s="1982"/>
      <c r="N5" s="1982"/>
    </row>
    <row r="6" spans="1:14" ht="12.75" thickBot="1" x14ac:dyDescent="0.25">
      <c r="A6" s="2648" t="s">
        <v>2122</v>
      </c>
      <c r="B6" s="2648"/>
      <c r="C6" s="2648"/>
      <c r="D6" s="2648"/>
      <c r="E6" s="2648"/>
      <c r="F6" s="2648"/>
      <c r="G6" s="2648"/>
      <c r="H6" s="2648"/>
      <c r="I6" s="2648"/>
      <c r="J6" s="2648"/>
      <c r="K6" s="2648"/>
      <c r="L6" s="2648"/>
      <c r="M6" s="2648"/>
      <c r="N6" s="2648"/>
    </row>
    <row r="7" spans="1:14" ht="14.25" customHeight="1" thickTop="1" x14ac:dyDescent="0.2">
      <c r="A7" s="1948"/>
      <c r="B7" s="1949"/>
      <c r="C7" s="1950"/>
      <c r="D7" s="1951"/>
      <c r="E7" s="1952" t="s">
        <v>2123</v>
      </c>
      <c r="F7" s="1953"/>
      <c r="G7" s="1954"/>
      <c r="H7" s="1953"/>
      <c r="I7" s="1953"/>
      <c r="J7" s="1955"/>
      <c r="K7" s="1956"/>
      <c r="L7" s="1954"/>
      <c r="M7" s="1954"/>
      <c r="N7" s="1957"/>
    </row>
    <row r="8" spans="1:14" ht="10.5" customHeight="1" x14ac:dyDescent="0.2">
      <c r="A8" s="1958" t="s">
        <v>2124</v>
      </c>
      <c r="B8" s="1959"/>
      <c r="C8" s="1960"/>
      <c r="D8" s="1961" t="s">
        <v>1326</v>
      </c>
      <c r="E8" s="1962" t="s">
        <v>2125</v>
      </c>
      <c r="F8" s="1963" t="s">
        <v>548</v>
      </c>
      <c r="G8" s="1964"/>
      <c r="H8" s="1963" t="s">
        <v>2126</v>
      </c>
      <c r="I8" s="1963"/>
      <c r="J8" s="1964"/>
      <c r="K8" s="1960"/>
      <c r="L8" s="1954"/>
      <c r="M8" s="1954"/>
      <c r="N8" s="1965"/>
    </row>
    <row r="9" spans="1:14" ht="12.75" x14ac:dyDescent="0.2">
      <c r="A9" s="1958" t="s">
        <v>1328</v>
      </c>
      <c r="B9" s="1959"/>
      <c r="C9" s="1960"/>
      <c r="D9" s="1961" t="s">
        <v>2127</v>
      </c>
      <c r="E9" s="1962" t="s">
        <v>1325</v>
      </c>
      <c r="F9" s="1966" t="s">
        <v>2128</v>
      </c>
      <c r="G9" s="1966" t="s">
        <v>2129</v>
      </c>
      <c r="H9" s="1966" t="s">
        <v>2128</v>
      </c>
      <c r="I9" s="1966" t="s">
        <v>2130</v>
      </c>
      <c r="J9" s="1966" t="s">
        <v>2129</v>
      </c>
      <c r="K9" s="1967" t="s">
        <v>2131</v>
      </c>
      <c r="L9" s="1968" t="s">
        <v>1323</v>
      </c>
      <c r="M9" s="1968" t="s">
        <v>2132</v>
      </c>
      <c r="N9" s="1965"/>
    </row>
    <row r="10" spans="1:14" ht="12.75" x14ac:dyDescent="0.2">
      <c r="A10" s="2649" t="s">
        <v>1321</v>
      </c>
      <c r="B10" s="2650"/>
      <c r="C10" s="2651"/>
      <c r="D10" s="1951"/>
      <c r="E10" s="1962" t="s">
        <v>2133</v>
      </c>
      <c r="F10" s="1966" t="s">
        <v>2134</v>
      </c>
      <c r="G10" s="1966" t="s">
        <v>2135</v>
      </c>
      <c r="H10" s="1966" t="s">
        <v>2134</v>
      </c>
      <c r="I10" s="1966" t="s">
        <v>2134</v>
      </c>
      <c r="J10" s="1966" t="s">
        <v>2135</v>
      </c>
      <c r="K10" s="1966" t="s">
        <v>2135</v>
      </c>
      <c r="L10" s="1968" t="s">
        <v>1320</v>
      </c>
      <c r="M10" s="1968" t="s">
        <v>1319</v>
      </c>
      <c r="N10" s="1969" t="s">
        <v>30</v>
      </c>
    </row>
    <row r="11" spans="1:14" x14ac:dyDescent="0.2">
      <c r="A11" s="1958" t="s">
        <v>1318</v>
      </c>
      <c r="B11" s="1959"/>
      <c r="C11" s="1960"/>
      <c r="D11" s="1951"/>
      <c r="E11" s="1954"/>
      <c r="F11" s="1954"/>
      <c r="G11" s="1954"/>
      <c r="H11" s="1954"/>
      <c r="I11" s="1970" t="s">
        <v>2136</v>
      </c>
      <c r="J11" s="1954"/>
      <c r="K11" s="1954" t="s">
        <v>2136</v>
      </c>
      <c r="L11" s="1954"/>
      <c r="M11" s="1954"/>
      <c r="N11" s="1965"/>
    </row>
    <row r="12" spans="1:14" ht="12.75" thickBot="1" x14ac:dyDescent="0.25">
      <c r="A12" s="1971"/>
      <c r="B12" s="1972"/>
      <c r="C12" s="1973"/>
      <c r="D12" s="1974" t="s">
        <v>1317</v>
      </c>
      <c r="E12" s="1975" t="s">
        <v>1316</v>
      </c>
      <c r="F12" s="1976" t="s">
        <v>1315</v>
      </c>
      <c r="G12" s="1976" t="s">
        <v>1314</v>
      </c>
      <c r="H12" s="1976" t="s">
        <v>1313</v>
      </c>
      <c r="I12" s="1976" t="s">
        <v>1328</v>
      </c>
      <c r="J12" s="1976" t="s">
        <v>1312</v>
      </c>
      <c r="K12" s="1976" t="s">
        <v>1328</v>
      </c>
      <c r="L12" s="1976" t="s">
        <v>1311</v>
      </c>
      <c r="M12" s="1976" t="s">
        <v>1310</v>
      </c>
      <c r="N12" s="1977" t="s">
        <v>1309</v>
      </c>
    </row>
    <row r="13" spans="1:14" ht="5.25" customHeight="1" thickTop="1" x14ac:dyDescent="0.2">
      <c r="A13" s="1983"/>
      <c r="B13" s="1984"/>
      <c r="C13" s="1985"/>
      <c r="D13" s="1985"/>
      <c r="E13" s="1985"/>
      <c r="F13" s="1985"/>
      <c r="G13" s="1985"/>
      <c r="H13" s="1985"/>
      <c r="I13" s="1986"/>
      <c r="J13" s="1985"/>
      <c r="K13" s="1986"/>
      <c r="L13" s="1985"/>
      <c r="M13" s="1985"/>
      <c r="N13" s="1987"/>
    </row>
    <row r="14" spans="1:14" x14ac:dyDescent="0.2">
      <c r="A14" s="2008" t="s">
        <v>2137</v>
      </c>
      <c r="B14" s="2009"/>
      <c r="C14" s="2010"/>
      <c r="D14" s="2010"/>
      <c r="E14" s="2010"/>
      <c r="F14" s="2010"/>
      <c r="G14" s="2010"/>
      <c r="H14" s="2010"/>
      <c r="I14" s="2010"/>
      <c r="J14" s="2010"/>
      <c r="K14" s="2010"/>
      <c r="L14" s="2010"/>
      <c r="M14" s="2010"/>
      <c r="N14" s="2011"/>
    </row>
    <row r="15" spans="1:14" x14ac:dyDescent="0.2">
      <c r="A15" s="2012" t="s">
        <v>2138</v>
      </c>
      <c r="B15" s="1984"/>
      <c r="C15" s="1985"/>
      <c r="D15" s="1985"/>
      <c r="E15" s="1985"/>
      <c r="F15" s="2013"/>
      <c r="G15" s="1985"/>
      <c r="H15" s="2013"/>
      <c r="I15" s="1985"/>
      <c r="J15" s="1985"/>
      <c r="K15" s="1985"/>
      <c r="L15" s="1985"/>
      <c r="M15" s="2014" t="s">
        <v>2139</v>
      </c>
      <c r="N15" s="1987"/>
    </row>
    <row r="16" spans="1:14" x14ac:dyDescent="0.2">
      <c r="A16" s="2015" t="s">
        <v>2140</v>
      </c>
      <c r="B16" s="2009"/>
      <c r="C16" s="2010"/>
      <c r="D16" s="2016" t="s">
        <v>2141</v>
      </c>
      <c r="E16" s="2016" t="s">
        <v>2142</v>
      </c>
      <c r="F16" s="2017">
        <v>96205</v>
      </c>
      <c r="G16" s="2017">
        <v>150598</v>
      </c>
      <c r="H16" s="2017">
        <v>216219</v>
      </c>
      <c r="I16" s="2017"/>
      <c r="J16" s="2017">
        <v>30584</v>
      </c>
      <c r="K16" s="2017"/>
      <c r="L16" s="2017"/>
      <c r="M16" s="2017">
        <f>SUM(H16:L16)</f>
        <v>246803</v>
      </c>
      <c r="N16" s="2018">
        <v>257253</v>
      </c>
    </row>
    <row r="17" spans="1:14" ht="10.5" customHeight="1" x14ac:dyDescent="0.2">
      <c r="A17" s="2012"/>
      <c r="B17" s="1984"/>
      <c r="C17" s="1985"/>
      <c r="D17" s="1985"/>
      <c r="E17" s="1985"/>
      <c r="F17" s="2019"/>
      <c r="G17" s="2019"/>
      <c r="H17" s="2020"/>
      <c r="I17" s="2019"/>
      <c r="J17" s="2020"/>
      <c r="K17" s="2019"/>
      <c r="L17" s="2019"/>
      <c r="M17" s="2014" t="s">
        <v>2139</v>
      </c>
      <c r="N17" s="2021"/>
    </row>
    <row r="18" spans="1:14" x14ac:dyDescent="0.2">
      <c r="A18" s="2022"/>
      <c r="B18" s="2009"/>
      <c r="C18" s="2010"/>
      <c r="D18" s="2016" t="s">
        <v>2141</v>
      </c>
      <c r="E18" s="2016" t="s">
        <v>2143</v>
      </c>
      <c r="F18" s="2017"/>
      <c r="G18" s="2017">
        <v>88717</v>
      </c>
      <c r="H18" s="2017"/>
      <c r="I18" s="2017"/>
      <c r="J18" s="2017">
        <v>209591</v>
      </c>
      <c r="K18" s="2017"/>
      <c r="L18" s="2017"/>
      <c r="M18" s="2017">
        <f>SUM(H18:L18)</f>
        <v>209591</v>
      </c>
      <c r="N18" s="2018">
        <v>215120</v>
      </c>
    </row>
    <row r="19" spans="1:14" x14ac:dyDescent="0.2">
      <c r="A19" s="2023" t="s">
        <v>2144</v>
      </c>
      <c r="B19" s="1989"/>
      <c r="C19" s="1990"/>
      <c r="D19" s="2024"/>
      <c r="E19" s="2024"/>
      <c r="F19" s="2025">
        <f>SUBTOTAL(9,F16:F18)</f>
        <v>96205</v>
      </c>
      <c r="G19" s="2025">
        <f>SUBTOTAL(9,G16:G18)</f>
        <v>239315</v>
      </c>
      <c r="H19" s="2025">
        <f>SUBTOTAL(9,H16:H18)</f>
        <v>216219</v>
      </c>
      <c r="I19" s="2025"/>
      <c r="J19" s="2025">
        <f>SUBTOTAL(9,J16:J18)</f>
        <v>240175</v>
      </c>
      <c r="K19" s="2025"/>
      <c r="L19" s="2025">
        <f>SUBTOTAL(9,L16:L18)</f>
        <v>0</v>
      </c>
      <c r="M19" s="2025">
        <f>SUBTOTAL(9,M16:M18)</f>
        <v>456394</v>
      </c>
      <c r="N19" s="2026"/>
    </row>
    <row r="20" spans="1:14" ht="10.5" customHeight="1" x14ac:dyDescent="0.2">
      <c r="A20" s="2027"/>
      <c r="B20" s="1984"/>
      <c r="C20" s="1985"/>
      <c r="D20" s="1985"/>
      <c r="E20" s="1985"/>
      <c r="F20" s="2019"/>
      <c r="G20" s="2019"/>
      <c r="H20" s="2019"/>
      <c r="I20" s="2019"/>
      <c r="J20" s="2019"/>
      <c r="K20" s="2019"/>
      <c r="L20" s="2019"/>
      <c r="M20" s="2019"/>
      <c r="N20" s="2028"/>
    </row>
    <row r="21" spans="1:14" x14ac:dyDescent="0.2">
      <c r="A21" s="2015" t="s">
        <v>782</v>
      </c>
      <c r="B21" s="2009"/>
      <c r="C21" s="2010"/>
      <c r="D21" s="2016" t="s">
        <v>2145</v>
      </c>
      <c r="E21" s="2016" t="s">
        <v>2146</v>
      </c>
      <c r="F21" s="2017"/>
      <c r="G21" s="2017">
        <v>39435</v>
      </c>
      <c r="H21" s="2017"/>
      <c r="I21" s="2017"/>
      <c r="J21" s="2017">
        <v>42703</v>
      </c>
      <c r="K21" s="2017"/>
      <c r="L21" s="2017"/>
      <c r="M21" s="2017">
        <f>SUM(H21:L21)</f>
        <v>42703</v>
      </c>
      <c r="N21" s="2018">
        <v>42703</v>
      </c>
    </row>
    <row r="22" spans="1:14" ht="10.5" hidden="1" customHeight="1" x14ac:dyDescent="0.2">
      <c r="A22" s="2012"/>
      <c r="B22" s="1984"/>
      <c r="C22" s="1985"/>
      <c r="D22" s="2029"/>
      <c r="E22" s="2029"/>
      <c r="F22" s="2030"/>
      <c r="G22" s="2030"/>
      <c r="H22" s="2030"/>
      <c r="I22" s="2030"/>
      <c r="J22" s="2030"/>
      <c r="K22" s="2030"/>
      <c r="L22" s="2031"/>
      <c r="M22" s="2014" t="s">
        <v>2139</v>
      </c>
      <c r="N22" s="2021"/>
    </row>
    <row r="23" spans="1:14" hidden="1" x14ac:dyDescent="0.2">
      <c r="A23" s="2022"/>
      <c r="B23" s="2009"/>
      <c r="C23" s="2010"/>
      <c r="D23" s="2016" t="s">
        <v>2145</v>
      </c>
      <c r="E23" s="2016" t="s">
        <v>2147</v>
      </c>
      <c r="F23" s="2017"/>
      <c r="G23" s="2017"/>
      <c r="H23" s="2017"/>
      <c r="I23" s="2017"/>
      <c r="J23" s="2017"/>
      <c r="K23" s="2017"/>
      <c r="L23" s="2017"/>
      <c r="M23" s="2017">
        <f>SUM(H23:L23)</f>
        <v>0</v>
      </c>
      <c r="N23" s="2018">
        <v>0</v>
      </c>
    </row>
    <row r="24" spans="1:14" hidden="1" x14ac:dyDescent="0.2">
      <c r="A24" s="2023"/>
      <c r="B24" s="1989"/>
      <c r="C24" s="1990"/>
      <c r="D24" s="2024"/>
      <c r="E24" s="2024"/>
      <c r="F24" s="2025">
        <f>SUBTOTAL(9,F21:F23)</f>
        <v>0</v>
      </c>
      <c r="G24" s="2025">
        <f>SUBTOTAL(9,G21:G23)</f>
        <v>39435</v>
      </c>
      <c r="H24" s="2025">
        <f>SUBTOTAL(9,H21:H23)</f>
        <v>0</v>
      </c>
      <c r="I24" s="2025"/>
      <c r="J24" s="2025">
        <f>SUBTOTAL(9,J21:J23)</f>
        <v>42703</v>
      </c>
      <c r="K24" s="2025"/>
      <c r="L24" s="2025">
        <f>SUBTOTAL(9,L21:L23)</f>
        <v>0</v>
      </c>
      <c r="M24" s="2025"/>
      <c r="N24" s="2026"/>
    </row>
    <row r="25" spans="1:14" ht="10.5" customHeight="1" x14ac:dyDescent="0.2">
      <c r="A25" s="2027"/>
      <c r="B25" s="1984"/>
      <c r="C25" s="1985"/>
      <c r="D25" s="1985"/>
      <c r="E25" s="1985"/>
      <c r="F25" s="2020"/>
      <c r="G25" s="2019"/>
      <c r="H25" s="2019"/>
      <c r="I25" s="2019"/>
      <c r="J25" s="2019"/>
      <c r="K25" s="2019"/>
      <c r="L25" s="2019"/>
      <c r="M25" s="2014" t="s">
        <v>2139</v>
      </c>
      <c r="N25" s="2028"/>
    </row>
    <row r="26" spans="1:14" x14ac:dyDescent="0.2">
      <c r="A26" s="2015" t="s">
        <v>2148</v>
      </c>
      <c r="B26" s="2009"/>
      <c r="C26" s="2010"/>
      <c r="D26" s="2016" t="s">
        <v>2149</v>
      </c>
      <c r="E26" s="2016" t="s">
        <v>2150</v>
      </c>
      <c r="F26" s="2017">
        <v>12626</v>
      </c>
      <c r="G26" s="2017">
        <v>29510</v>
      </c>
      <c r="H26" s="2017">
        <v>31068</v>
      </c>
      <c r="I26" s="2017"/>
      <c r="J26" s="2017">
        <v>11068</v>
      </c>
      <c r="K26" s="2017"/>
      <c r="L26" s="2017"/>
      <c r="M26" s="2017">
        <f>SUM(H26:L26)</f>
        <v>42136</v>
      </c>
      <c r="N26" s="2018">
        <v>42136</v>
      </c>
    </row>
    <row r="27" spans="1:14" ht="10.5" customHeight="1" x14ac:dyDescent="0.2">
      <c r="A27" s="2012"/>
      <c r="B27" s="1984"/>
      <c r="C27" s="1985"/>
      <c r="D27" s="2029"/>
      <c r="E27" s="2029"/>
      <c r="F27" s="2020"/>
      <c r="G27" s="2030"/>
      <c r="H27" s="2030"/>
      <c r="I27" s="2030"/>
      <c r="J27" s="2030"/>
      <c r="K27" s="2030"/>
      <c r="L27" s="2031"/>
      <c r="M27" s="2014" t="s">
        <v>2139</v>
      </c>
      <c r="N27" s="2021"/>
    </row>
    <row r="28" spans="1:14" ht="10.5" customHeight="1" x14ac:dyDescent="0.2">
      <c r="A28" s="2022"/>
      <c r="B28" s="2009"/>
      <c r="C28" s="2010"/>
      <c r="D28" s="2016" t="s">
        <v>2149</v>
      </c>
      <c r="E28" s="2016" t="s">
        <v>2151</v>
      </c>
      <c r="F28" s="2017"/>
      <c r="G28" s="2017">
        <v>41764</v>
      </c>
      <c r="H28" s="2017"/>
      <c r="I28" s="2017"/>
      <c r="J28" s="2017">
        <v>41764</v>
      </c>
      <c r="K28" s="2017"/>
      <c r="L28" s="2017"/>
      <c r="M28" s="2017">
        <f>SUM(H28:L28)</f>
        <v>41764</v>
      </c>
      <c r="N28" s="2018">
        <v>41764</v>
      </c>
    </row>
    <row r="29" spans="1:14" ht="12" hidden="1" customHeight="1" x14ac:dyDescent="0.2">
      <c r="A29" s="1983"/>
      <c r="B29" s="1984"/>
      <c r="C29" s="1985"/>
      <c r="D29" s="1985"/>
      <c r="E29" s="1985"/>
      <c r="F29" s="2030"/>
      <c r="G29" s="2030"/>
      <c r="H29" s="2030"/>
      <c r="I29" s="2030"/>
      <c r="J29" s="2030"/>
      <c r="K29" s="2030"/>
      <c r="L29" s="2019"/>
      <c r="M29" s="2020" t="s">
        <v>2152</v>
      </c>
      <c r="N29" s="2021"/>
    </row>
    <row r="30" spans="1:14" hidden="1" x14ac:dyDescent="0.2">
      <c r="A30" s="2015" t="s">
        <v>2153</v>
      </c>
      <c r="B30" s="2009"/>
      <c r="C30" s="2010"/>
      <c r="D30" s="2032" t="s">
        <v>2154</v>
      </c>
      <c r="E30" s="2016" t="s">
        <v>2155</v>
      </c>
      <c r="F30" s="2017"/>
      <c r="G30" s="2017"/>
      <c r="H30" s="2017"/>
      <c r="I30" s="2017"/>
      <c r="J30" s="2017"/>
      <c r="K30" s="2017"/>
      <c r="L30" s="2017"/>
      <c r="M30" s="2017">
        <f>SUM(H30:L30)</f>
        <v>0</v>
      </c>
      <c r="N30" s="2018"/>
    </row>
    <row r="31" spans="1:14" x14ac:dyDescent="0.2">
      <c r="A31" s="2033"/>
      <c r="B31" s="1989"/>
      <c r="C31" s="1990"/>
      <c r="D31" s="2034"/>
      <c r="E31" s="2024"/>
      <c r="F31" s="2025"/>
      <c r="G31" s="2025"/>
      <c r="H31" s="2025"/>
      <c r="I31" s="2025"/>
      <c r="J31" s="2025"/>
      <c r="K31" s="2025"/>
      <c r="L31" s="2025"/>
      <c r="M31" s="2035" t="s">
        <v>2139</v>
      </c>
      <c r="N31" s="2026"/>
    </row>
    <row r="32" spans="1:14" x14ac:dyDescent="0.2">
      <c r="A32" s="2015" t="s">
        <v>2156</v>
      </c>
      <c r="B32" s="2009"/>
      <c r="C32" s="2010"/>
      <c r="D32" s="2032" t="s">
        <v>2149</v>
      </c>
      <c r="E32" s="2016" t="s">
        <v>2157</v>
      </c>
      <c r="F32" s="2017">
        <v>32</v>
      </c>
      <c r="G32" s="2017">
        <v>3560</v>
      </c>
      <c r="H32" s="2017">
        <v>3592</v>
      </c>
      <c r="I32" s="2017"/>
      <c r="J32" s="2017"/>
      <c r="K32" s="2017"/>
      <c r="L32" s="2017"/>
      <c r="M32" s="2017">
        <f>SUM(H32:L32)</f>
        <v>3592</v>
      </c>
      <c r="N32" s="2018">
        <v>3664</v>
      </c>
    </row>
    <row r="33" spans="1:14" hidden="1" x14ac:dyDescent="0.2">
      <c r="A33" s="2033"/>
      <c r="B33" s="1989"/>
      <c r="C33" s="1990"/>
      <c r="D33" s="2034"/>
      <c r="E33" s="2024"/>
      <c r="F33" s="2025"/>
      <c r="G33" s="2025"/>
      <c r="H33" s="2025"/>
      <c r="I33" s="2025"/>
      <c r="J33" s="2025"/>
      <c r="K33" s="2025"/>
      <c r="L33" s="2025"/>
      <c r="M33" s="2014" t="s">
        <v>2139</v>
      </c>
      <c r="N33" s="2026"/>
    </row>
    <row r="34" spans="1:14" hidden="1" x14ac:dyDescent="0.2">
      <c r="A34" s="2015"/>
      <c r="B34" s="2009"/>
      <c r="C34" s="2010"/>
      <c r="D34" s="2032" t="s">
        <v>2149</v>
      </c>
      <c r="E34" s="2016" t="s">
        <v>2157</v>
      </c>
      <c r="F34" s="2017"/>
      <c r="G34" s="2017">
        <v>0</v>
      </c>
      <c r="H34" s="2017"/>
      <c r="I34" s="2017"/>
      <c r="J34" s="2017">
        <v>0</v>
      </c>
      <c r="K34" s="2017"/>
      <c r="L34" s="2017"/>
      <c r="M34" s="2017">
        <f>SUM(H34:L34)</f>
        <v>0</v>
      </c>
      <c r="N34" s="2018">
        <v>0</v>
      </c>
    </row>
    <row r="35" spans="1:14" hidden="1" x14ac:dyDescent="0.2">
      <c r="A35" s="2033"/>
      <c r="B35" s="1989"/>
      <c r="C35" s="1990"/>
      <c r="D35" s="2034"/>
      <c r="E35" s="2024"/>
      <c r="F35" s="2025"/>
      <c r="G35" s="2025"/>
      <c r="H35" s="2025"/>
      <c r="I35" s="2025"/>
      <c r="J35" s="2025"/>
      <c r="K35" s="2025"/>
      <c r="L35" s="2025"/>
      <c r="M35" s="2036" t="s">
        <v>2158</v>
      </c>
      <c r="N35" s="2026"/>
    </row>
    <row r="36" spans="1:14" hidden="1" x14ac:dyDescent="0.2">
      <c r="A36" s="2015" t="s">
        <v>2159</v>
      </c>
      <c r="B36" s="2009"/>
      <c r="C36" s="2010"/>
      <c r="D36" s="2032" t="s">
        <v>2149</v>
      </c>
      <c r="E36" s="2016" t="s">
        <v>2160</v>
      </c>
      <c r="F36" s="2017">
        <v>0</v>
      </c>
      <c r="G36" s="2017"/>
      <c r="H36" s="2017">
        <v>0</v>
      </c>
      <c r="I36" s="2017"/>
      <c r="J36" s="2017"/>
      <c r="K36" s="2017"/>
      <c r="L36" s="2017"/>
      <c r="M36" s="2017">
        <f>SUM(H36:L36)</f>
        <v>0</v>
      </c>
      <c r="N36" s="2018">
        <v>0</v>
      </c>
    </row>
    <row r="37" spans="1:14" hidden="1" x14ac:dyDescent="0.2">
      <c r="A37" s="2033"/>
      <c r="B37" s="1989"/>
      <c r="C37" s="1990"/>
      <c r="D37" s="2034"/>
      <c r="E37" s="2024"/>
      <c r="F37" s="2025">
        <f>SUBTOTAL(9,F36)</f>
        <v>0</v>
      </c>
      <c r="G37" s="2025"/>
      <c r="H37" s="2025">
        <f>SUBTOTAL(9,H36)</f>
        <v>0</v>
      </c>
      <c r="I37" s="2025"/>
      <c r="J37" s="2025"/>
      <c r="K37" s="2025"/>
      <c r="L37" s="2025">
        <f>SUBTOTAL(9,L36)</f>
        <v>0</v>
      </c>
      <c r="M37" s="2025"/>
      <c r="N37" s="2026"/>
    </row>
    <row r="38" spans="1:14" hidden="1" x14ac:dyDescent="0.2">
      <c r="A38" s="2033"/>
      <c r="B38" s="1989"/>
      <c r="C38" s="1990"/>
      <c r="D38" s="2034"/>
      <c r="E38" s="2024"/>
      <c r="F38" s="2025"/>
      <c r="G38" s="2025"/>
      <c r="H38" s="2025"/>
      <c r="I38" s="2025"/>
      <c r="J38" s="2025"/>
      <c r="K38" s="2025"/>
      <c r="L38" s="2025"/>
      <c r="M38" s="2020" t="s">
        <v>2158</v>
      </c>
      <c r="N38" s="2026"/>
    </row>
    <row r="39" spans="1:14" hidden="1" x14ac:dyDescent="0.2">
      <c r="A39" s="2033"/>
      <c r="B39" s="1989"/>
      <c r="C39" s="1990"/>
      <c r="D39" s="2034"/>
      <c r="E39" s="2024"/>
      <c r="F39" s="2025"/>
      <c r="G39" s="2025"/>
      <c r="H39" s="2025"/>
      <c r="I39" s="2025"/>
      <c r="J39" s="2025"/>
      <c r="K39" s="2025"/>
      <c r="L39" s="2025"/>
      <c r="M39" s="2036"/>
      <c r="N39" s="2026"/>
    </row>
    <row r="40" spans="1:14" hidden="1" x14ac:dyDescent="0.2">
      <c r="A40" s="2033" t="s">
        <v>2161</v>
      </c>
      <c r="B40" s="1989"/>
      <c r="C40" s="1990"/>
      <c r="D40" s="2032" t="s">
        <v>2149</v>
      </c>
      <c r="E40" s="2016" t="s">
        <v>2160</v>
      </c>
      <c r="F40" s="2017"/>
      <c r="G40" s="2017">
        <v>0</v>
      </c>
      <c r="H40" s="2017">
        <v>0</v>
      </c>
      <c r="I40" s="2017"/>
      <c r="J40" s="2017"/>
      <c r="K40" s="2017"/>
      <c r="L40" s="2017"/>
      <c r="M40" s="2017">
        <f>SUM(H40:L40)</f>
        <v>0</v>
      </c>
      <c r="N40" s="2018">
        <v>0</v>
      </c>
    </row>
    <row r="41" spans="1:14" x14ac:dyDescent="0.2">
      <c r="A41" s="2037" t="s">
        <v>2162</v>
      </c>
      <c r="B41" s="1984"/>
      <c r="C41" s="2038"/>
      <c r="D41" s="2039"/>
      <c r="E41" s="2040"/>
      <c r="F41" s="2041">
        <f>SUBTOTAL(9,F26:F40)</f>
        <v>12658</v>
      </c>
      <c r="G41" s="2041">
        <f>SUBTOTAL(9,G26:G40)</f>
        <v>74834</v>
      </c>
      <c r="H41" s="2041">
        <f>SUBTOTAL(9,H26:H40)</f>
        <v>34660</v>
      </c>
      <c r="I41" s="2041"/>
      <c r="J41" s="2041">
        <f>SUBTOTAL(9,J26:J40)</f>
        <v>52832</v>
      </c>
      <c r="K41" s="2041"/>
      <c r="L41" s="2041">
        <f>SUBTOTAL(9,L40)</f>
        <v>0</v>
      </c>
      <c r="M41" s="2041">
        <f>SUBTOTAL(9,M26:M40)</f>
        <v>87492</v>
      </c>
      <c r="N41" s="2042"/>
    </row>
    <row r="42" spans="1:14" x14ac:dyDescent="0.2">
      <c r="A42" s="2037"/>
      <c r="B42" s="1984"/>
      <c r="C42" s="2038"/>
      <c r="D42" s="2043"/>
      <c r="E42" s="2044"/>
      <c r="F42" s="2045"/>
      <c r="G42" s="2045"/>
      <c r="H42" s="2045"/>
      <c r="I42" s="2045"/>
      <c r="J42" s="2045"/>
      <c r="K42" s="2045"/>
      <c r="L42" s="2045"/>
      <c r="M42" s="2045"/>
      <c r="N42" s="2046"/>
    </row>
    <row r="43" spans="1:14" x14ac:dyDescent="0.2">
      <c r="A43" s="2047" t="s">
        <v>2153</v>
      </c>
      <c r="B43" s="2009"/>
      <c r="C43" s="2048"/>
      <c r="D43" s="2032" t="s">
        <v>2154</v>
      </c>
      <c r="E43" s="2016" t="s">
        <v>2163</v>
      </c>
      <c r="F43" s="2017"/>
      <c r="G43" s="2017">
        <v>8314</v>
      </c>
      <c r="H43" s="2017"/>
      <c r="I43" s="2017"/>
      <c r="J43" s="2017">
        <v>8314</v>
      </c>
      <c r="K43" s="2017"/>
      <c r="L43" s="2017"/>
      <c r="M43" s="2017">
        <f>SUM(H43:L43)</f>
        <v>8314</v>
      </c>
      <c r="N43" s="2018" t="s">
        <v>2164</v>
      </c>
    </row>
    <row r="44" spans="1:14" x14ac:dyDescent="0.2">
      <c r="A44" s="1988" t="s">
        <v>2165</v>
      </c>
      <c r="B44" s="1989"/>
      <c r="C44" s="1990"/>
      <c r="D44" s="1985"/>
      <c r="E44" s="1985"/>
      <c r="F44" s="2019"/>
      <c r="G44" s="2019"/>
      <c r="H44" s="2020"/>
      <c r="I44" s="2019"/>
      <c r="J44" s="2020"/>
      <c r="K44" s="2019"/>
      <c r="L44" s="2019"/>
      <c r="M44" s="2049"/>
      <c r="N44" s="2028"/>
    </row>
    <row r="45" spans="1:14" x14ac:dyDescent="0.2">
      <c r="A45" s="2015" t="s">
        <v>2166</v>
      </c>
      <c r="B45" s="2009"/>
      <c r="C45" s="2010"/>
      <c r="D45" s="2016" t="s">
        <v>2154</v>
      </c>
      <c r="E45" s="2016" t="s">
        <v>2168</v>
      </c>
      <c r="F45" s="2017">
        <v>201590</v>
      </c>
      <c r="G45" s="2017">
        <v>44541</v>
      </c>
      <c r="H45" s="2017">
        <v>246131</v>
      </c>
      <c r="I45" s="2017"/>
      <c r="J45" s="2017"/>
      <c r="K45" s="2017"/>
      <c r="L45" s="2017"/>
      <c r="M45" s="2017">
        <f>SUM(H45:L45)</f>
        <v>246131</v>
      </c>
      <c r="N45" s="2018">
        <v>248530</v>
      </c>
    </row>
    <row r="46" spans="1:14" x14ac:dyDescent="0.2">
      <c r="A46" s="2012"/>
      <c r="B46" s="1984"/>
      <c r="C46" s="1985"/>
      <c r="D46" s="2050"/>
      <c r="E46" s="2029"/>
      <c r="F46" s="2031"/>
      <c r="G46" s="2031"/>
      <c r="H46" s="2031"/>
      <c r="I46" s="2031"/>
      <c r="J46" s="2031"/>
      <c r="K46" s="2031"/>
      <c r="L46" s="2031"/>
      <c r="M46" s="2031"/>
      <c r="N46" s="2021"/>
    </row>
    <row r="47" spans="1:14" x14ac:dyDescent="0.2">
      <c r="A47" s="2022"/>
      <c r="B47" s="2009"/>
      <c r="C47" s="2010"/>
      <c r="D47" s="2016" t="s">
        <v>2154</v>
      </c>
      <c r="E47" s="2016" t="s">
        <v>2167</v>
      </c>
      <c r="F47" s="2017"/>
      <c r="G47" s="2017">
        <v>246482</v>
      </c>
      <c r="H47" s="2017"/>
      <c r="I47" s="2017"/>
      <c r="J47" s="2017">
        <v>246482</v>
      </c>
      <c r="K47" s="2017"/>
      <c r="L47" s="2017"/>
      <c r="M47" s="2017">
        <v>246482</v>
      </c>
      <c r="N47" s="2018">
        <v>248384</v>
      </c>
    </row>
    <row r="48" spans="1:14" x14ac:dyDescent="0.2">
      <c r="A48" s="2023" t="s">
        <v>2169</v>
      </c>
      <c r="B48" s="1989"/>
      <c r="C48" s="1990"/>
      <c r="D48" s="2024"/>
      <c r="E48" s="2024"/>
      <c r="F48" s="2025">
        <f>SUBTOTAL(9,F43:F47)</f>
        <v>201590</v>
      </c>
      <c r="G48" s="2025">
        <f>SUBTOTAL(9,G43:G47)</f>
        <v>299337</v>
      </c>
      <c r="H48" s="2025">
        <f>SUBTOTAL(9,H43:H47)</f>
        <v>246131</v>
      </c>
      <c r="I48" s="2025"/>
      <c r="J48" s="2025">
        <f>SUBTOTAL(9,J43:J47)</f>
        <v>254796</v>
      </c>
      <c r="K48" s="2025"/>
      <c r="L48" s="2025">
        <f>SUBTOTAL(9,L45:L47)</f>
        <v>0</v>
      </c>
      <c r="M48" s="2025">
        <f>SUBTOTAL(9,M43:M47)</f>
        <v>500927</v>
      </c>
      <c r="N48" s="2026"/>
    </row>
    <row r="49" spans="1:14" x14ac:dyDescent="0.2">
      <c r="A49" s="2012"/>
      <c r="B49" s="1984"/>
      <c r="C49" s="1985"/>
      <c r="D49" s="2050"/>
      <c r="E49" s="2029"/>
      <c r="F49" s="2031"/>
      <c r="G49" s="2031"/>
      <c r="H49" s="2031"/>
      <c r="I49" s="2031"/>
      <c r="J49" s="2031"/>
      <c r="K49" s="2031"/>
      <c r="L49" s="2031"/>
      <c r="M49" s="2031"/>
      <c r="N49" s="2021"/>
    </row>
    <row r="50" spans="1:14" x14ac:dyDescent="0.2">
      <c r="A50" s="2047" t="s">
        <v>2170</v>
      </c>
      <c r="B50" s="2009"/>
      <c r="C50" s="2010"/>
      <c r="D50" s="2051" t="s">
        <v>2171</v>
      </c>
      <c r="E50" s="2016" t="s">
        <v>2172</v>
      </c>
      <c r="F50" s="2052">
        <v>2361</v>
      </c>
      <c r="G50" s="2017">
        <v>6483</v>
      </c>
      <c r="H50" s="2017">
        <v>8844</v>
      </c>
      <c r="I50" s="2017"/>
      <c r="J50" s="2017"/>
      <c r="K50" s="2017"/>
      <c r="L50" s="2017"/>
      <c r="M50" s="2017">
        <f>SUM(H50:L50)</f>
        <v>8844</v>
      </c>
      <c r="N50" s="2018">
        <v>8844</v>
      </c>
    </row>
    <row r="51" spans="1:14" x14ac:dyDescent="0.2">
      <c r="A51" s="2012"/>
      <c r="B51" s="1984"/>
      <c r="C51" s="1985"/>
      <c r="D51" s="2050"/>
      <c r="E51" s="2029"/>
      <c r="F51" s="2031"/>
      <c r="G51" s="2031"/>
      <c r="H51" s="2031"/>
      <c r="I51" s="2031"/>
      <c r="J51" s="2031"/>
      <c r="K51" s="2031"/>
      <c r="L51" s="2031"/>
      <c r="M51" s="2031"/>
      <c r="N51" s="2021"/>
    </row>
    <row r="52" spans="1:14" x14ac:dyDescent="0.2">
      <c r="A52" s="2047"/>
      <c r="B52" s="2009"/>
      <c r="C52" s="2010"/>
      <c r="D52" s="2053" t="s">
        <v>2171</v>
      </c>
      <c r="E52" s="2016" t="s">
        <v>2173</v>
      </c>
      <c r="F52" s="2017"/>
      <c r="G52" s="2017">
        <v>7107</v>
      </c>
      <c r="H52" s="2017"/>
      <c r="I52" s="2017"/>
      <c r="J52" s="2017">
        <v>7769</v>
      </c>
      <c r="K52" s="2017"/>
      <c r="L52" s="2054"/>
      <c r="M52" s="2052">
        <f>SUM(H52:L52)</f>
        <v>7769</v>
      </c>
      <c r="N52" s="2018">
        <v>7769</v>
      </c>
    </row>
    <row r="53" spans="1:14" ht="12.75" thickBot="1" x14ac:dyDescent="0.25">
      <c r="A53" s="2055" t="s">
        <v>2174</v>
      </c>
      <c r="B53" s="2056"/>
      <c r="C53" s="2057"/>
      <c r="D53" s="2058"/>
      <c r="E53" s="2059"/>
      <c r="F53" s="2060">
        <f>SUBTOTAL(9,F50:F52)</f>
        <v>2361</v>
      </c>
      <c r="G53" s="2060">
        <f>SUBTOTAL(9,G50:G52)</f>
        <v>13590</v>
      </c>
      <c r="H53" s="2060">
        <f>SUBTOTAL(9,H50:H52)</f>
        <v>8844</v>
      </c>
      <c r="I53" s="2060"/>
      <c r="J53" s="2060">
        <f>SUBTOTAL(9,J50:J52)</f>
        <v>7769</v>
      </c>
      <c r="K53" s="2060"/>
      <c r="L53" s="2060">
        <f>SUBTOTAL(9,L50:L52)</f>
        <v>0</v>
      </c>
      <c r="M53" s="2060">
        <f>SUBTOTAL(9,M50:M52)</f>
        <v>16613</v>
      </c>
      <c r="N53" s="2061"/>
    </row>
    <row r="54" spans="1:14" x14ac:dyDescent="0.2">
      <c r="A54" s="1988"/>
      <c r="B54" s="1989"/>
      <c r="C54" s="1990"/>
      <c r="D54" s="1990"/>
      <c r="E54" s="1990"/>
      <c r="F54" s="1991"/>
      <c r="G54" s="1991"/>
      <c r="H54" s="1991"/>
      <c r="I54" s="1991"/>
      <c r="J54" s="1991"/>
      <c r="K54" s="1991"/>
      <c r="L54" s="1991"/>
      <c r="M54" s="1991"/>
      <c r="N54" s="1992"/>
    </row>
    <row r="55" spans="1:14" x14ac:dyDescent="0.2">
      <c r="A55" s="1993" t="s">
        <v>2175</v>
      </c>
      <c r="B55" s="1994"/>
      <c r="C55" s="1995"/>
      <c r="D55" s="1995"/>
      <c r="E55" s="1995"/>
      <c r="F55" s="1980">
        <f>SUBTOTAL(9,F15:F54)</f>
        <v>312814</v>
      </c>
      <c r="G55" s="1980">
        <f>SUBTOTAL(9,G15:G54)</f>
        <v>666511</v>
      </c>
      <c r="H55" s="1980">
        <f>SUBTOTAL(9,H15:H54)</f>
        <v>505854</v>
      </c>
      <c r="I55" s="1980"/>
      <c r="J55" s="1980">
        <f>SUBTOTAL(9,J15:J54)</f>
        <v>598275</v>
      </c>
      <c r="K55" s="1980"/>
      <c r="L55" s="1980">
        <f>SUBTOTAL(9,L15:L54)</f>
        <v>0</v>
      </c>
      <c r="M55" s="1980">
        <f>SUBTOTAL(9,M15:M54)</f>
        <v>1104129</v>
      </c>
      <c r="N55" s="1996"/>
    </row>
    <row r="56" spans="1:14" ht="6.75" customHeight="1" x14ac:dyDescent="0.2">
      <c r="A56" s="1984"/>
      <c r="B56" s="1984"/>
      <c r="C56" s="1984"/>
      <c r="D56" s="1984"/>
      <c r="E56" s="1984"/>
      <c r="F56" s="1984"/>
      <c r="G56" s="1984"/>
      <c r="H56" s="1984"/>
      <c r="I56" s="1984"/>
      <c r="J56" s="1984"/>
      <c r="K56" s="1984"/>
      <c r="L56" s="1984"/>
      <c r="M56" s="1984"/>
      <c r="N56" s="1997"/>
    </row>
    <row r="57" spans="1:14" x14ac:dyDescent="0.2">
      <c r="A57" s="1989"/>
      <c r="B57" s="1989"/>
      <c r="C57" s="1989"/>
      <c r="D57" s="1989"/>
      <c r="E57" s="1989"/>
      <c r="F57" s="1989"/>
      <c r="G57" s="1989"/>
      <c r="H57" s="1989"/>
      <c r="I57" s="1989"/>
      <c r="J57" s="1989"/>
      <c r="K57" s="1989"/>
      <c r="L57" s="1989"/>
      <c r="M57" s="1989"/>
      <c r="N57" s="1998"/>
    </row>
    <row r="58" spans="1:14" x14ac:dyDescent="0.2">
      <c r="A58" s="1989"/>
      <c r="B58" s="1989"/>
      <c r="C58" s="1989"/>
      <c r="D58" s="1989"/>
      <c r="E58" s="1989"/>
      <c r="F58" s="1989"/>
      <c r="G58" s="1989"/>
      <c r="H58" s="1989"/>
      <c r="I58" s="1989"/>
      <c r="J58" s="1989"/>
      <c r="K58" s="1989"/>
      <c r="L58" s="1989"/>
      <c r="M58" s="1989"/>
      <c r="N58" s="1998"/>
    </row>
    <row r="59" spans="1:14" x14ac:dyDescent="0.2">
      <c r="A59" s="1989"/>
      <c r="B59" s="1989"/>
      <c r="C59" s="1989"/>
      <c r="D59" s="1989"/>
      <c r="E59" s="1989"/>
      <c r="F59" s="1989"/>
      <c r="G59" s="1989"/>
      <c r="H59" s="1989"/>
      <c r="I59" s="1989"/>
      <c r="J59" s="1989"/>
      <c r="K59" s="1989"/>
      <c r="L59" s="1989"/>
      <c r="M59" s="1989"/>
      <c r="N59" s="1998"/>
    </row>
    <row r="60" spans="1:14" x14ac:dyDescent="0.2">
      <c r="A60" s="1989"/>
      <c r="B60" s="1989"/>
      <c r="C60" s="1989"/>
      <c r="D60" s="1989"/>
      <c r="E60" s="1989"/>
      <c r="F60" s="1989"/>
      <c r="G60" s="1989"/>
      <c r="H60" s="1989"/>
      <c r="I60" s="1989"/>
      <c r="J60" s="1989"/>
      <c r="K60" s="1989"/>
      <c r="L60" s="1989"/>
      <c r="M60" s="1989"/>
      <c r="N60" s="1998"/>
    </row>
    <row r="61" spans="1:14" x14ac:dyDescent="0.2">
      <c r="A61" s="1989"/>
      <c r="B61" s="1989"/>
      <c r="C61" s="1989"/>
      <c r="D61" s="1989"/>
      <c r="E61" s="1989"/>
      <c r="F61" s="1989"/>
      <c r="G61" s="1989"/>
      <c r="H61" s="1989"/>
      <c r="I61" s="1989"/>
      <c r="J61" s="1989"/>
      <c r="K61" s="1989"/>
      <c r="L61" s="1989"/>
      <c r="M61" s="1989"/>
      <c r="N61" s="1998"/>
    </row>
    <row r="62" spans="1:14" x14ac:dyDescent="0.2">
      <c r="A62" s="1989"/>
      <c r="B62" s="1989"/>
      <c r="C62" s="1989"/>
      <c r="D62" s="1989"/>
      <c r="E62" s="1989"/>
      <c r="F62" s="1989"/>
      <c r="G62" s="1989"/>
      <c r="H62" s="1989"/>
      <c r="I62" s="1989"/>
      <c r="J62" s="1989"/>
      <c r="K62" s="1989"/>
      <c r="L62" s="1989"/>
      <c r="M62" s="1989"/>
      <c r="N62" s="1998"/>
    </row>
    <row r="63" spans="1:14" x14ac:dyDescent="0.2">
      <c r="A63" s="1989"/>
      <c r="B63" s="1989"/>
      <c r="C63" s="1989"/>
      <c r="D63" s="1989"/>
      <c r="E63" s="1989"/>
      <c r="F63" s="1989"/>
      <c r="G63" s="1989"/>
      <c r="H63" s="1989"/>
      <c r="I63" s="1989"/>
      <c r="J63" s="1989"/>
      <c r="K63" s="1989"/>
      <c r="L63" s="1989"/>
      <c r="M63" s="1989"/>
      <c r="N63" s="1998"/>
    </row>
    <row r="64" spans="1:14" x14ac:dyDescent="0.2">
      <c r="A64" s="1989"/>
      <c r="B64" s="1989"/>
      <c r="C64" s="1989"/>
      <c r="D64" s="1989"/>
      <c r="E64" s="1989"/>
      <c r="F64" s="1989"/>
      <c r="G64" s="1989"/>
      <c r="H64" s="1989"/>
      <c r="I64" s="1989"/>
      <c r="J64" s="1989"/>
      <c r="K64" s="1989"/>
      <c r="L64" s="1989"/>
      <c r="M64" s="1989"/>
      <c r="N64" s="1998"/>
    </row>
    <row r="65" spans="1:14" x14ac:dyDescent="0.2">
      <c r="A65" s="1989"/>
      <c r="B65" s="1989"/>
      <c r="C65" s="1989"/>
      <c r="D65" s="1989"/>
      <c r="E65" s="1989"/>
      <c r="F65" s="1989"/>
      <c r="G65" s="1989"/>
      <c r="H65" s="1989"/>
      <c r="I65" s="1989"/>
      <c r="J65" s="1989"/>
      <c r="K65" s="1989"/>
      <c r="L65" s="1989"/>
      <c r="M65" s="1989"/>
      <c r="N65" s="1998"/>
    </row>
    <row r="66" spans="1:14" x14ac:dyDescent="0.2">
      <c r="A66" s="1989"/>
      <c r="B66" s="1989"/>
      <c r="C66" s="1989"/>
      <c r="D66" s="1989"/>
      <c r="E66" s="1989"/>
      <c r="F66" s="1989"/>
      <c r="G66" s="1989"/>
      <c r="H66" s="1989"/>
      <c r="I66" s="1989"/>
      <c r="J66" s="1989"/>
      <c r="K66" s="1989"/>
      <c r="L66" s="1989"/>
      <c r="M66" s="1989"/>
      <c r="N66" s="1998"/>
    </row>
    <row r="67" spans="1:14" x14ac:dyDescent="0.2">
      <c r="A67" s="1989"/>
      <c r="B67" s="1989"/>
      <c r="C67" s="1989"/>
      <c r="D67" s="1989"/>
      <c r="E67" s="1989"/>
      <c r="F67" s="1989"/>
      <c r="G67" s="1989"/>
      <c r="H67" s="1989"/>
      <c r="I67" s="1989"/>
      <c r="J67" s="1989"/>
      <c r="K67" s="1989"/>
      <c r="L67" s="1989"/>
      <c r="M67" s="1989"/>
      <c r="N67" s="1998"/>
    </row>
    <row r="68" spans="1:14" x14ac:dyDescent="0.2">
      <c r="A68" s="1989"/>
      <c r="B68" s="1989"/>
      <c r="C68" s="1989"/>
      <c r="D68" s="1989"/>
      <c r="E68" s="1989"/>
      <c r="F68" s="1989"/>
      <c r="G68" s="1989"/>
      <c r="H68" s="1989"/>
      <c r="I68" s="1989"/>
      <c r="J68" s="1989"/>
      <c r="K68" s="1989"/>
      <c r="L68" s="1989"/>
      <c r="M68" s="1989"/>
      <c r="N68" s="1998"/>
    </row>
    <row r="69" spans="1:14" x14ac:dyDescent="0.2">
      <c r="A69" s="1989"/>
      <c r="B69" s="1989"/>
      <c r="C69" s="1989"/>
      <c r="D69" s="1989"/>
      <c r="E69" s="1989"/>
      <c r="F69" s="1989"/>
      <c r="G69" s="1989"/>
      <c r="H69" s="1989"/>
      <c r="I69" s="1989"/>
      <c r="J69" s="1989"/>
      <c r="K69" s="1989"/>
      <c r="L69" s="1989"/>
      <c r="M69" s="1989"/>
      <c r="N69" s="1998"/>
    </row>
    <row r="70" spans="1:14" x14ac:dyDescent="0.2">
      <c r="A70" s="1989"/>
      <c r="B70" s="1989"/>
      <c r="C70" s="1989"/>
      <c r="D70" s="1989"/>
      <c r="E70" s="1989"/>
      <c r="F70" s="1989"/>
      <c r="G70" s="1989"/>
      <c r="H70" s="1989"/>
      <c r="I70" s="1989"/>
      <c r="J70" s="1989"/>
      <c r="K70" s="1989"/>
      <c r="L70" s="1989"/>
      <c r="M70" s="1989"/>
      <c r="N70" s="1998"/>
    </row>
    <row r="71" spans="1:14" x14ac:dyDescent="0.2">
      <c r="A71" s="1989"/>
      <c r="B71" s="1989"/>
      <c r="C71" s="1989"/>
      <c r="D71" s="1989"/>
      <c r="E71" s="1989"/>
      <c r="F71" s="1989"/>
      <c r="G71" s="1989"/>
      <c r="H71" s="1989"/>
      <c r="I71" s="1989"/>
      <c r="J71" s="1989"/>
      <c r="K71" s="1989"/>
      <c r="L71" s="1989"/>
      <c r="M71" s="1989"/>
      <c r="N71" s="1998"/>
    </row>
    <row r="72" spans="1:14" x14ac:dyDescent="0.2">
      <c r="A72" s="1989"/>
      <c r="B72" s="1989"/>
      <c r="C72" s="1989"/>
      <c r="D72" s="1989"/>
      <c r="E72" s="1989"/>
      <c r="F72" s="1989"/>
      <c r="G72" s="1989"/>
      <c r="H72" s="1989"/>
      <c r="I72" s="1989"/>
      <c r="J72" s="1989"/>
      <c r="K72" s="1989"/>
      <c r="L72" s="1989"/>
      <c r="M72" s="1989"/>
      <c r="N72" s="1998"/>
    </row>
    <row r="73" spans="1:14" ht="12.75" thickBot="1" x14ac:dyDescent="0.25">
      <c r="A73" s="2648" t="s">
        <v>2176</v>
      </c>
      <c r="B73" s="2648"/>
      <c r="C73" s="2648"/>
      <c r="D73" s="2648"/>
      <c r="E73" s="2648"/>
      <c r="F73" s="2648"/>
      <c r="G73" s="2648"/>
      <c r="H73" s="2648"/>
      <c r="I73" s="2648"/>
      <c r="J73" s="2648"/>
      <c r="K73" s="2648"/>
      <c r="L73" s="2648"/>
      <c r="M73" s="2648"/>
      <c r="N73" s="2648"/>
    </row>
    <row r="74" spans="1:14" ht="13.5" thickTop="1" x14ac:dyDescent="0.2">
      <c r="A74" s="1948"/>
      <c r="B74" s="1949"/>
      <c r="C74" s="1950"/>
      <c r="D74" s="1951"/>
      <c r="E74" s="1978" t="s">
        <v>2123</v>
      </c>
      <c r="F74" s="1953"/>
      <c r="G74" s="1954"/>
      <c r="H74" s="1953"/>
      <c r="I74" s="1953"/>
      <c r="J74" s="1955"/>
      <c r="K74" s="1956"/>
      <c r="L74" s="1954"/>
      <c r="M74" s="1954"/>
      <c r="N74" s="1957"/>
    </row>
    <row r="75" spans="1:14" x14ac:dyDescent="0.2">
      <c r="A75" s="1958" t="s">
        <v>2124</v>
      </c>
      <c r="B75" s="1959"/>
      <c r="C75" s="1960"/>
      <c r="D75" s="1961" t="s">
        <v>1326</v>
      </c>
      <c r="E75" s="1962" t="s">
        <v>2125</v>
      </c>
      <c r="F75" s="1963" t="s">
        <v>548</v>
      </c>
      <c r="G75" s="1964"/>
      <c r="H75" s="1963" t="s">
        <v>2126</v>
      </c>
      <c r="I75" s="1963"/>
      <c r="J75" s="1964"/>
      <c r="K75" s="1960"/>
      <c r="L75" s="1954"/>
      <c r="M75" s="1954"/>
      <c r="N75" s="1965"/>
    </row>
    <row r="76" spans="1:14" ht="12.75" x14ac:dyDescent="0.2">
      <c r="A76" s="1958" t="s">
        <v>1328</v>
      </c>
      <c r="B76" s="1959"/>
      <c r="C76" s="1960"/>
      <c r="D76" s="1961" t="s">
        <v>2127</v>
      </c>
      <c r="E76" s="1962" t="s">
        <v>1325</v>
      </c>
      <c r="F76" s="1966" t="s">
        <v>2128</v>
      </c>
      <c r="G76" s="1966" t="s">
        <v>2129</v>
      </c>
      <c r="H76" s="1966" t="s">
        <v>2128</v>
      </c>
      <c r="I76" s="1966" t="s">
        <v>2130</v>
      </c>
      <c r="J76" s="1966" t="s">
        <v>2129</v>
      </c>
      <c r="K76" s="1967" t="s">
        <v>2131</v>
      </c>
      <c r="L76" s="1968" t="s">
        <v>1323</v>
      </c>
      <c r="M76" s="1968" t="s">
        <v>2132</v>
      </c>
      <c r="N76" s="1965"/>
    </row>
    <row r="77" spans="1:14" ht="12.75" x14ac:dyDescent="0.2">
      <c r="A77" s="2649" t="s">
        <v>1321</v>
      </c>
      <c r="B77" s="2650"/>
      <c r="C77" s="2651"/>
      <c r="D77" s="1951"/>
      <c r="E77" s="1962" t="s">
        <v>2133</v>
      </c>
      <c r="F77" s="1966" t="s">
        <v>2134</v>
      </c>
      <c r="G77" s="1966" t="s">
        <v>2135</v>
      </c>
      <c r="H77" s="1966" t="s">
        <v>2134</v>
      </c>
      <c r="I77" s="1966" t="s">
        <v>2134</v>
      </c>
      <c r="J77" s="1966" t="s">
        <v>2135</v>
      </c>
      <c r="K77" s="1966" t="s">
        <v>2135</v>
      </c>
      <c r="L77" s="1968" t="s">
        <v>1320</v>
      </c>
      <c r="M77" s="1968" t="s">
        <v>1319</v>
      </c>
      <c r="N77" s="1969" t="s">
        <v>30</v>
      </c>
    </row>
    <row r="78" spans="1:14" x14ac:dyDescent="0.2">
      <c r="A78" s="1958" t="s">
        <v>1318</v>
      </c>
      <c r="B78" s="1959"/>
      <c r="C78" s="1960"/>
      <c r="D78" s="1951"/>
      <c r="E78" s="1954"/>
      <c r="F78" s="1954"/>
      <c r="G78" s="1954"/>
      <c r="H78" s="1954"/>
      <c r="I78" s="1970" t="s">
        <v>2136</v>
      </c>
      <c r="J78" s="1954"/>
      <c r="K78" s="1954" t="s">
        <v>2136</v>
      </c>
      <c r="L78" s="1954"/>
      <c r="M78" s="1954"/>
      <c r="N78" s="1965"/>
    </row>
    <row r="79" spans="1:14" x14ac:dyDescent="0.2">
      <c r="A79" s="1979"/>
      <c r="B79" s="1959"/>
      <c r="C79" s="1960"/>
      <c r="D79" s="1961" t="s">
        <v>1317</v>
      </c>
      <c r="E79" s="1962" t="s">
        <v>1316</v>
      </c>
      <c r="F79" s="1968" t="s">
        <v>1315</v>
      </c>
      <c r="G79" s="1968" t="s">
        <v>1314</v>
      </c>
      <c r="H79" s="1968" t="s">
        <v>1313</v>
      </c>
      <c r="I79" s="1968" t="s">
        <v>1328</v>
      </c>
      <c r="J79" s="1968" t="s">
        <v>1312</v>
      </c>
      <c r="K79" s="1968" t="s">
        <v>1328</v>
      </c>
      <c r="L79" s="1968" t="s">
        <v>1311</v>
      </c>
      <c r="M79" s="1968" t="s">
        <v>1310</v>
      </c>
      <c r="N79" s="1969" t="s">
        <v>1309</v>
      </c>
    </row>
    <row r="80" spans="1:14" x14ac:dyDescent="0.2">
      <c r="A80" s="2062" t="s">
        <v>2177</v>
      </c>
      <c r="B80" s="2063"/>
      <c r="C80" s="2064"/>
      <c r="D80" s="2064"/>
      <c r="E80" s="2064"/>
      <c r="F80" s="2065"/>
      <c r="G80" s="2065"/>
      <c r="H80" s="2065"/>
      <c r="I80" s="2065"/>
      <c r="J80" s="2065"/>
      <c r="K80" s="2065"/>
      <c r="L80" s="2065"/>
      <c r="M80" s="2065"/>
      <c r="N80" s="2066"/>
    </row>
    <row r="81" spans="1:14" x14ac:dyDescent="0.2">
      <c r="A81" s="2023" t="s">
        <v>2138</v>
      </c>
      <c r="B81" s="1989"/>
      <c r="C81" s="2067"/>
      <c r="D81" s="2068"/>
      <c r="E81" s="2044"/>
      <c r="F81" s="2069"/>
      <c r="G81" s="2070"/>
      <c r="H81" s="2069"/>
      <c r="I81" s="2070"/>
      <c r="J81" s="2071"/>
      <c r="K81" s="2070"/>
      <c r="L81" s="2070"/>
      <c r="M81" s="2072" t="s">
        <v>2158</v>
      </c>
      <c r="N81" s="2073"/>
    </row>
    <row r="82" spans="1:14" x14ac:dyDescent="0.2">
      <c r="A82" s="2015" t="s">
        <v>2178</v>
      </c>
      <c r="B82" s="2009"/>
      <c r="C82" s="2010"/>
      <c r="D82" s="2074" t="s">
        <v>2179</v>
      </c>
      <c r="E82" s="2016" t="s">
        <v>2180</v>
      </c>
      <c r="F82" s="2054">
        <v>105455</v>
      </c>
      <c r="G82" s="2017">
        <v>73433</v>
      </c>
      <c r="H82" s="2017">
        <v>150280</v>
      </c>
      <c r="I82" s="2017"/>
      <c r="J82" s="2017">
        <v>28608</v>
      </c>
      <c r="K82" s="2017"/>
      <c r="L82" s="2054"/>
      <c r="M82" s="2017">
        <f>SUM(H82:L82)</f>
        <v>178888</v>
      </c>
      <c r="N82" s="2075" t="s">
        <v>2164</v>
      </c>
    </row>
    <row r="83" spans="1:14" x14ac:dyDescent="0.2">
      <c r="A83" s="1983"/>
      <c r="B83" s="1984"/>
      <c r="C83" s="1985"/>
      <c r="D83" s="1985"/>
      <c r="E83" s="1985"/>
      <c r="F83" s="2030"/>
      <c r="G83" s="2030"/>
      <c r="H83" s="2030"/>
      <c r="I83" s="2030"/>
      <c r="J83" s="2030"/>
      <c r="K83" s="2030"/>
      <c r="L83" s="2019"/>
      <c r="M83" s="2020" t="s">
        <v>2158</v>
      </c>
      <c r="N83" s="2076"/>
    </row>
    <row r="84" spans="1:14" x14ac:dyDescent="0.2">
      <c r="A84" s="2077"/>
      <c r="B84" s="2009"/>
      <c r="C84" s="2010"/>
      <c r="D84" s="2074" t="s">
        <v>2179</v>
      </c>
      <c r="E84" s="2016" t="s">
        <v>2181</v>
      </c>
      <c r="F84" s="2054"/>
      <c r="G84" s="2054">
        <v>144365</v>
      </c>
      <c r="H84" s="2017"/>
      <c r="I84" s="2054"/>
      <c r="J84" s="2017">
        <v>145039</v>
      </c>
      <c r="K84" s="2054"/>
      <c r="L84" s="2054"/>
      <c r="M84" s="2017">
        <f>SUM(H84:L84)</f>
        <v>145039</v>
      </c>
      <c r="N84" s="2075" t="s">
        <v>2164</v>
      </c>
    </row>
    <row r="85" spans="1:14" ht="8.25" customHeight="1" x14ac:dyDescent="0.2">
      <c r="A85" s="2078"/>
      <c r="B85" s="1989"/>
      <c r="C85" s="1990"/>
      <c r="D85" s="2079"/>
      <c r="E85" s="2024"/>
      <c r="F85" s="2025"/>
      <c r="G85" s="2025"/>
      <c r="H85" s="2025"/>
      <c r="I85" s="2025"/>
      <c r="J85" s="2025"/>
      <c r="K85" s="2025"/>
      <c r="L85" s="1991"/>
      <c r="M85" s="2025"/>
      <c r="N85" s="2080"/>
    </row>
    <row r="86" spans="1:14" x14ac:dyDescent="0.2">
      <c r="A86" s="2047" t="s">
        <v>2182</v>
      </c>
      <c r="B86" s="2009"/>
      <c r="C86" s="2010"/>
      <c r="D86" s="2016" t="s">
        <v>2179</v>
      </c>
      <c r="E86" s="2081" t="s">
        <v>2183</v>
      </c>
      <c r="F86" s="2052">
        <v>12874</v>
      </c>
      <c r="G86" s="2017"/>
      <c r="H86" s="2017">
        <v>12874</v>
      </c>
      <c r="I86" s="2017"/>
      <c r="J86" s="2017"/>
      <c r="K86" s="2017"/>
      <c r="L86" s="2054"/>
      <c r="M86" s="2017">
        <f>SUM(H86:L86)</f>
        <v>12874</v>
      </c>
      <c r="N86" s="2075" t="s">
        <v>2164</v>
      </c>
    </row>
    <row r="87" spans="1:14" ht="7.5" customHeight="1" x14ac:dyDescent="0.2">
      <c r="A87" s="1983"/>
      <c r="B87" s="1984"/>
      <c r="C87" s="1985"/>
      <c r="D87" s="2050"/>
      <c r="E87" s="2029"/>
      <c r="F87" s="2031"/>
      <c r="G87" s="2031"/>
      <c r="H87" s="2031"/>
      <c r="I87" s="2031"/>
      <c r="J87" s="2031"/>
      <c r="K87" s="2031"/>
      <c r="L87" s="2019"/>
      <c r="M87" s="2031"/>
      <c r="N87" s="2082"/>
    </row>
    <row r="88" spans="1:14" x14ac:dyDescent="0.2">
      <c r="A88" s="2077"/>
      <c r="B88" s="2009"/>
      <c r="C88" s="2009"/>
      <c r="D88" s="2083" t="s">
        <v>2179</v>
      </c>
      <c r="E88" s="2084" t="s">
        <v>2184</v>
      </c>
      <c r="F88" s="2085"/>
      <c r="G88" s="2085">
        <v>11610</v>
      </c>
      <c r="H88" s="2085"/>
      <c r="I88" s="2085"/>
      <c r="J88" s="2085">
        <v>11610</v>
      </c>
      <c r="K88" s="2085"/>
      <c r="L88" s="2086"/>
      <c r="M88" s="2085">
        <f>SUM(H88:L88)</f>
        <v>11610</v>
      </c>
      <c r="N88" s="2087" t="s">
        <v>2164</v>
      </c>
    </row>
    <row r="89" spans="1:14" x14ac:dyDescent="0.2">
      <c r="A89" s="1988"/>
      <c r="B89" s="1989"/>
      <c r="C89" s="2067"/>
      <c r="D89" s="2088"/>
      <c r="E89" s="2024"/>
      <c r="F89" s="2089"/>
      <c r="G89" s="2089"/>
      <c r="H89" s="2089"/>
      <c r="I89" s="2089"/>
      <c r="J89" s="2089"/>
      <c r="K89" s="2089"/>
      <c r="L89" s="2090"/>
      <c r="M89" s="2089"/>
      <c r="N89" s="2003"/>
    </row>
    <row r="90" spans="1:14" x14ac:dyDescent="0.2">
      <c r="A90" s="2047" t="s">
        <v>2185</v>
      </c>
      <c r="B90" s="2009"/>
      <c r="C90" s="2048"/>
      <c r="D90" s="2091">
        <v>10.555</v>
      </c>
      <c r="E90" s="2084" t="s">
        <v>2183</v>
      </c>
      <c r="F90" s="2092">
        <v>15787</v>
      </c>
      <c r="G90" s="2092"/>
      <c r="H90" s="2092">
        <v>15787</v>
      </c>
      <c r="I90" s="2092"/>
      <c r="J90" s="2092"/>
      <c r="K90" s="2092"/>
      <c r="L90" s="2093"/>
      <c r="M90" s="2092">
        <f>SUM(H90:L90)</f>
        <v>15787</v>
      </c>
      <c r="N90" s="2094" t="s">
        <v>2164</v>
      </c>
    </row>
    <row r="91" spans="1:14" x14ac:dyDescent="0.2">
      <c r="A91" s="1988"/>
      <c r="B91" s="1989"/>
      <c r="C91" s="2038"/>
      <c r="D91" s="2088"/>
      <c r="E91" s="2029"/>
      <c r="F91" s="2089"/>
      <c r="G91" s="2089"/>
      <c r="H91" s="2089"/>
      <c r="I91" s="2089"/>
      <c r="J91" s="2089"/>
      <c r="K91" s="2089"/>
      <c r="L91" s="2090"/>
      <c r="M91" s="2045"/>
      <c r="N91" s="2003"/>
    </row>
    <row r="92" spans="1:14" x14ac:dyDescent="0.2">
      <c r="A92" s="2047"/>
      <c r="B92" s="2009"/>
      <c r="C92" s="2048"/>
      <c r="D92" s="2091">
        <v>10.555</v>
      </c>
      <c r="E92" s="2084" t="s">
        <v>2184</v>
      </c>
      <c r="F92" s="2092"/>
      <c r="G92" s="2092">
        <v>14953</v>
      </c>
      <c r="H92" s="2092"/>
      <c r="I92" s="2092"/>
      <c r="J92" s="2092">
        <v>14953</v>
      </c>
      <c r="K92" s="2092"/>
      <c r="L92" s="2093"/>
      <c r="M92" s="2092">
        <f>SUM(H92:L92)</f>
        <v>14953</v>
      </c>
      <c r="N92" s="2094" t="s">
        <v>2164</v>
      </c>
    </row>
    <row r="93" spans="1:14" x14ac:dyDescent="0.2">
      <c r="A93" s="2095" t="s">
        <v>2186</v>
      </c>
      <c r="B93" s="2063"/>
      <c r="C93" s="2063"/>
      <c r="D93" s="2096"/>
      <c r="E93" s="2097"/>
      <c r="F93" s="2098">
        <f>SUBTOTAL(9,F82:F92)</f>
        <v>134116</v>
      </c>
      <c r="G93" s="2098">
        <f>SUBTOTAL(9,G82:G92)</f>
        <v>244361</v>
      </c>
      <c r="H93" s="2098">
        <f>SUBTOTAL(9,H82:H92)</f>
        <v>178941</v>
      </c>
      <c r="I93" s="2098"/>
      <c r="J93" s="2098">
        <f>SUBTOTAL(9,J82:J92)</f>
        <v>200210</v>
      </c>
      <c r="K93" s="2098"/>
      <c r="L93" s="2098">
        <f>SUBTOTAL(9,L90:L92)</f>
        <v>0</v>
      </c>
      <c r="M93" s="2098">
        <f>SUBTOTAL(9,M82:M92)</f>
        <v>379151</v>
      </c>
      <c r="N93" s="2099"/>
    </row>
    <row r="94" spans="1:14" hidden="1" x14ac:dyDescent="0.2">
      <c r="A94" s="1999"/>
      <c r="B94" s="1989"/>
      <c r="C94" s="1989"/>
      <c r="D94" s="2000"/>
      <c r="E94" s="2001"/>
      <c r="F94" s="2002">
        <f>SUBTOTAL(9,F82:F93)</f>
        <v>134116</v>
      </c>
      <c r="G94" s="2002">
        <f>SUBTOTAL(9,G82:G93)</f>
        <v>244361</v>
      </c>
      <c r="H94" s="2002">
        <f>SUBTOTAL(9,H82:H93)</f>
        <v>178941</v>
      </c>
      <c r="I94" s="2002"/>
      <c r="J94" s="2002">
        <f>SUBTOTAL(9,J82:J93)</f>
        <v>200210</v>
      </c>
      <c r="K94" s="2002"/>
      <c r="L94" s="2002">
        <f>SUBTOTAL(9,L82:L93)</f>
        <v>0</v>
      </c>
      <c r="M94" s="2002"/>
      <c r="N94" s="2003"/>
    </row>
    <row r="95" spans="1:14" x14ac:dyDescent="0.2">
      <c r="A95" s="2027"/>
      <c r="B95" s="1984"/>
      <c r="C95" s="1985"/>
      <c r="D95" s="2050"/>
      <c r="E95" s="2029"/>
      <c r="F95" s="2019"/>
      <c r="G95" s="2019"/>
      <c r="H95" s="2031"/>
      <c r="I95" s="2019"/>
      <c r="J95" s="2031"/>
      <c r="K95" s="2019"/>
      <c r="L95" s="2019"/>
      <c r="M95" s="2020" t="s">
        <v>2158</v>
      </c>
      <c r="N95" s="2076"/>
    </row>
    <row r="96" spans="1:14" x14ac:dyDescent="0.2">
      <c r="A96" s="2047" t="s">
        <v>2187</v>
      </c>
      <c r="B96" s="2009"/>
      <c r="C96" s="2010"/>
      <c r="D96" s="2016" t="s">
        <v>2188</v>
      </c>
      <c r="E96" s="2016" t="s">
        <v>2189</v>
      </c>
      <c r="F96" s="2054">
        <v>2941</v>
      </c>
      <c r="G96" s="2054">
        <v>2180</v>
      </c>
      <c r="H96" s="2017">
        <v>4261</v>
      </c>
      <c r="I96" s="2054"/>
      <c r="J96" s="2017">
        <v>860</v>
      </c>
      <c r="K96" s="2054"/>
      <c r="L96" s="2054"/>
      <c r="M96" s="2017">
        <f>SUM(H96:L96)</f>
        <v>5121</v>
      </c>
      <c r="N96" s="2075" t="s">
        <v>2164</v>
      </c>
    </row>
    <row r="97" spans="1:14" ht="13.5" customHeight="1" x14ac:dyDescent="0.2">
      <c r="A97" s="2100"/>
      <c r="B97" s="1984"/>
      <c r="C97" s="1985"/>
      <c r="D97" s="2050"/>
      <c r="E97" s="2029"/>
      <c r="F97" s="2030"/>
      <c r="G97" s="2030"/>
      <c r="H97" s="2030"/>
      <c r="I97" s="2030"/>
      <c r="J97" s="2030"/>
      <c r="K97" s="2030"/>
      <c r="L97" s="2019"/>
      <c r="M97" s="2020" t="s">
        <v>2158</v>
      </c>
      <c r="N97" s="2076"/>
    </row>
    <row r="98" spans="1:14" x14ac:dyDescent="0.2">
      <c r="A98" s="2077"/>
      <c r="B98" s="2009"/>
      <c r="C98" s="2010"/>
      <c r="D98" s="2016" t="s">
        <v>2188</v>
      </c>
      <c r="E98" s="2016" t="s">
        <v>2190</v>
      </c>
      <c r="F98" s="2054"/>
      <c r="G98" s="2054">
        <v>4267</v>
      </c>
      <c r="H98" s="2017"/>
      <c r="I98" s="2054"/>
      <c r="J98" s="2017">
        <v>4290</v>
      </c>
      <c r="K98" s="2054"/>
      <c r="L98" s="2054"/>
      <c r="M98" s="2017">
        <f>SUM(H98:L98)</f>
        <v>4290</v>
      </c>
      <c r="N98" s="2075" t="s">
        <v>2164</v>
      </c>
    </row>
    <row r="99" spans="1:14" x14ac:dyDescent="0.2">
      <c r="A99" s="2101" t="s">
        <v>2191</v>
      </c>
      <c r="B99" s="2063"/>
      <c r="C99" s="2102"/>
      <c r="D99" s="2103"/>
      <c r="E99" s="2103"/>
      <c r="F99" s="2104">
        <f t="shared" ref="F99:L99" si="0">SUBTOTAL(9,F96:F98)</f>
        <v>2941</v>
      </c>
      <c r="G99" s="2104">
        <f t="shared" si="0"/>
        <v>6447</v>
      </c>
      <c r="H99" s="2104">
        <f>SUBTOTAL(9,H96:H98)</f>
        <v>4261</v>
      </c>
      <c r="I99" s="2104"/>
      <c r="J99" s="2104">
        <f>SUBTOTAL(9,J96:J98)</f>
        <v>5150</v>
      </c>
      <c r="K99" s="2104"/>
      <c r="L99" s="2104">
        <f t="shared" si="0"/>
        <v>0</v>
      </c>
      <c r="M99" s="2104">
        <f>SUBTOTAL(9,M96:M98)</f>
        <v>9411</v>
      </c>
      <c r="N99" s="2105"/>
    </row>
    <row r="100" spans="1:14" x14ac:dyDescent="0.2">
      <c r="A100" s="1988"/>
      <c r="B100" s="1989"/>
      <c r="C100" s="1990"/>
      <c r="D100" s="2024"/>
      <c r="E100" s="2024"/>
      <c r="F100" s="1991"/>
      <c r="G100" s="1991"/>
      <c r="H100" s="2025"/>
      <c r="I100" s="1991"/>
      <c r="J100" s="2025"/>
      <c r="K100" s="1991"/>
      <c r="L100" s="1991"/>
      <c r="M100" s="2036" t="s">
        <v>2158</v>
      </c>
      <c r="N100" s="2080"/>
    </row>
    <row r="101" spans="1:14" x14ac:dyDescent="0.2">
      <c r="A101" s="2047" t="s">
        <v>2192</v>
      </c>
      <c r="B101" s="1989"/>
      <c r="C101" s="1990"/>
      <c r="D101" s="2024" t="s">
        <v>2193</v>
      </c>
      <c r="E101" s="2024" t="s">
        <v>2194</v>
      </c>
      <c r="F101" s="1991">
        <v>53266</v>
      </c>
      <c r="G101" s="1991">
        <v>36755</v>
      </c>
      <c r="H101" s="2025">
        <v>75318</v>
      </c>
      <c r="I101" s="1991"/>
      <c r="J101" s="2025">
        <v>14703</v>
      </c>
      <c r="K101" s="1991"/>
      <c r="L101" s="1991"/>
      <c r="M101" s="2017">
        <f>SUM(H101:L101)</f>
        <v>90021</v>
      </c>
      <c r="N101" s="2075" t="s">
        <v>2164</v>
      </c>
    </row>
    <row r="102" spans="1:14" x14ac:dyDescent="0.2">
      <c r="A102" s="1983"/>
      <c r="B102" s="1984"/>
      <c r="C102" s="1985"/>
      <c r="D102" s="2050"/>
      <c r="E102" s="2029"/>
      <c r="F102" s="2031"/>
      <c r="G102" s="2031"/>
      <c r="H102" s="2031"/>
      <c r="I102" s="2031"/>
      <c r="J102" s="2031"/>
      <c r="K102" s="2031"/>
      <c r="L102" s="2019"/>
      <c r="M102" s="2020" t="s">
        <v>2158</v>
      </c>
      <c r="N102" s="2082"/>
    </row>
    <row r="103" spans="1:14" x14ac:dyDescent="0.2">
      <c r="A103" s="2077"/>
      <c r="B103" s="2009"/>
      <c r="C103" s="2010"/>
      <c r="D103" s="2053" t="s">
        <v>2193</v>
      </c>
      <c r="E103" s="2016" t="s">
        <v>2195</v>
      </c>
      <c r="F103" s="2017"/>
      <c r="G103" s="2017">
        <v>71846</v>
      </c>
      <c r="H103" s="2017"/>
      <c r="I103" s="2017"/>
      <c r="J103" s="2017">
        <v>72244</v>
      </c>
      <c r="K103" s="2017"/>
      <c r="L103" s="2054"/>
      <c r="M103" s="2052">
        <f>SUM(H103:L103)</f>
        <v>72244</v>
      </c>
      <c r="N103" s="2075" t="s">
        <v>2164</v>
      </c>
    </row>
    <row r="104" spans="1:14" x14ac:dyDescent="0.2">
      <c r="A104" s="1988" t="s">
        <v>2196</v>
      </c>
      <c r="B104" s="1989"/>
      <c r="C104" s="1990"/>
      <c r="D104" s="2106"/>
      <c r="E104" s="2024"/>
      <c r="F104" s="2025">
        <f>SUBTOTAL(9,F101:F103)</f>
        <v>53266</v>
      </c>
      <c r="G104" s="2025">
        <f>SUBTOTAL(9,G101:G103)</f>
        <v>108601</v>
      </c>
      <c r="H104" s="2025">
        <f>SUBTOTAL(9,H101:H103)</f>
        <v>75318</v>
      </c>
      <c r="I104" s="2025"/>
      <c r="J104" s="2025">
        <f>SUBTOTAL(9,J101:J103)</f>
        <v>86947</v>
      </c>
      <c r="K104" s="2025"/>
      <c r="L104" s="2025">
        <f>SUBTOTAL(9,L101:L103)</f>
        <v>0</v>
      </c>
      <c r="M104" s="2025">
        <f>SUBTOTAL(9,M101:M103)</f>
        <v>162265</v>
      </c>
      <c r="N104" s="2080"/>
    </row>
    <row r="105" spans="1:14" x14ac:dyDescent="0.2">
      <c r="A105" s="1988"/>
      <c r="B105" s="1989"/>
      <c r="C105" s="1990"/>
      <c r="D105" s="2106"/>
      <c r="E105" s="2024"/>
      <c r="F105" s="2025"/>
      <c r="G105" s="2025"/>
      <c r="H105" s="2025"/>
      <c r="I105" s="2025"/>
      <c r="J105" s="2025"/>
      <c r="K105" s="2025"/>
      <c r="L105" s="1991"/>
      <c r="M105" s="2025"/>
      <c r="N105" s="2003"/>
    </row>
    <row r="106" spans="1:14" x14ac:dyDescent="0.2">
      <c r="A106" s="2008" t="s">
        <v>2197</v>
      </c>
      <c r="B106" s="2107"/>
      <c r="C106" s="2108"/>
      <c r="D106" s="2108"/>
      <c r="E106" s="2108"/>
      <c r="F106" s="2109">
        <f>SUBTOTAL(9,F80:F105)</f>
        <v>190323</v>
      </c>
      <c r="G106" s="2109">
        <f>SUBTOTAL(9,G80:G105)</f>
        <v>359409</v>
      </c>
      <c r="H106" s="2109">
        <f>SUBTOTAL(9,H80:H105)</f>
        <v>258520</v>
      </c>
      <c r="I106" s="2109"/>
      <c r="J106" s="2109">
        <f>SUBTOTAL(9,J80:J105)</f>
        <v>292307</v>
      </c>
      <c r="K106" s="2109"/>
      <c r="L106" s="2109">
        <f>SUBTOTAL(9,L80:L105)</f>
        <v>0</v>
      </c>
      <c r="M106" s="2109">
        <f>SUBTOTAL(9,M81:M105)</f>
        <v>550827</v>
      </c>
      <c r="N106" s="2110"/>
    </row>
    <row r="107" spans="1:14" ht="8.25" customHeight="1" x14ac:dyDescent="0.2">
      <c r="A107" s="2111"/>
      <c r="B107" s="2112"/>
      <c r="C107" s="2113"/>
      <c r="D107" s="1994"/>
      <c r="E107" s="2114"/>
      <c r="F107" s="2115"/>
      <c r="G107" s="2115"/>
      <c r="H107" s="2115"/>
      <c r="I107" s="2115"/>
      <c r="J107" s="2115"/>
      <c r="K107" s="2115"/>
      <c r="L107" s="2115"/>
      <c r="M107" s="2116"/>
      <c r="N107" s="2117"/>
    </row>
    <row r="108" spans="1:14" x14ac:dyDescent="0.2">
      <c r="A108" s="2008" t="s">
        <v>2198</v>
      </c>
      <c r="B108" s="2009"/>
      <c r="C108" s="2048"/>
      <c r="D108" s="2009"/>
      <c r="E108" s="2118"/>
      <c r="F108" s="2118"/>
      <c r="G108" s="2118"/>
      <c r="H108" s="2118"/>
      <c r="I108" s="2118"/>
      <c r="J108" s="2118"/>
      <c r="K108" s="2118"/>
      <c r="L108" s="2118"/>
      <c r="M108" s="2009"/>
      <c r="N108" s="2119"/>
    </row>
    <row r="109" spans="1:14" x14ac:dyDescent="0.2">
      <c r="A109" s="1988" t="s">
        <v>2199</v>
      </c>
      <c r="B109" s="1989"/>
      <c r="C109" s="2038"/>
      <c r="D109" s="1990"/>
      <c r="E109" s="1990"/>
      <c r="F109" s="2120"/>
      <c r="G109" s="1990"/>
      <c r="H109" s="2036"/>
      <c r="I109" s="1990"/>
      <c r="J109" s="1990"/>
      <c r="K109" s="1990"/>
      <c r="L109" s="1990"/>
      <c r="M109" s="2121"/>
      <c r="N109" s="2122"/>
    </row>
    <row r="110" spans="1:14" x14ac:dyDescent="0.2">
      <c r="A110" s="2047" t="s">
        <v>2200</v>
      </c>
      <c r="B110" s="2009"/>
      <c r="C110" s="2048"/>
      <c r="D110" s="2074" t="s">
        <v>2201</v>
      </c>
      <c r="E110" s="2016" t="s">
        <v>2202</v>
      </c>
      <c r="F110" s="2123">
        <v>16840</v>
      </c>
      <c r="G110" s="2054"/>
      <c r="H110" s="2017">
        <v>16840</v>
      </c>
      <c r="I110" s="2054"/>
      <c r="J110" s="2017"/>
      <c r="K110" s="2054"/>
      <c r="L110" s="2054"/>
      <c r="M110" s="2017">
        <f>SUM(H110:L110)</f>
        <v>16840</v>
      </c>
      <c r="N110" s="2094" t="s">
        <v>2164</v>
      </c>
    </row>
    <row r="111" spans="1:14" ht="9" customHeight="1" x14ac:dyDescent="0.2">
      <c r="A111" s="1983"/>
      <c r="B111" s="1984"/>
      <c r="C111" s="1985"/>
      <c r="D111" s="1985"/>
      <c r="E111" s="1985"/>
      <c r="F111" s="2030"/>
      <c r="G111" s="2030"/>
      <c r="H111" s="2019"/>
      <c r="I111" s="2030"/>
      <c r="J111" s="2020"/>
      <c r="K111" s="2030"/>
      <c r="L111" s="2019"/>
      <c r="M111" s="2049"/>
      <c r="N111" s="1987"/>
    </row>
    <row r="112" spans="1:14" x14ac:dyDescent="0.2">
      <c r="A112" s="2022"/>
      <c r="B112" s="2009"/>
      <c r="C112" s="2010"/>
      <c r="D112" s="2074" t="s">
        <v>2201</v>
      </c>
      <c r="E112" s="2016" t="s">
        <v>2203</v>
      </c>
      <c r="F112" s="2017"/>
      <c r="G112" s="2054">
        <v>21509</v>
      </c>
      <c r="H112" s="2017"/>
      <c r="I112" s="2054"/>
      <c r="J112" s="2017">
        <v>21509</v>
      </c>
      <c r="K112" s="2054"/>
      <c r="L112" s="2054"/>
      <c r="M112" s="2017">
        <f>SUM(H112:L112)</f>
        <v>21509</v>
      </c>
      <c r="N112" s="2094" t="s">
        <v>2164</v>
      </c>
    </row>
    <row r="113" spans="1:14" ht="12.75" thickBot="1" x14ac:dyDescent="0.25">
      <c r="A113" s="2124" t="s">
        <v>2204</v>
      </c>
      <c r="B113" s="2056"/>
      <c r="C113" s="2057"/>
      <c r="D113" s="2057"/>
      <c r="E113" s="2057"/>
      <c r="F113" s="2125">
        <f>SUBTOTAL(9,F110:F112)</f>
        <v>16840</v>
      </c>
      <c r="G113" s="2125">
        <f>SUBTOTAL(9,G110:G112)</f>
        <v>21509</v>
      </c>
      <c r="H113" s="2125">
        <f>SUBTOTAL(9,H110:H112)</f>
        <v>16840</v>
      </c>
      <c r="I113" s="2125"/>
      <c r="J113" s="2125">
        <f>SUBTOTAL(9,J110:J112)</f>
        <v>21509</v>
      </c>
      <c r="K113" s="2125"/>
      <c r="L113" s="2125">
        <f>SUBTOTAL(9,L110:L112)</f>
        <v>0</v>
      </c>
      <c r="M113" s="2125">
        <f>SUBTOTAL(9,M110:M112)</f>
        <v>38349</v>
      </c>
      <c r="N113" s="2126"/>
    </row>
    <row r="114" spans="1:14" x14ac:dyDescent="0.2">
      <c r="A114" s="1988"/>
      <c r="B114" s="1989"/>
      <c r="C114" s="2127"/>
      <c r="D114" s="2128"/>
      <c r="E114" s="2128"/>
      <c r="F114" s="2129"/>
      <c r="G114" s="2129"/>
      <c r="H114" s="2129"/>
      <c r="I114" s="2129"/>
      <c r="J114" s="2129"/>
      <c r="K114" s="2129"/>
      <c r="L114" s="2129"/>
      <c r="M114" s="2129"/>
      <c r="N114" s="2122"/>
    </row>
    <row r="115" spans="1:14" ht="12.75" thickBot="1" x14ac:dyDescent="0.25">
      <c r="A115" s="2130" t="s">
        <v>2205</v>
      </c>
      <c r="B115" s="2131"/>
      <c r="C115" s="2132"/>
      <c r="D115" s="2133"/>
      <c r="E115" s="2133"/>
      <c r="F115" s="2134">
        <f>SUBTOTAL(9,F108:F113)</f>
        <v>16840</v>
      </c>
      <c r="G115" s="2134">
        <f>SUBTOTAL(9,G108:G113)</f>
        <v>21509</v>
      </c>
      <c r="H115" s="2134">
        <f>SUBTOTAL(9,H108:H113)</f>
        <v>16840</v>
      </c>
      <c r="I115" s="2134"/>
      <c r="J115" s="2134">
        <f>SUBTOTAL(9,J108:J113)</f>
        <v>21509</v>
      </c>
      <c r="K115" s="2134"/>
      <c r="L115" s="2134">
        <f>SUBTOTAL(9,L108:L113)</f>
        <v>0</v>
      </c>
      <c r="M115" s="2134">
        <f>SUBTOTAL(9,M109:M114)</f>
        <v>38349</v>
      </c>
      <c r="N115" s="2135"/>
    </row>
    <row r="116" spans="1:14" ht="9.75" customHeight="1" x14ac:dyDescent="0.2">
      <c r="A116" s="1993"/>
      <c r="B116" s="1994"/>
      <c r="C116" s="1995"/>
      <c r="D116" s="1995"/>
      <c r="E116" s="1995"/>
      <c r="F116" s="2136"/>
      <c r="G116" s="2136"/>
      <c r="H116" s="2136"/>
      <c r="I116" s="2136"/>
      <c r="J116" s="2136"/>
      <c r="K116" s="2136"/>
      <c r="L116" s="2136"/>
      <c r="M116" s="2136"/>
      <c r="N116" s="2137"/>
    </row>
    <row r="117" spans="1:14" ht="12.75" thickBot="1" x14ac:dyDescent="0.25">
      <c r="A117" s="2130" t="s">
        <v>2206</v>
      </c>
      <c r="B117" s="2131"/>
      <c r="C117" s="2138"/>
      <c r="D117" s="2138"/>
      <c r="E117" s="2139"/>
      <c r="F117" s="2139">
        <f>SUBTOTAL(9,F16:F115)</f>
        <v>519977</v>
      </c>
      <c r="G117" s="2139">
        <f>G55+G106+G115</f>
        <v>1047429</v>
      </c>
      <c r="H117" s="2139">
        <f>H55+H106+H115</f>
        <v>781214</v>
      </c>
      <c r="I117" s="2139"/>
      <c r="J117" s="2139">
        <f>J55+J106+J115</f>
        <v>912091</v>
      </c>
      <c r="K117" s="2139"/>
      <c r="L117" s="2139">
        <f>L55+L106+L115</f>
        <v>0</v>
      </c>
      <c r="M117" s="2139">
        <f>SUBTOTAL(9,M80:M116)+M55</f>
        <v>1693305</v>
      </c>
      <c r="N117" s="2135"/>
    </row>
    <row r="119" spans="1:14" x14ac:dyDescent="0.2">
      <c r="A119" s="2004"/>
      <c r="B119" s="2005" t="s">
        <v>2207</v>
      </c>
      <c r="C119" s="1989"/>
      <c r="D119" s="1989"/>
      <c r="E119" s="1989"/>
      <c r="F119" s="1989"/>
      <c r="G119" s="1989"/>
      <c r="H119" s="1989"/>
      <c r="I119" s="1989"/>
      <c r="J119" s="1989"/>
      <c r="K119" s="1989"/>
      <c r="L119" s="1989"/>
      <c r="M119" s="1989"/>
      <c r="N119" s="1998"/>
    </row>
    <row r="120" spans="1:14" x14ac:dyDescent="0.2">
      <c r="A120" s="2004"/>
      <c r="B120" s="2006" t="s">
        <v>2208</v>
      </c>
      <c r="C120" s="1989"/>
      <c r="D120" s="1989"/>
      <c r="E120" s="1989"/>
      <c r="F120" s="1989"/>
      <c r="G120" s="1989"/>
      <c r="H120" s="1989"/>
      <c r="I120" s="1989"/>
      <c r="J120" s="1989"/>
      <c r="K120" s="1989"/>
      <c r="L120" s="1989"/>
      <c r="M120" s="1989"/>
      <c r="N120" s="1998"/>
    </row>
    <row r="121" spans="1:14" x14ac:dyDescent="0.2">
      <c r="A121" s="2004"/>
      <c r="B121" s="2006" t="s">
        <v>2209</v>
      </c>
      <c r="C121" s="1989"/>
      <c r="D121" s="1989"/>
      <c r="E121" s="1989"/>
      <c r="F121" s="1989"/>
      <c r="G121" s="1989"/>
      <c r="H121" s="1989"/>
      <c r="I121" s="1989"/>
      <c r="J121" s="1989"/>
      <c r="K121" s="1989"/>
      <c r="L121" s="1989"/>
      <c r="M121" s="1989"/>
      <c r="N121" s="1998"/>
    </row>
    <row r="122" spans="1:14" hidden="1" x14ac:dyDescent="0.2">
      <c r="B122" s="2006" t="s">
        <v>2210</v>
      </c>
    </row>
    <row r="123" spans="1:14" x14ac:dyDescent="0.2">
      <c r="B123" s="2006"/>
    </row>
    <row r="124" spans="1:14" x14ac:dyDescent="0.2">
      <c r="A124" s="1981" t="s">
        <v>1308</v>
      </c>
      <c r="B124" s="2006"/>
    </row>
  </sheetData>
  <mergeCells count="8">
    <mergeCell ref="A73:N73"/>
    <mergeCell ref="A77:C77"/>
    <mergeCell ref="A1:N1"/>
    <mergeCell ref="A2:N2"/>
    <mergeCell ref="A3:N3"/>
    <mergeCell ref="A4:N4"/>
    <mergeCell ref="A6:N6"/>
    <mergeCell ref="A10:C10"/>
  </mergeCells>
  <printOptions horizontalCentered="1"/>
  <pageMargins left="0.20699999999999999" right="0.20699999999999999" top="0.25" bottom="0.25" header="0.5" footer="0.5"/>
  <pageSetup scale="85" fitToHeight="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J19" sqref="J19"/>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66" t="str">
        <f>'Single Audit Cover'!A7</f>
        <v>Wood Dale SD 7</v>
      </c>
      <c r="C1" s="2667"/>
      <c r="D1" s="2667"/>
      <c r="E1" s="2667"/>
      <c r="F1" s="2667"/>
      <c r="G1" s="2667"/>
      <c r="H1" s="2667"/>
      <c r="I1" s="2667"/>
      <c r="J1" s="1411"/>
    </row>
    <row r="2" spans="2:10" s="317" customFormat="1" ht="12.75" customHeight="1" x14ac:dyDescent="0.2">
      <c r="B2" s="2668">
        <f>'Single Audit Cover'!E7</f>
        <v>19022007002</v>
      </c>
      <c r="C2" s="2669"/>
      <c r="D2" s="2669"/>
      <c r="E2" s="2669"/>
      <c r="F2" s="2669"/>
      <c r="G2" s="2669"/>
      <c r="H2" s="2669"/>
      <c r="I2" s="2669"/>
      <c r="J2" s="1411"/>
    </row>
    <row r="3" spans="2:10" s="317" customFormat="1" ht="12.75" customHeight="1" x14ac:dyDescent="0.2">
      <c r="B3" s="2670" t="s">
        <v>1347</v>
      </c>
      <c r="C3" s="2671"/>
      <c r="D3" s="2671"/>
      <c r="E3" s="2671"/>
      <c r="F3" s="2671"/>
      <c r="G3" s="2671"/>
      <c r="H3" s="2671"/>
      <c r="I3" s="2671"/>
      <c r="J3" s="1412"/>
    </row>
    <row r="4" spans="2:10" s="317" customFormat="1" ht="12.75" customHeight="1" x14ac:dyDescent="0.2">
      <c r="B4" s="2670" t="str">
        <f>'Single Audit Cover'!A4</f>
        <v>Year Ending June 30, 2018</v>
      </c>
      <c r="C4" s="2671"/>
      <c r="D4" s="2671"/>
      <c r="E4" s="2671"/>
      <c r="F4" s="2671"/>
      <c r="G4" s="2671"/>
      <c r="H4" s="2671"/>
      <c r="I4" s="2671"/>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670" t="s">
        <v>1346</v>
      </c>
      <c r="C7" s="2671"/>
      <c r="D7" s="2671"/>
      <c r="E7" s="2671"/>
      <c r="F7" s="2671"/>
      <c r="G7" s="2671"/>
      <c r="H7" s="2671"/>
      <c r="I7" s="2671"/>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672" t="s">
        <v>2211</v>
      </c>
      <c r="D11" s="2672"/>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2081</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2081</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2081</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2081</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2081</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673" t="s">
        <v>2211</v>
      </c>
      <c r="E29" s="2673"/>
      <c r="F29" s="2673"/>
      <c r="G29" s="2673"/>
      <c r="H29" s="2673"/>
      <c r="I29" s="2673"/>
    </row>
    <row r="30" spans="2:9" s="317" customFormat="1" x14ac:dyDescent="0.2">
      <c r="B30" s="1357"/>
      <c r="C30" s="322"/>
      <c r="D30" s="1422" t="s">
        <v>1848</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2081</v>
      </c>
      <c r="H33" s="1289" t="s">
        <v>101</v>
      </c>
    </row>
    <row r="35" spans="2:9" x14ac:dyDescent="0.2">
      <c r="B35" s="1430" t="s">
        <v>1849</v>
      </c>
      <c r="C35" s="1431"/>
      <c r="D35" s="1256"/>
    </row>
    <row r="36" spans="2:9" ht="6" customHeight="1" x14ac:dyDescent="0.2">
      <c r="B36" s="1430"/>
      <c r="C36" s="1431"/>
      <c r="D36" s="1256"/>
    </row>
    <row r="37" spans="2:9" ht="17.25" customHeight="1" x14ac:dyDescent="0.2">
      <c r="B37" s="1432" t="s">
        <v>1850</v>
      </c>
      <c r="C37" s="2674" t="s">
        <v>1851</v>
      </c>
      <c r="D37" s="2675"/>
      <c r="E37" s="2675"/>
      <c r="F37" s="2676"/>
      <c r="G37" s="2674" t="s">
        <v>1674</v>
      </c>
      <c r="H37" s="2675"/>
      <c r="I37" s="2676"/>
    </row>
    <row r="38" spans="2:9" ht="16.5" customHeight="1" x14ac:dyDescent="0.2">
      <c r="B38" s="1433">
        <v>84.01</v>
      </c>
      <c r="C38" s="2662" t="s">
        <v>974</v>
      </c>
      <c r="D38" s="2663"/>
      <c r="E38" s="2663"/>
      <c r="F38" s="2664"/>
      <c r="G38" s="2677">
        <v>240175</v>
      </c>
      <c r="H38" s="2678"/>
      <c r="I38" s="2679"/>
    </row>
    <row r="39" spans="2:9" ht="16.5" customHeight="1" x14ac:dyDescent="0.2">
      <c r="B39" s="1433" t="s">
        <v>2212</v>
      </c>
      <c r="C39" s="2662" t="s">
        <v>2213</v>
      </c>
      <c r="D39" s="2663"/>
      <c r="E39" s="2663"/>
      <c r="F39" s="2664"/>
      <c r="G39" s="2665">
        <v>266344</v>
      </c>
      <c r="H39" s="2665"/>
      <c r="I39" s="2665"/>
    </row>
    <row r="40" spans="2:9" ht="16.5" customHeight="1" x14ac:dyDescent="0.2">
      <c r="B40" s="1433"/>
      <c r="C40" s="2662"/>
      <c r="D40" s="2663"/>
      <c r="E40" s="2663"/>
      <c r="F40" s="2664"/>
      <c r="G40" s="2665"/>
      <c r="H40" s="2665"/>
      <c r="I40" s="2665"/>
    </row>
    <row r="41" spans="2:9" ht="16.5" customHeight="1" x14ac:dyDescent="0.2">
      <c r="B41" s="1433"/>
      <c r="C41" s="2662"/>
      <c r="D41" s="2663"/>
      <c r="E41" s="2663"/>
      <c r="F41" s="2664"/>
      <c r="G41" s="2665"/>
      <c r="H41" s="2665"/>
      <c r="I41" s="2665"/>
    </row>
    <row r="42" spans="2:9" ht="16.5" customHeight="1" x14ac:dyDescent="0.2">
      <c r="B42" s="1433"/>
      <c r="C42" s="2662"/>
      <c r="D42" s="2663"/>
      <c r="E42" s="2663"/>
      <c r="F42" s="2664"/>
      <c r="G42" s="2665"/>
      <c r="H42" s="2665"/>
      <c r="I42" s="2665"/>
    </row>
    <row r="43" spans="2:9" ht="16.5" customHeight="1" x14ac:dyDescent="0.2">
      <c r="B43" s="1433"/>
      <c r="C43" s="2655" t="s">
        <v>1675</v>
      </c>
      <c r="D43" s="2656"/>
      <c r="E43" s="2656"/>
      <c r="F43" s="2657"/>
      <c r="G43" s="2658">
        <f>SUM(G38:I42)</f>
        <v>506519</v>
      </c>
      <c r="H43" s="2658"/>
      <c r="I43" s="2658"/>
    </row>
    <row r="44" spans="2:9" ht="12.75" customHeight="1" x14ac:dyDescent="0.2"/>
    <row r="45" spans="2:9" ht="12.75" customHeight="1" x14ac:dyDescent="0.2">
      <c r="B45" s="1424" t="s">
        <v>1949</v>
      </c>
      <c r="D45" s="2659">
        <v>915870</v>
      </c>
      <c r="E45" s="2660"/>
    </row>
    <row r="46" spans="2:9" ht="5.25" customHeight="1" x14ac:dyDescent="0.2">
      <c r="B46" s="1434"/>
      <c r="D46" s="1435"/>
      <c r="E46" s="1436"/>
    </row>
    <row r="47" spans="2:9" ht="12.75" customHeight="1" x14ac:dyDescent="0.2">
      <c r="B47" s="1289" t="s">
        <v>1676</v>
      </c>
      <c r="C47" s="1289"/>
      <c r="D47" s="1437">
        <f>+G43/D45</f>
        <v>0.5530468297902541</v>
      </c>
      <c r="E47" s="1438"/>
      <c r="F47" s="1439"/>
      <c r="I47" s="1440"/>
    </row>
    <row r="48" spans="2:9" ht="9.9499999999999993" customHeight="1" x14ac:dyDescent="0.2"/>
    <row r="49" spans="1:9" x14ac:dyDescent="0.2">
      <c r="B49" s="1357" t="s">
        <v>1335</v>
      </c>
      <c r="C49" s="1271"/>
      <c r="D49" s="1271"/>
      <c r="E49" s="2661">
        <v>750000</v>
      </c>
      <c r="F49" s="2661"/>
      <c r="G49" s="2661"/>
      <c r="H49" s="322"/>
    </row>
    <row r="51" spans="1:9" ht="13.5" customHeight="1" x14ac:dyDescent="0.2">
      <c r="B51" s="1357" t="s">
        <v>1334</v>
      </c>
      <c r="C51" s="1271"/>
      <c r="E51" s="1427"/>
      <c r="F51" s="1289" t="s">
        <v>940</v>
      </c>
      <c r="G51" s="1427" t="s">
        <v>2081</v>
      </c>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1852</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1853</v>
      </c>
      <c r="C58" s="1453"/>
      <c r="D58" s="1453"/>
    </row>
    <row r="59" spans="1:9" s="1450" customFormat="1" ht="3.95" customHeight="1" x14ac:dyDescent="0.2">
      <c r="A59" s="1447"/>
      <c r="B59" s="1452"/>
      <c r="C59" s="1453"/>
      <c r="D59" s="1453"/>
    </row>
    <row r="60" spans="1:9" s="1450" customFormat="1" ht="13.5" customHeight="1" x14ac:dyDescent="0.2">
      <c r="A60" s="1447"/>
      <c r="B60" s="1452" t="s">
        <v>1854</v>
      </c>
      <c r="C60" s="1453"/>
      <c r="D60" s="1453"/>
    </row>
    <row r="61" spans="1:9" s="1450" customFormat="1" ht="3.95" customHeight="1" x14ac:dyDescent="0.2">
      <c r="A61" s="1447"/>
      <c r="B61" s="1452"/>
      <c r="C61" s="1453"/>
      <c r="D61" s="1453"/>
    </row>
    <row r="62" spans="1:9" s="1450" customFormat="1" ht="12.75" customHeight="1" x14ac:dyDescent="0.2">
      <c r="A62" s="1447"/>
      <c r="B62" s="1452" t="s">
        <v>1855</v>
      </c>
      <c r="C62" s="1453"/>
      <c r="D62" s="1453"/>
    </row>
    <row r="63" spans="1:9" s="1450" customFormat="1" ht="13.5" customHeight="1" x14ac:dyDescent="0.2">
      <c r="A63" s="1447"/>
      <c r="B63" s="1451" t="s">
        <v>1679</v>
      </c>
      <c r="C63" s="1447"/>
      <c r="D63" s="144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7"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J19" sqref="J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6" t="str">
        <f>'Single Audit Cover'!A7</f>
        <v>Wood Dale SD 7</v>
      </c>
      <c r="C1" s="2666"/>
      <c r="D1" s="2666"/>
      <c r="E1" s="2666"/>
      <c r="F1" s="2666"/>
      <c r="G1" s="2666"/>
      <c r="H1" s="2666"/>
      <c r="I1" s="2666"/>
      <c r="J1" s="2666"/>
      <c r="K1" s="2666"/>
      <c r="L1" s="1363"/>
      <c r="M1" s="1363"/>
    </row>
    <row r="2" spans="1:13" ht="12" customHeight="1" x14ac:dyDescent="0.2">
      <c r="B2" s="2668">
        <f>'Single Audit Cover'!E7</f>
        <v>19022007002</v>
      </c>
      <c r="C2" s="2668"/>
      <c r="D2" s="2668"/>
      <c r="E2" s="2668"/>
      <c r="F2" s="2668"/>
      <c r="G2" s="2668"/>
      <c r="H2" s="2668"/>
      <c r="I2" s="2668"/>
      <c r="J2" s="2668"/>
      <c r="K2" s="2668"/>
      <c r="L2" s="1364"/>
      <c r="M2" s="1365"/>
    </row>
    <row r="3" spans="1:13" ht="10.35" customHeight="1" x14ac:dyDescent="0.2">
      <c r="B3" s="2682" t="s">
        <v>1347</v>
      </c>
      <c r="C3" s="2682"/>
      <c r="D3" s="2682"/>
      <c r="E3" s="2682"/>
      <c r="F3" s="2682"/>
      <c r="G3" s="2682"/>
      <c r="H3" s="2682"/>
      <c r="I3" s="2682"/>
      <c r="J3" s="2682"/>
      <c r="K3" s="2682"/>
      <c r="L3" s="1366"/>
      <c r="M3" s="1366"/>
    </row>
    <row r="4" spans="1:13" ht="14.25" customHeight="1" x14ac:dyDescent="0.2">
      <c r="B4" s="2683" t="str">
        <f>'Single Audit Cover'!A4</f>
        <v>Year Ending June 30, 2018</v>
      </c>
      <c r="C4" s="2683"/>
      <c r="D4" s="2683"/>
      <c r="E4" s="2683"/>
      <c r="F4" s="2683"/>
      <c r="G4" s="2683"/>
      <c r="H4" s="2683"/>
      <c r="I4" s="2683"/>
      <c r="J4" s="2683"/>
      <c r="K4" s="2683"/>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83" t="s">
        <v>1363</v>
      </c>
      <c r="C7" s="2683"/>
      <c r="D7" s="2684"/>
      <c r="E7" s="2684"/>
      <c r="F7" s="2684"/>
      <c r="G7" s="2684"/>
      <c r="H7" s="2684"/>
      <c r="I7" s="2684"/>
      <c r="J7" s="2684"/>
      <c r="K7" s="268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1842</v>
      </c>
      <c r="C10" s="1374" t="s">
        <v>1950</v>
      </c>
      <c r="D10" s="1375" t="s">
        <v>2164</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681"/>
      <c r="C14" s="2681"/>
      <c r="D14" s="2681"/>
      <c r="E14" s="2681"/>
      <c r="F14" s="2681"/>
      <c r="G14" s="2681"/>
      <c r="H14" s="2681"/>
      <c r="I14" s="2681"/>
      <c r="J14" s="2681"/>
      <c r="K14" s="2681"/>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681"/>
      <c r="C17" s="2681"/>
      <c r="D17" s="2681"/>
      <c r="E17" s="2681"/>
      <c r="F17" s="2681"/>
      <c r="G17" s="2681"/>
      <c r="H17" s="2681"/>
      <c r="I17" s="2681"/>
      <c r="J17" s="2681"/>
      <c r="K17" s="2681"/>
      <c r="L17" s="1370"/>
    </row>
    <row r="18" spans="2:12" ht="4.5" customHeight="1" x14ac:dyDescent="0.2">
      <c r="B18" s="1387"/>
      <c r="C18" s="1387"/>
      <c r="L18" s="1370"/>
    </row>
    <row r="19" spans="2:12" s="1271" customFormat="1" ht="13.5" customHeight="1" x14ac:dyDescent="0.2">
      <c r="B19" s="1382" t="s">
        <v>1843</v>
      </c>
      <c r="C19" s="1382"/>
      <c r="D19" s="1383"/>
      <c r="E19" s="1383"/>
      <c r="F19" s="1383"/>
      <c r="G19" s="1384"/>
      <c r="H19" s="1383"/>
      <c r="I19" s="1384"/>
      <c r="J19" s="1383"/>
      <c r="K19" s="1383"/>
      <c r="L19" s="1385"/>
    </row>
    <row r="20" spans="2:12" ht="45.75" customHeight="1" x14ac:dyDescent="0.2">
      <c r="B20" s="2685"/>
      <c r="C20" s="2685"/>
      <c r="D20" s="2681"/>
      <c r="E20" s="2681"/>
      <c r="F20" s="2681"/>
      <c r="G20" s="2681"/>
      <c r="H20" s="2681"/>
      <c r="I20" s="2681"/>
      <c r="J20" s="2681"/>
      <c r="K20" s="268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681"/>
      <c r="C23" s="2681"/>
      <c r="D23" s="2681"/>
      <c r="E23" s="2681"/>
      <c r="F23" s="2681"/>
      <c r="G23" s="2681"/>
      <c r="H23" s="2681"/>
      <c r="I23" s="2681"/>
      <c r="J23" s="2681"/>
      <c r="K23" s="268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681"/>
      <c r="C26" s="2681"/>
      <c r="D26" s="2681"/>
      <c r="E26" s="2681"/>
      <c r="F26" s="2681"/>
      <c r="G26" s="2681"/>
      <c r="H26" s="2681"/>
      <c r="I26" s="2681"/>
      <c r="J26" s="2681"/>
      <c r="K26" s="268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680"/>
      <c r="C29" s="2680"/>
      <c r="D29" s="2681"/>
      <c r="E29" s="2681"/>
      <c r="F29" s="2681"/>
      <c r="G29" s="2681"/>
      <c r="H29" s="2681"/>
      <c r="I29" s="2681"/>
      <c r="J29" s="2681"/>
      <c r="K29" s="268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1844</v>
      </c>
      <c r="C31" s="1392"/>
      <c r="D31" s="1367"/>
      <c r="E31" s="1368"/>
      <c r="F31" s="1368"/>
      <c r="G31" s="1369"/>
      <c r="H31" s="1368"/>
      <c r="I31" s="1369"/>
      <c r="J31" s="1368"/>
      <c r="K31" s="1368"/>
      <c r="L31" s="1370"/>
    </row>
    <row r="32" spans="2:12" s="322" customFormat="1" ht="44.25" customHeight="1" x14ac:dyDescent="0.2">
      <c r="B32" s="2680"/>
      <c r="C32" s="2680"/>
      <c r="D32" s="2681"/>
      <c r="E32" s="2681"/>
      <c r="F32" s="2681"/>
      <c r="G32" s="2681"/>
      <c r="H32" s="2681"/>
      <c r="I32" s="2681"/>
      <c r="J32" s="2681"/>
      <c r="K32" s="2681"/>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1845</v>
      </c>
      <c r="C35" s="1408"/>
      <c r="D35" s="322"/>
      <c r="E35" s="322"/>
      <c r="F35" s="322"/>
      <c r="L35" s="1370"/>
    </row>
    <row r="36" spans="1:13" ht="9.6" customHeight="1" x14ac:dyDescent="0.2">
      <c r="B36" s="1289" t="s">
        <v>1951</v>
      </c>
      <c r="C36" s="1289"/>
      <c r="L36" s="1370"/>
    </row>
    <row r="37" spans="1:13" ht="9.6" customHeight="1" x14ac:dyDescent="0.2">
      <c r="B37" s="1289" t="s">
        <v>1952</v>
      </c>
      <c r="C37" s="1289"/>
    </row>
    <row r="38" spans="1:13" ht="11.85" customHeight="1" x14ac:dyDescent="0.2">
      <c r="B38" s="1409" t="s">
        <v>1846</v>
      </c>
      <c r="C38" s="1409"/>
    </row>
    <row r="39" spans="1:13" ht="9.6" customHeight="1" x14ac:dyDescent="0.2">
      <c r="B39" s="1289" t="s">
        <v>1348</v>
      </c>
      <c r="C39" s="1289"/>
      <c r="M39" s="1410"/>
    </row>
    <row r="40" spans="1:13" ht="12.6" customHeight="1" x14ac:dyDescent="0.2">
      <c r="B40" s="1409" t="s">
        <v>1847</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J19" sqref="J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89" t="str">
        <f>'Single Audit Cover'!A7</f>
        <v>Wood Dale SD 7</v>
      </c>
      <c r="C1" s="2689"/>
      <c r="D1" s="2689"/>
      <c r="E1" s="2689"/>
      <c r="F1" s="2689"/>
      <c r="G1" s="2689"/>
      <c r="H1" s="2689"/>
      <c r="I1" s="2689"/>
      <c r="J1" s="2689"/>
      <c r="K1" s="2689"/>
      <c r="L1" s="1454"/>
    </row>
    <row r="2" spans="1:12" ht="12.75" customHeight="1" x14ac:dyDescent="0.2">
      <c r="B2" s="2690">
        <f>'Single Audit Cover'!E7</f>
        <v>19022007002</v>
      </c>
      <c r="C2" s="2690"/>
      <c r="D2" s="2690"/>
      <c r="E2" s="2690"/>
      <c r="F2" s="2690"/>
      <c r="G2" s="2690"/>
      <c r="H2" s="2690"/>
      <c r="I2" s="2690"/>
      <c r="J2" s="2690"/>
      <c r="K2" s="2690"/>
      <c r="L2" s="1455"/>
    </row>
    <row r="3" spans="1:12" ht="12.75" customHeight="1" x14ac:dyDescent="0.2">
      <c r="B3" s="2682" t="s">
        <v>1347</v>
      </c>
      <c r="C3" s="2682"/>
      <c r="D3" s="2682"/>
      <c r="E3" s="2682"/>
      <c r="F3" s="2682"/>
      <c r="G3" s="2682"/>
      <c r="H3" s="2682"/>
      <c r="I3" s="2682"/>
      <c r="J3" s="2682"/>
      <c r="K3" s="2682"/>
      <c r="L3" s="1366"/>
    </row>
    <row r="4" spans="1:12" ht="12.75" customHeight="1" x14ac:dyDescent="0.2">
      <c r="B4" s="2682" t="str">
        <f>'Single Audit Cover'!A4</f>
        <v>Year Ending June 30, 2018</v>
      </c>
      <c r="C4" s="2682"/>
      <c r="D4" s="2682"/>
      <c r="E4" s="2682"/>
      <c r="F4" s="2682"/>
      <c r="G4" s="2682"/>
      <c r="H4" s="2682"/>
      <c r="I4" s="2682"/>
      <c r="J4" s="2682"/>
      <c r="K4" s="2682"/>
      <c r="L4" s="1366"/>
    </row>
    <row r="5" spans="1:12" ht="5.25" customHeight="1" x14ac:dyDescent="0.2">
      <c r="B5" s="1249" t="s">
        <v>1231</v>
      </c>
      <c r="C5" s="1249"/>
      <c r="L5" s="322"/>
    </row>
    <row r="6" spans="1:12" ht="30.75" customHeight="1" x14ac:dyDescent="0.2">
      <c r="A6" s="322"/>
      <c r="B6" s="2691" t="s">
        <v>1375</v>
      </c>
      <c r="C6" s="2691"/>
      <c r="D6" s="2691"/>
      <c r="E6" s="2691"/>
      <c r="F6" s="2691"/>
      <c r="G6" s="2691"/>
      <c r="H6" s="2691"/>
      <c r="I6" s="2691"/>
      <c r="J6" s="2691"/>
      <c r="K6" s="2691"/>
      <c r="L6" s="322"/>
    </row>
    <row r="7" spans="1:12" ht="4.5" customHeight="1" x14ac:dyDescent="0.2">
      <c r="B7" s="1368"/>
      <c r="C7" s="1368"/>
      <c r="D7" s="1368"/>
      <c r="E7" s="1368"/>
      <c r="F7" s="1368"/>
      <c r="G7" s="1369"/>
      <c r="H7" s="1368"/>
      <c r="I7" s="1369"/>
      <c r="J7" s="1368"/>
      <c r="K7" s="1368"/>
      <c r="L7" s="322"/>
    </row>
    <row r="8" spans="1:12" ht="13.5" customHeight="1" x14ac:dyDescent="0.2">
      <c r="B8" s="1376" t="s">
        <v>1856</v>
      </c>
      <c r="C8" s="1456" t="s">
        <v>1950</v>
      </c>
      <c r="D8" s="1457" t="s">
        <v>2164</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673"/>
      <c r="G12" s="2673"/>
      <c r="H12" s="2673"/>
      <c r="I12" s="2673"/>
      <c r="J12" s="2673"/>
      <c r="K12" s="2673"/>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686"/>
      <c r="E14" s="2686"/>
      <c r="F14" s="2686"/>
      <c r="H14" s="1464" t="s">
        <v>1370</v>
      </c>
      <c r="I14" s="2687"/>
      <c r="J14" s="2687"/>
      <c r="K14" s="2687"/>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687"/>
      <c r="E16" s="2687"/>
      <c r="F16" s="2687"/>
      <c r="G16" s="2687"/>
      <c r="H16" s="2687"/>
      <c r="I16" s="2687"/>
      <c r="J16" s="2687"/>
      <c r="K16" s="2687"/>
      <c r="L16" s="322"/>
    </row>
    <row r="17" spans="2:12" ht="13.5" customHeight="1" x14ac:dyDescent="0.2">
      <c r="B17" s="1376" t="s">
        <v>1368</v>
      </c>
      <c r="C17" s="1376"/>
      <c r="D17" s="2688"/>
      <c r="E17" s="2688"/>
      <c r="F17" s="2688"/>
      <c r="G17" s="2688"/>
      <c r="H17" s="2688"/>
      <c r="I17" s="2688"/>
      <c r="J17" s="2688"/>
      <c r="K17" s="2688"/>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681"/>
      <c r="C20" s="2681"/>
      <c r="D20" s="2681"/>
      <c r="E20" s="2681"/>
      <c r="F20" s="2681"/>
      <c r="G20" s="2681"/>
      <c r="H20" s="2681"/>
      <c r="I20" s="2681"/>
      <c r="J20" s="2681"/>
      <c r="K20" s="2681"/>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1857</v>
      </c>
      <c r="C22" s="1466"/>
      <c r="D22" s="322"/>
      <c r="E22" s="322"/>
      <c r="F22" s="322"/>
      <c r="G22" s="1372"/>
      <c r="H22" s="322"/>
      <c r="I22" s="1372"/>
      <c r="J22" s="322"/>
      <c r="K22" s="322"/>
      <c r="L22" s="322"/>
    </row>
    <row r="23" spans="2:12" ht="37.5" customHeight="1" x14ac:dyDescent="0.2">
      <c r="B23" s="2681"/>
      <c r="C23" s="2681"/>
      <c r="D23" s="2681"/>
      <c r="E23" s="2681"/>
      <c r="F23" s="2681"/>
      <c r="G23" s="2681"/>
      <c r="H23" s="2681"/>
      <c r="I23" s="2681"/>
      <c r="J23" s="2681"/>
      <c r="K23" s="2681"/>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1858</v>
      </c>
      <c r="C25" s="1466"/>
      <c r="D25" s="322"/>
      <c r="E25" s="322"/>
      <c r="F25" s="322"/>
      <c r="G25" s="1372"/>
      <c r="H25" s="322"/>
      <c r="I25" s="1372"/>
      <c r="J25" s="322"/>
      <c r="K25" s="322"/>
      <c r="L25" s="322"/>
    </row>
    <row r="26" spans="2:12" ht="37.5" customHeight="1" x14ac:dyDescent="0.2">
      <c r="B26" s="2681"/>
      <c r="C26" s="2681"/>
      <c r="D26" s="2681"/>
      <c r="E26" s="2681"/>
      <c r="F26" s="2681"/>
      <c r="G26" s="2681"/>
      <c r="H26" s="2681"/>
      <c r="I26" s="2681"/>
      <c r="J26" s="2681"/>
      <c r="K26" s="2681"/>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1859</v>
      </c>
      <c r="C28" s="1466"/>
      <c r="D28" s="322"/>
      <c r="E28" s="322"/>
      <c r="F28" s="322"/>
      <c r="G28" s="1372"/>
      <c r="H28" s="322"/>
      <c r="I28" s="1372"/>
      <c r="J28" s="322"/>
      <c r="K28" s="322"/>
      <c r="L28" s="322"/>
    </row>
    <row r="29" spans="2:12" ht="37.5" customHeight="1" x14ac:dyDescent="0.2">
      <c r="B29" s="2681"/>
      <c r="C29" s="2681"/>
      <c r="D29" s="2681"/>
      <c r="E29" s="2681"/>
      <c r="F29" s="2681"/>
      <c r="G29" s="2681"/>
      <c r="H29" s="2681"/>
      <c r="I29" s="2681"/>
      <c r="J29" s="2681"/>
      <c r="K29" s="2681"/>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681"/>
      <c r="C32" s="2681"/>
      <c r="D32" s="2681"/>
      <c r="E32" s="2681"/>
      <c r="F32" s="2681"/>
      <c r="G32" s="2681"/>
      <c r="H32" s="2681"/>
      <c r="I32" s="2681"/>
      <c r="J32" s="2681"/>
      <c r="K32" s="2681"/>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681"/>
      <c r="C35" s="2681"/>
      <c r="D35" s="2681"/>
      <c r="E35" s="2681"/>
      <c r="F35" s="2681"/>
      <c r="G35" s="2681"/>
      <c r="H35" s="2681"/>
      <c r="I35" s="2681"/>
      <c r="J35" s="2681"/>
      <c r="K35" s="2681"/>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681"/>
      <c r="C38" s="2681"/>
      <c r="D38" s="2681"/>
      <c r="E38" s="2681"/>
      <c r="F38" s="2681"/>
      <c r="G38" s="2681"/>
      <c r="H38" s="2681"/>
      <c r="I38" s="2681"/>
      <c r="J38" s="2681"/>
      <c r="K38" s="2681"/>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1860</v>
      </c>
      <c r="C40" s="1392"/>
      <c r="D40" s="1367"/>
      <c r="E40" s="1368"/>
      <c r="F40" s="1368"/>
      <c r="G40" s="1369"/>
      <c r="H40" s="1368"/>
      <c r="I40" s="1369"/>
      <c r="J40" s="1368"/>
      <c r="K40" s="1368"/>
    </row>
    <row r="41" spans="2:12" s="322" customFormat="1" ht="33.75" customHeight="1" x14ac:dyDescent="0.2">
      <c r="B41" s="2681"/>
      <c r="C41" s="2681"/>
      <c r="D41" s="2681"/>
      <c r="E41" s="2681"/>
      <c r="F41" s="2681"/>
      <c r="G41" s="2681"/>
      <c r="H41" s="2681"/>
      <c r="I41" s="2681"/>
      <c r="J41" s="2681"/>
      <c r="K41" s="2681"/>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1861</v>
      </c>
      <c r="C48" s="1408"/>
      <c r="D48" s="322"/>
      <c r="E48" s="322"/>
      <c r="F48" s="322"/>
    </row>
    <row r="49" spans="2:3" s="317" customFormat="1" ht="10.5" customHeight="1" x14ac:dyDescent="0.2">
      <c r="B49" s="1409" t="s">
        <v>1862</v>
      </c>
      <c r="C49" s="1409"/>
    </row>
    <row r="50" spans="2:3" s="317" customFormat="1" ht="11.1" customHeight="1" x14ac:dyDescent="0.2">
      <c r="B50" s="1409" t="s">
        <v>1863</v>
      </c>
      <c r="C50" s="1409"/>
    </row>
    <row r="51" spans="2:3" s="317" customFormat="1" ht="11.1" customHeight="1" x14ac:dyDescent="0.2">
      <c r="B51" s="1409" t="s">
        <v>1864</v>
      </c>
      <c r="C51" s="1409"/>
    </row>
    <row r="52" spans="2:3" s="317" customFormat="1" ht="11.1" customHeight="1" x14ac:dyDescent="0.2">
      <c r="B52" s="1409" t="s">
        <v>1865</v>
      </c>
      <c r="C52" s="140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7"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J19" sqref="J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666" t="str">
        <f>'Single Audit Cover'!A7</f>
        <v>Wood Dale SD 7</v>
      </c>
      <c r="C1" s="2666"/>
      <c r="D1" s="2666"/>
      <c r="E1" s="1480"/>
    </row>
    <row r="2" spans="2:5" s="1271" customFormat="1" ht="12.75" customHeight="1" x14ac:dyDescent="0.2">
      <c r="B2" s="2668">
        <f>'Single Audit Cover'!E7</f>
        <v>19022007002</v>
      </c>
      <c r="C2" s="2668"/>
      <c r="D2" s="2668"/>
      <c r="E2" s="1481"/>
    </row>
    <row r="3" spans="2:5" ht="12.75" customHeight="1" x14ac:dyDescent="0.2">
      <c r="B3" s="2682" t="s">
        <v>1866</v>
      </c>
      <c r="C3" s="2682"/>
      <c r="D3" s="2682"/>
      <c r="E3" s="1263"/>
    </row>
    <row r="4" spans="2:5" s="1271" customFormat="1" ht="12.75" customHeight="1" x14ac:dyDescent="0.2">
      <c r="B4" s="2692" t="str">
        <f>'Single Audit Cover'!A4</f>
        <v>Year Ending June 30, 2018</v>
      </c>
      <c r="C4" s="2692"/>
      <c r="D4" s="2692"/>
      <c r="E4" s="1482"/>
    </row>
    <row r="5" spans="2:5" s="1271" customFormat="1" ht="40.15" customHeight="1" x14ac:dyDescent="0.2">
      <c r="B5" s="1483" t="s">
        <v>1867</v>
      </c>
      <c r="C5" s="328"/>
      <c r="D5" s="328"/>
      <c r="E5" s="328"/>
    </row>
    <row r="6" spans="2:5" s="1271" customFormat="1" ht="13.5" customHeight="1" x14ac:dyDescent="0.2">
      <c r="B6" s="1484" t="s">
        <v>1382</v>
      </c>
      <c r="C6" s="1484" t="s">
        <v>1381</v>
      </c>
      <c r="D6" s="1484" t="s">
        <v>1868</v>
      </c>
    </row>
    <row r="7" spans="2:5" ht="13.5" customHeight="1" x14ac:dyDescent="0.2">
      <c r="B7" s="1485" t="s">
        <v>2215</v>
      </c>
      <c r="C7" s="324" t="s">
        <v>2224</v>
      </c>
      <c r="D7" s="324" t="s">
        <v>2217</v>
      </c>
      <c r="E7" s="324"/>
    </row>
    <row r="8" spans="2:5" ht="13.5" customHeight="1" x14ac:dyDescent="0.2">
      <c r="B8" s="1485"/>
      <c r="C8" s="324" t="s">
        <v>2225</v>
      </c>
      <c r="D8" s="324" t="s">
        <v>2218</v>
      </c>
      <c r="E8" s="324"/>
    </row>
    <row r="9" spans="2:5" ht="13.5" customHeight="1" x14ac:dyDescent="0.2">
      <c r="B9" s="1486"/>
      <c r="C9" s="323" t="s">
        <v>2226</v>
      </c>
      <c r="D9" s="323" t="s">
        <v>2219</v>
      </c>
      <c r="E9" s="323"/>
    </row>
    <row r="10" spans="2:5" ht="13.5" customHeight="1" x14ac:dyDescent="0.2">
      <c r="B10" s="1485"/>
      <c r="C10" s="323"/>
      <c r="D10" s="323" t="s">
        <v>2220</v>
      </c>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1869</v>
      </c>
    </row>
    <row r="46" spans="2:5" ht="12.2" customHeight="1" x14ac:dyDescent="0.2">
      <c r="B46" s="1494" t="s">
        <v>1870</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3" t="s">
        <v>404</v>
      </c>
      <c r="B1" s="2283"/>
      <c r="C1" s="2283"/>
      <c r="D1" s="2283"/>
      <c r="E1" s="2283"/>
      <c r="F1" s="2283"/>
      <c r="G1" s="2283"/>
      <c r="H1" s="2283"/>
      <c r="I1" s="2283"/>
      <c r="J1" s="2283"/>
      <c r="K1" s="2283"/>
      <c r="L1" s="2283"/>
      <c r="M1" s="228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537468901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1.7367E-2</v>
      </c>
      <c r="E10" s="356" t="s">
        <v>1062</v>
      </c>
      <c r="F10" s="355">
        <v>4.0210000000000003E-3</v>
      </c>
      <c r="G10" s="356" t="s">
        <v>1062</v>
      </c>
      <c r="H10" s="355">
        <v>4.9600000000000002E-4</v>
      </c>
      <c r="I10" s="356" t="s">
        <v>1063</v>
      </c>
      <c r="J10" s="1743">
        <f>ROUND(D10+F10+H10,5)</f>
        <v>2.188E-2</v>
      </c>
      <c r="K10" s="222"/>
      <c r="L10" s="355">
        <v>3.8000000000000002E-5</v>
      </c>
      <c r="M10" s="222"/>
    </row>
    <row r="11" spans="1:14" ht="7.5" customHeight="1" x14ac:dyDescent="0.2">
      <c r="B11" s="222"/>
      <c r="C11" s="222"/>
      <c r="D11" s="2293" t="str">
        <f>IF(SUM(J10)&lt;=0.0999999,"","Enter the Tax Rates by moving the decimal two places to the left.")</f>
        <v/>
      </c>
      <c r="E11" s="2294"/>
      <c r="F11" s="2294"/>
      <c r="G11" s="2294"/>
      <c r="H11" s="2294"/>
      <c r="I11" s="2294"/>
      <c r="J11" s="22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16660590</v>
      </c>
      <c r="E16" s="356"/>
      <c r="F16" s="1744">
        <f>SUM('Acct Summary 7-8'!C17,'Acct Summary 7-8'!D17,'Acct Summary 7-8'!F17)</f>
        <v>15407451</v>
      </c>
      <c r="G16" s="356"/>
      <c r="H16" s="1744">
        <f>SUM(D16-F16)</f>
        <v>1253139</v>
      </c>
      <c r="I16" s="222"/>
      <c r="J16" s="1744">
        <f>SUM('Acct Summary 7-8'!C81,'Acct Summary 7-8'!D81,'Acct Summary 7-8'!F81,'Acct Summary 7-8'!I81)</f>
        <v>11722824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607</v>
      </c>
      <c r="D31" s="237" t="s">
        <v>1132</v>
      </c>
      <c r="E31" s="222"/>
      <c r="F31" s="222"/>
      <c r="G31" s="363"/>
      <c r="H31" s="1746">
        <f>IF(B31="X",(J7*0.069),IF(B32="X",(J7*0.138),"Enter x in a.or b."))</f>
        <v>37085354.169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3274820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84"/>
      <c r="C54" s="2285"/>
      <c r="D54" s="2285"/>
      <c r="E54" s="2285"/>
      <c r="F54" s="2285"/>
      <c r="G54" s="2285"/>
      <c r="H54" s="2285"/>
      <c r="I54" s="2285"/>
      <c r="J54" s="2285"/>
      <c r="K54" s="2285"/>
      <c r="L54" s="2286"/>
      <c r="M54" s="380"/>
    </row>
    <row r="55" spans="1:13" ht="12.75" customHeight="1" x14ac:dyDescent="0.2">
      <c r="B55" s="2287"/>
      <c r="C55" s="2288"/>
      <c r="D55" s="2288"/>
      <c r="E55" s="2288"/>
      <c r="F55" s="2288"/>
      <c r="G55" s="2288"/>
      <c r="H55" s="2288"/>
      <c r="I55" s="2288"/>
      <c r="J55" s="2288"/>
      <c r="K55" s="2288"/>
      <c r="L55" s="2289"/>
      <c r="M55" s="380"/>
    </row>
    <row r="56" spans="1:13" ht="12.75" customHeight="1" x14ac:dyDescent="0.2">
      <c r="B56" s="2287"/>
      <c r="C56" s="2288"/>
      <c r="D56" s="2288"/>
      <c r="E56" s="2288"/>
      <c r="F56" s="2288"/>
      <c r="G56" s="2288"/>
      <c r="H56" s="2288"/>
      <c r="I56" s="2288"/>
      <c r="J56" s="2288"/>
      <c r="K56" s="2288"/>
      <c r="L56" s="2289"/>
      <c r="M56" s="222"/>
    </row>
    <row r="57" spans="1:13" ht="12.75" customHeight="1" x14ac:dyDescent="0.2">
      <c r="B57" s="2287"/>
      <c r="C57" s="2288"/>
      <c r="D57" s="2288"/>
      <c r="E57" s="2288"/>
      <c r="F57" s="2288"/>
      <c r="G57" s="2288"/>
      <c r="H57" s="2288"/>
      <c r="I57" s="2288"/>
      <c r="J57" s="2288"/>
      <c r="K57" s="2288"/>
      <c r="L57" s="2289"/>
      <c r="M57" s="222"/>
    </row>
    <row r="58" spans="1:13" x14ac:dyDescent="0.2">
      <c r="B58" s="2290"/>
      <c r="C58" s="2291"/>
      <c r="D58" s="2291"/>
      <c r="E58" s="2291"/>
      <c r="F58" s="2291"/>
      <c r="G58" s="2291"/>
      <c r="H58" s="2291"/>
      <c r="I58" s="2291"/>
      <c r="J58" s="2291"/>
      <c r="K58" s="2291"/>
      <c r="L58" s="22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5"/>
      <c r="D61" s="22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1" sqref="F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98"/>
      <c r="B1" s="2299"/>
      <c r="C1" s="2299"/>
      <c r="D1" s="384"/>
      <c r="E1" s="384"/>
      <c r="F1" s="384"/>
      <c r="G1" s="384"/>
      <c r="H1" s="384"/>
      <c r="I1" s="384"/>
      <c r="J1" s="384"/>
      <c r="K1" s="384"/>
      <c r="L1" s="384"/>
      <c r="M1" s="384"/>
      <c r="N1" s="384"/>
      <c r="O1" s="2298"/>
      <c r="P1" s="2299"/>
      <c r="Q1" s="2299"/>
    </row>
    <row r="2" spans="1:18" ht="15" x14ac:dyDescent="0.2">
      <c r="A2" s="2302" t="s">
        <v>577</v>
      </c>
      <c r="B2" s="2302"/>
      <c r="C2" s="2302"/>
      <c r="D2" s="2302"/>
      <c r="E2" s="2302"/>
      <c r="F2" s="2302"/>
      <c r="G2" s="2302"/>
      <c r="H2" s="2302"/>
      <c r="I2" s="2302"/>
      <c r="J2" s="2302"/>
      <c r="K2" s="2302"/>
      <c r="L2" s="2302"/>
      <c r="M2" s="2302"/>
      <c r="N2" s="2302"/>
      <c r="O2" s="2302"/>
      <c r="P2" s="2302"/>
      <c r="Q2" s="2302"/>
      <c r="R2" s="2302"/>
    </row>
    <row r="3" spans="1:18" ht="12.75" x14ac:dyDescent="0.2">
      <c r="A3" s="2303" t="s">
        <v>1480</v>
      </c>
      <c r="B3" s="2303"/>
      <c r="C3" s="2303"/>
      <c r="D3" s="2303"/>
      <c r="E3" s="2303"/>
      <c r="F3" s="2303"/>
      <c r="G3" s="2303"/>
      <c r="H3" s="2303"/>
      <c r="I3" s="2303"/>
      <c r="J3" s="2303"/>
      <c r="K3" s="2303"/>
      <c r="L3" s="2303"/>
      <c r="M3" s="2303"/>
      <c r="N3" s="2303"/>
      <c r="O3" s="2303"/>
      <c r="P3" s="2303"/>
      <c r="Q3" s="2303"/>
      <c r="R3" s="2303"/>
    </row>
    <row r="4" spans="1:18" x14ac:dyDescent="0.2">
      <c r="A4" s="2304" t="s">
        <v>1635</v>
      </c>
      <c r="B4" s="2304"/>
      <c r="C4" s="2304"/>
      <c r="D4" s="2304"/>
      <c r="E4" s="2304"/>
      <c r="F4" s="2304"/>
      <c r="G4" s="2304"/>
      <c r="H4" s="2304"/>
      <c r="I4" s="2304"/>
      <c r="J4" s="2304"/>
      <c r="K4" s="2304"/>
      <c r="L4" s="2304"/>
      <c r="M4" s="2304"/>
      <c r="N4" s="2304"/>
      <c r="O4" s="2304"/>
      <c r="P4" s="2304"/>
      <c r="Q4" s="2304"/>
      <c r="R4" s="23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Wood Dale SD 7</v>
      </c>
      <c r="E7" s="391"/>
      <c r="G7" s="252"/>
      <c r="H7" s="387"/>
      <c r="I7" s="387"/>
      <c r="J7" s="387"/>
      <c r="K7" s="387"/>
      <c r="L7" s="329"/>
      <c r="M7" s="329"/>
      <c r="N7" s="329"/>
      <c r="O7" s="329"/>
      <c r="P7" s="329"/>
    </row>
    <row r="8" spans="1:18" ht="12.75" x14ac:dyDescent="0.2">
      <c r="A8" s="329"/>
      <c r="B8" s="329"/>
      <c r="C8" s="389" t="s">
        <v>1187</v>
      </c>
      <c r="D8" s="392">
        <f>COVER!A13</f>
        <v>19022007002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11722824</v>
      </c>
      <c r="I12" s="404"/>
      <c r="J12" s="404"/>
      <c r="K12" s="405">
        <f>TRUNC((H12/H13*100000),5)/100000</f>
        <v>0.72747035829999995</v>
      </c>
      <c r="L12" s="406"/>
      <c r="M12" s="360" t="s">
        <v>1206</v>
      </c>
      <c r="N12" s="360"/>
      <c r="O12" s="407">
        <v>0.35</v>
      </c>
      <c r="P12" s="218"/>
      <c r="Q12" s="218"/>
    </row>
    <row r="13" spans="1:18" s="408" customFormat="1" ht="12.75" x14ac:dyDescent="0.2">
      <c r="A13" s="218"/>
      <c r="B13" s="401"/>
      <c r="C13" s="2300" t="s">
        <v>1391</v>
      </c>
      <c r="D13" s="2301"/>
      <c r="E13" s="218"/>
      <c r="F13" s="409" t="s">
        <v>826</v>
      </c>
      <c r="G13" s="402"/>
      <c r="H13" s="403">
        <f>SUM('Acct Summary 7-8'!C8+'Acct Summary 7-8'!D8+'Acct Summary 7-8'!F8+'Acct Summary 7-8'!I8)+H14</f>
        <v>16114504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-546086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15407451</v>
      </c>
      <c r="I17" s="404"/>
      <c r="J17" s="416"/>
      <c r="K17" s="405">
        <f>TRUNC((H17/H18*100000),5)/100000</f>
        <v>0.95612319180000005</v>
      </c>
      <c r="L17" s="406"/>
      <c r="M17" s="417" t="s">
        <v>1233</v>
      </c>
      <c r="O17" s="418" t="str">
        <f>IF(AND(O16="2", J20 &gt; 2),"1",IF(AND(O16 = "1", J20 &gt; 2),"2",IF(AND(O16="1", J20 &gt;1),"1","0")))</f>
        <v>0</v>
      </c>
      <c r="P17" s="218"/>
    </row>
    <row r="18" spans="1:18" s="408" customFormat="1" ht="11.25" x14ac:dyDescent="0.2">
      <c r="A18" s="218"/>
      <c r="B18" s="401"/>
      <c r="C18" s="2300" t="s">
        <v>1384</v>
      </c>
      <c r="D18" s="2301"/>
      <c r="E18" s="218"/>
      <c r="F18" s="419" t="s">
        <v>827</v>
      </c>
      <c r="G18" s="402"/>
      <c r="H18" s="403">
        <f>SUM('Acct Summary 7-8'!C8+'Acct Summary 7-8'!D8+'Acct Summary 7-8'!F8+'Acct Summary 7-8'!I8)+H19</f>
        <v>16114504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-546086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97" t="s">
        <v>1479</v>
      </c>
      <c r="D24" s="2297"/>
      <c r="E24" s="218"/>
      <c r="F24" s="218" t="s">
        <v>465</v>
      </c>
      <c r="G24" s="402"/>
      <c r="H24" s="403">
        <f>SUM('Assets-Liab 5-6'!C4+'Assets-Liab 5-6'!D4+'Assets-Liab 5-6'!F4+'Assets-Liab 5-6'!I4+'Assets-Liab 5-6'!C5+'Assets-Liab 5-6'!D5+'Assets-Liab 5-6'!F5+'Assets-Liab 5-6'!I5)</f>
        <v>11722824</v>
      </c>
      <c r="I24" s="422"/>
      <c r="J24" s="422"/>
      <c r="K24" s="423">
        <f>TRUNC(((H24/H25*100000)/100000),2)</f>
        <v>273.89999999999998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42798.474999999999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9995846.6207999997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3274820</v>
      </c>
      <c r="I32" s="420"/>
      <c r="J32" s="420"/>
      <c r="K32" s="423">
        <f>TRUNC(100-((((H32/H33*100))*100)/100),2)</f>
        <v>91.16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37085354.169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F31" sqref="F31"/>
      <selection pane="bottomLeft" activeCell="F31" sqref="F31"/>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30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30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307" t="s">
        <v>1030</v>
      </c>
      <c r="B3" s="2308"/>
      <c r="C3" s="1570"/>
      <c r="D3" s="1571"/>
      <c r="E3" s="1571"/>
      <c r="F3" s="1571"/>
      <c r="G3" s="1571"/>
      <c r="H3" s="1571"/>
      <c r="I3" s="1571"/>
      <c r="J3" s="1571"/>
      <c r="K3" s="1571"/>
      <c r="L3" s="1571"/>
      <c r="M3" s="1572"/>
      <c r="N3" s="1573"/>
    </row>
    <row r="4" spans="1:14" ht="13.5" customHeight="1" x14ac:dyDescent="0.2">
      <c r="A4" s="463" t="s">
        <v>1750</v>
      </c>
      <c r="B4" s="464"/>
      <c r="C4" s="465">
        <v>0</v>
      </c>
      <c r="D4" s="465">
        <v>0</v>
      </c>
      <c r="E4" s="465">
        <v>238768</v>
      </c>
      <c r="F4" s="465">
        <v>225085</v>
      </c>
      <c r="G4" s="465">
        <v>0</v>
      </c>
      <c r="H4" s="465">
        <v>40274</v>
      </c>
      <c r="I4" s="465">
        <v>1513520</v>
      </c>
      <c r="J4" s="465">
        <v>0</v>
      </c>
      <c r="K4" s="465">
        <v>0</v>
      </c>
      <c r="L4" s="465">
        <v>55746</v>
      </c>
      <c r="M4" s="468"/>
      <c r="N4" s="469"/>
    </row>
    <row r="5" spans="1:14" x14ac:dyDescent="0.2">
      <c r="A5" s="463" t="s">
        <v>1049</v>
      </c>
      <c r="B5" s="470">
        <v>120</v>
      </c>
      <c r="C5" s="465">
        <v>6874750</v>
      </c>
      <c r="D5" s="465">
        <v>2117133</v>
      </c>
      <c r="E5" s="465">
        <v>0</v>
      </c>
      <c r="F5" s="465">
        <v>861200</v>
      </c>
      <c r="G5" s="465">
        <v>230221</v>
      </c>
      <c r="H5" s="465">
        <v>930</v>
      </c>
      <c r="I5" s="465">
        <v>131136</v>
      </c>
      <c r="J5" s="465">
        <v>0</v>
      </c>
      <c r="K5" s="465">
        <v>0</v>
      </c>
      <c r="L5" s="471">
        <v>0</v>
      </c>
      <c r="M5" s="468"/>
      <c r="N5" s="469"/>
    </row>
    <row r="6" spans="1:14" ht="13.5" customHeight="1" x14ac:dyDescent="0.2">
      <c r="A6" s="472" t="s">
        <v>437</v>
      </c>
      <c r="B6" s="470">
        <v>130</v>
      </c>
      <c r="C6" s="465">
        <v>0</v>
      </c>
      <c r="D6" s="465">
        <v>0</v>
      </c>
      <c r="E6" s="465">
        <v>0</v>
      </c>
      <c r="F6" s="465">
        <v>0</v>
      </c>
      <c r="G6" s="465">
        <v>0</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0</v>
      </c>
      <c r="D8" s="465">
        <v>0</v>
      </c>
      <c r="E8" s="465">
        <v>0</v>
      </c>
      <c r="F8" s="465">
        <v>0</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6874750</v>
      </c>
      <c r="D13" s="1748">
        <f t="shared" ref="D13:L13" si="0">SUM(D4:D12)</f>
        <v>2117133</v>
      </c>
      <c r="E13" s="1748">
        <f t="shared" si="0"/>
        <v>238768</v>
      </c>
      <c r="F13" s="1748">
        <f t="shared" si="0"/>
        <v>1086285</v>
      </c>
      <c r="G13" s="1748">
        <f t="shared" si="0"/>
        <v>230221</v>
      </c>
      <c r="H13" s="1748">
        <f t="shared" si="0"/>
        <v>41204</v>
      </c>
      <c r="I13" s="1748">
        <f t="shared" si="0"/>
        <v>1644656</v>
      </c>
      <c r="J13" s="1748">
        <f t="shared" si="0"/>
        <v>0</v>
      </c>
      <c r="K13" s="1748">
        <f t="shared" si="0"/>
        <v>0</v>
      </c>
      <c r="L13" s="1748">
        <f t="shared" si="0"/>
        <v>55746</v>
      </c>
      <c r="M13" s="468"/>
      <c r="N13" s="469"/>
    </row>
    <row r="14" spans="1:14" ht="18" customHeight="1" thickTop="1" x14ac:dyDescent="0.2">
      <c r="A14" s="2309" t="s">
        <v>149</v>
      </c>
      <c r="B14" s="2310"/>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87581</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19643807</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2066896</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2093890</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238768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3036052</v>
      </c>
    </row>
    <row r="23" spans="1:14" ht="13.5" customHeight="1" thickBot="1" x14ac:dyDescent="0.25">
      <c r="A23" s="1747" t="s">
        <v>664</v>
      </c>
      <c r="B23" s="1752"/>
      <c r="C23" s="468"/>
      <c r="D23" s="468"/>
      <c r="E23" s="468"/>
      <c r="F23" s="468"/>
      <c r="G23" s="468"/>
      <c r="H23" s="468"/>
      <c r="I23" s="468"/>
      <c r="J23" s="468"/>
      <c r="K23" s="468"/>
      <c r="L23" s="468"/>
      <c r="M23" s="1699">
        <f>SUM(M15:M22)</f>
        <v>23892174</v>
      </c>
      <c r="N23" s="1699">
        <f>SUM(N21:N22)</f>
        <v>3274820</v>
      </c>
    </row>
    <row r="24" spans="1:14" ht="18" customHeight="1" thickTop="1" x14ac:dyDescent="0.2">
      <c r="A24" s="2311" t="s">
        <v>619</v>
      </c>
      <c r="B24" s="2312"/>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0</v>
      </c>
      <c r="D32" s="465">
        <v>0</v>
      </c>
      <c r="E32" s="465">
        <v>0</v>
      </c>
      <c r="F32" s="465">
        <v>0</v>
      </c>
      <c r="G32" s="465">
        <v>0</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55746</v>
      </c>
      <c r="M33" s="468"/>
      <c r="N33" s="469"/>
    </row>
    <row r="34" spans="1:14" ht="13.5" customHeight="1" thickBot="1" x14ac:dyDescent="0.25">
      <c r="A34" s="1749" t="s">
        <v>675</v>
      </c>
      <c r="B34" s="1750"/>
      <c r="C34" s="1751">
        <f>SUM(C25:C33)</f>
        <v>0</v>
      </c>
      <c r="D34" s="1751">
        <f t="shared" ref="D34:K34" si="1">SUM(D25:D33)</f>
        <v>0</v>
      </c>
      <c r="E34" s="1751">
        <f t="shared" si="1"/>
        <v>0</v>
      </c>
      <c r="F34" s="1751">
        <f t="shared" si="1"/>
        <v>0</v>
      </c>
      <c r="G34" s="1751">
        <f t="shared" si="1"/>
        <v>0</v>
      </c>
      <c r="H34" s="1751">
        <f t="shared" si="1"/>
        <v>0</v>
      </c>
      <c r="I34" s="1751">
        <f t="shared" si="1"/>
        <v>0</v>
      </c>
      <c r="J34" s="1751">
        <f t="shared" si="1"/>
        <v>0</v>
      </c>
      <c r="K34" s="1751">
        <f t="shared" si="1"/>
        <v>0</v>
      </c>
      <c r="L34" s="1732">
        <f>SUM(L33)</f>
        <v>55746</v>
      </c>
      <c r="M34" s="468"/>
      <c r="N34" s="477"/>
    </row>
    <row r="35" spans="1:14" ht="18" customHeight="1" thickTop="1" x14ac:dyDescent="0.2">
      <c r="A35" s="2313" t="s">
        <v>550</v>
      </c>
      <c r="B35" s="2314"/>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3274820</v>
      </c>
    </row>
    <row r="37" spans="1:14" ht="13.5" thickBot="1" x14ac:dyDescent="0.25">
      <c r="A37" s="1747" t="s">
        <v>674</v>
      </c>
      <c r="B37" s="1752"/>
      <c r="C37" s="474"/>
      <c r="D37" s="474"/>
      <c r="E37" s="474"/>
      <c r="F37" s="474"/>
      <c r="G37" s="474"/>
      <c r="H37" s="474"/>
      <c r="I37" s="474"/>
      <c r="J37" s="474"/>
      <c r="K37" s="474"/>
      <c r="L37" s="477"/>
      <c r="M37" s="468"/>
      <c r="N37" s="1699">
        <f>SUM(N36:N36)</f>
        <v>3274820</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6874750</v>
      </c>
      <c r="D39" s="465">
        <v>2117133</v>
      </c>
      <c r="E39" s="465">
        <v>238768</v>
      </c>
      <c r="F39" s="465">
        <v>1086285</v>
      </c>
      <c r="G39" s="465">
        <v>230221</v>
      </c>
      <c r="H39" s="465">
        <v>41204</v>
      </c>
      <c r="I39" s="465">
        <v>1644656</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23892174</v>
      </c>
      <c r="N40" s="493"/>
    </row>
    <row r="41" spans="1:14" ht="13.5" customHeight="1" thickBot="1" x14ac:dyDescent="0.25">
      <c r="A41" s="1747" t="s">
        <v>676</v>
      </c>
      <c r="B41" s="1717"/>
      <c r="C41" s="1699">
        <f>(SUM(C34,C37,C38,C39))</f>
        <v>6874750</v>
      </c>
      <c r="D41" s="1699">
        <f t="shared" ref="D41:L41" si="2">SUM(D34,D37,D38:D39)</f>
        <v>2117133</v>
      </c>
      <c r="E41" s="1699">
        <f t="shared" si="2"/>
        <v>238768</v>
      </c>
      <c r="F41" s="1699">
        <f t="shared" si="2"/>
        <v>1086285</v>
      </c>
      <c r="G41" s="1699">
        <f t="shared" si="2"/>
        <v>230221</v>
      </c>
      <c r="H41" s="1699">
        <f t="shared" si="2"/>
        <v>41204</v>
      </c>
      <c r="I41" s="1699">
        <f t="shared" si="2"/>
        <v>1644656</v>
      </c>
      <c r="J41" s="1699">
        <f t="shared" si="2"/>
        <v>0</v>
      </c>
      <c r="K41" s="1699">
        <f t="shared" si="2"/>
        <v>0</v>
      </c>
      <c r="L41" s="1699">
        <f t="shared" si="2"/>
        <v>55746</v>
      </c>
      <c r="M41" s="1699">
        <f>SUM(M40)</f>
        <v>23892174</v>
      </c>
      <c r="N41" s="1699">
        <f>SUM(N37)</f>
        <v>3274820</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2" activePane="bottomLeft" state="frozenSplit"/>
      <selection activeCell="F31" sqref="F31"/>
      <selection pane="bottomLeft" activeCell="F31" sqref="F31"/>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323"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324"/>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335" t="s">
        <v>1237</v>
      </c>
      <c r="B3" s="2336"/>
      <c r="C3" s="1584"/>
      <c r="D3" s="1585"/>
      <c r="E3" s="1585"/>
      <c r="F3" s="1585"/>
      <c r="G3" s="1585"/>
      <c r="H3" s="1585"/>
      <c r="I3" s="1585"/>
      <c r="J3" s="1585"/>
      <c r="K3" s="1586"/>
      <c r="L3" s="502"/>
    </row>
    <row r="4" spans="1:13" ht="15.75" customHeight="1" x14ac:dyDescent="0.2">
      <c r="A4" s="1943" t="s">
        <v>1579</v>
      </c>
      <c r="B4" s="1944">
        <v>1000</v>
      </c>
      <c r="C4" s="1753">
        <f>'Revenues 9-14'!C109</f>
        <v>9827741</v>
      </c>
      <c r="D4" s="1753">
        <f>'Revenues 9-14'!D109</f>
        <v>2188184</v>
      </c>
      <c r="E4" s="1753">
        <f>'Revenues 9-14'!E109</f>
        <v>295787</v>
      </c>
      <c r="F4" s="1753">
        <f>'Revenues 9-14'!F109</f>
        <v>431501</v>
      </c>
      <c r="G4" s="1753">
        <f>'Revenues 9-14'!G109</f>
        <v>518272</v>
      </c>
      <c r="H4" s="1753">
        <f>'Revenues 9-14'!H109</f>
        <v>939</v>
      </c>
      <c r="I4" s="1753">
        <f>'Revenues 9-14'!I109</f>
        <v>60171</v>
      </c>
      <c r="J4" s="1753">
        <f>'Revenues 9-14'!J109</f>
        <v>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2974811</v>
      </c>
      <c r="D6" s="1754">
        <f>'Revenues 9-14'!D173</f>
        <v>0</v>
      </c>
      <c r="E6" s="1754">
        <f>'Revenues 9-14'!E173</f>
        <v>0</v>
      </c>
      <c r="F6" s="1754">
        <f>'Revenues 9-14'!F173</f>
        <v>123910</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1054272</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13856824</v>
      </c>
      <c r="D8" s="1699">
        <f t="shared" ref="D8:K8" si="0">SUM(D4:D7)</f>
        <v>2188184</v>
      </c>
      <c r="E8" s="1699">
        <f t="shared" si="0"/>
        <v>295787</v>
      </c>
      <c r="F8" s="1699">
        <f t="shared" si="0"/>
        <v>555411</v>
      </c>
      <c r="G8" s="1699">
        <f t="shared" si="0"/>
        <v>518272</v>
      </c>
      <c r="H8" s="1699">
        <f t="shared" si="0"/>
        <v>939</v>
      </c>
      <c r="I8" s="1699">
        <f t="shared" si="0"/>
        <v>60171</v>
      </c>
      <c r="J8" s="1699">
        <f t="shared" si="0"/>
        <v>0</v>
      </c>
      <c r="K8" s="1699">
        <f t="shared" si="0"/>
        <v>0</v>
      </c>
      <c r="L8" s="347"/>
    </row>
    <row r="9" spans="1:13" ht="15.75" thickTop="1" x14ac:dyDescent="0.2">
      <c r="A9" s="510" t="s">
        <v>1752</v>
      </c>
      <c r="B9" s="511">
        <v>3998</v>
      </c>
      <c r="C9" s="478">
        <v>4987491</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18844315</v>
      </c>
      <c r="D10" s="1699">
        <f t="shared" ref="D10:K10" si="1">SUM(D8:D9)</f>
        <v>2188184</v>
      </c>
      <c r="E10" s="1699">
        <f t="shared" si="1"/>
        <v>295787</v>
      </c>
      <c r="F10" s="1699">
        <f t="shared" si="1"/>
        <v>555411</v>
      </c>
      <c r="G10" s="1699">
        <f t="shared" si="1"/>
        <v>518272</v>
      </c>
      <c r="H10" s="1699">
        <f t="shared" si="1"/>
        <v>939</v>
      </c>
      <c r="I10" s="1699">
        <f t="shared" si="1"/>
        <v>60171</v>
      </c>
      <c r="J10" s="1699">
        <f t="shared" si="1"/>
        <v>0</v>
      </c>
      <c r="K10" s="1699">
        <f t="shared" si="1"/>
        <v>0</v>
      </c>
      <c r="L10" s="514"/>
    </row>
    <row r="11" spans="1:13" s="515" customFormat="1" ht="16.7" customHeight="1" thickTop="1" x14ac:dyDescent="0.2">
      <c r="A11" s="2309" t="s">
        <v>1238</v>
      </c>
      <c r="B11" s="2310"/>
      <c r="C11" s="1581"/>
      <c r="D11" s="1582"/>
      <c r="E11" s="1582"/>
      <c r="F11" s="1582"/>
      <c r="G11" s="1582"/>
      <c r="H11" s="1582"/>
      <c r="I11" s="1582"/>
      <c r="J11" s="1582"/>
      <c r="K11" s="1583"/>
      <c r="L11" s="514"/>
    </row>
    <row r="12" spans="1:13" ht="15.75" customHeight="1" x14ac:dyDescent="0.2">
      <c r="A12" s="1587" t="s">
        <v>476</v>
      </c>
      <c r="B12" s="1589">
        <v>1000</v>
      </c>
      <c r="C12" s="1753">
        <f>'Expenditures 15-22'!K33</f>
        <v>7926506</v>
      </c>
      <c r="D12" s="516" t="s">
        <v>1231</v>
      </c>
      <c r="E12" s="468" t="s">
        <v>1231</v>
      </c>
      <c r="F12" s="468" t="s">
        <v>1231</v>
      </c>
      <c r="G12" s="1753">
        <f>'Expenditures 15-22'!K229</f>
        <v>168296</v>
      </c>
      <c r="H12" s="517"/>
      <c r="I12" s="468" t="s">
        <v>1231</v>
      </c>
      <c r="J12" s="468" t="s">
        <v>1231</v>
      </c>
      <c r="K12" s="517" t="s">
        <v>1231</v>
      </c>
      <c r="L12" s="347"/>
    </row>
    <row r="13" spans="1:13" ht="15.75" customHeight="1" x14ac:dyDescent="0.2">
      <c r="A13" s="1587" t="s">
        <v>477</v>
      </c>
      <c r="B13" s="1589">
        <v>2000</v>
      </c>
      <c r="C13" s="1754">
        <f>'Expenditures 15-22'!K74</f>
        <v>4255138</v>
      </c>
      <c r="D13" s="1754">
        <f>'Expenditures 15-22'!K129</f>
        <v>1740953</v>
      </c>
      <c r="E13" s="469" t="s">
        <v>1231</v>
      </c>
      <c r="F13" s="1754">
        <f>'Expenditures 15-22'!K184</f>
        <v>535356</v>
      </c>
      <c r="G13" s="1754">
        <f>'Expenditures 15-22'!K279</f>
        <v>331319</v>
      </c>
      <c r="H13" s="1754">
        <f>'Expenditures 15-22'!K303</f>
        <v>459735</v>
      </c>
      <c r="I13" s="468" t="s">
        <v>1231</v>
      </c>
      <c r="J13" s="1754">
        <f>'Expenditures 15-22'!K330</f>
        <v>0</v>
      </c>
      <c r="K13" s="1758">
        <f>'Expenditures 15-22'!K352</f>
        <v>0</v>
      </c>
      <c r="L13" s="347"/>
    </row>
    <row r="14" spans="1:13" ht="15.75" customHeight="1" x14ac:dyDescent="0.2">
      <c r="A14" s="1587" t="s">
        <v>469</v>
      </c>
      <c r="B14" s="1589">
        <v>3000</v>
      </c>
      <c r="C14" s="1754">
        <f>'Expenditures 15-22'!K75</f>
        <v>61800</v>
      </c>
      <c r="D14" s="1754">
        <f>'Expenditures 15-22'!K130</f>
        <v>0</v>
      </c>
      <c r="E14" s="516" t="s">
        <v>1231</v>
      </c>
      <c r="F14" s="1754">
        <f>'Expenditures 15-22'!K185</f>
        <v>0</v>
      </c>
      <c r="G14" s="1754">
        <f>'Expenditures 15-22'!K280</f>
        <v>4758</v>
      </c>
      <c r="H14" s="508"/>
      <c r="I14" s="468" t="s">
        <v>1231</v>
      </c>
      <c r="J14" s="468" t="s">
        <v>1231</v>
      </c>
      <c r="K14" s="508" t="s">
        <v>1231</v>
      </c>
      <c r="L14" s="347"/>
    </row>
    <row r="15" spans="1:13" ht="15.75" customHeight="1" x14ac:dyDescent="0.2">
      <c r="A15" s="1587" t="s">
        <v>109</v>
      </c>
      <c r="B15" s="1589">
        <v>4000</v>
      </c>
      <c r="C15" s="1754">
        <f>'Expenditures 15-22'!K102</f>
        <v>887698</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357147</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13131142</v>
      </c>
      <c r="D17" s="1699">
        <f t="shared" si="2"/>
        <v>1740953</v>
      </c>
      <c r="E17" s="1699">
        <f t="shared" si="2"/>
        <v>357147</v>
      </c>
      <c r="F17" s="1699">
        <f t="shared" si="2"/>
        <v>535356</v>
      </c>
      <c r="G17" s="1699">
        <f t="shared" si="2"/>
        <v>504373</v>
      </c>
      <c r="H17" s="1699">
        <f t="shared" si="2"/>
        <v>459735</v>
      </c>
      <c r="I17" s="468"/>
      <c r="J17" s="1699">
        <f>SUM(J12:J16)</f>
        <v>0</v>
      </c>
      <c r="K17" s="1699">
        <f>SUM(K12:K16)</f>
        <v>0</v>
      </c>
      <c r="L17" s="347"/>
    </row>
    <row r="18" spans="1:12" ht="15" customHeight="1" thickTop="1" x14ac:dyDescent="0.2">
      <c r="A18" s="1755" t="s">
        <v>1753</v>
      </c>
      <c r="B18" s="1756">
        <v>4180</v>
      </c>
      <c r="C18" s="1753">
        <f t="shared" ref="C18:H18" si="3">C9</f>
        <v>4987491</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18118633</v>
      </c>
      <c r="D19" s="1699">
        <f t="shared" si="4"/>
        <v>1740953</v>
      </c>
      <c r="E19" s="1699">
        <f t="shared" si="4"/>
        <v>357147</v>
      </c>
      <c r="F19" s="1699">
        <f t="shared" si="4"/>
        <v>535356</v>
      </c>
      <c r="G19" s="1699">
        <f t="shared" si="4"/>
        <v>504373</v>
      </c>
      <c r="H19" s="1699">
        <f t="shared" si="4"/>
        <v>459735</v>
      </c>
      <c r="I19" s="468"/>
      <c r="J19" s="1699">
        <f>SUM(J17:J18)</f>
        <v>0</v>
      </c>
      <c r="K19" s="1699">
        <f>SUM(K17:K18)</f>
        <v>0</v>
      </c>
      <c r="L19" s="347"/>
    </row>
    <row r="20" spans="1:12" ht="16.5" thickTop="1" thickBot="1" x14ac:dyDescent="0.25">
      <c r="A20" s="2325" t="s">
        <v>1754</v>
      </c>
      <c r="B20" s="2326"/>
      <c r="C20" s="1757">
        <f>C8-C17</f>
        <v>725682</v>
      </c>
      <c r="D20" s="1757">
        <f t="shared" ref="D20:K20" si="5">D8-D17</f>
        <v>447231</v>
      </c>
      <c r="E20" s="1757">
        <f t="shared" si="5"/>
        <v>-61360</v>
      </c>
      <c r="F20" s="1757">
        <f t="shared" si="5"/>
        <v>20055</v>
      </c>
      <c r="G20" s="1757">
        <f t="shared" si="5"/>
        <v>13899</v>
      </c>
      <c r="H20" s="1757">
        <f t="shared" si="5"/>
        <v>-458796</v>
      </c>
      <c r="I20" s="1757">
        <f t="shared" si="5"/>
        <v>60171</v>
      </c>
      <c r="J20" s="1757">
        <f t="shared" si="5"/>
        <v>0</v>
      </c>
      <c r="K20" s="1757">
        <f t="shared" si="5"/>
        <v>0</v>
      </c>
      <c r="L20" s="347"/>
    </row>
    <row r="21" spans="1:12" ht="16.7" customHeight="1" thickTop="1" x14ac:dyDescent="0.2">
      <c r="A21" s="2337" t="s">
        <v>616</v>
      </c>
      <c r="B21" s="2338"/>
      <c r="C21" s="1581"/>
      <c r="D21" s="1582"/>
      <c r="E21" s="1582"/>
      <c r="F21" s="1582"/>
      <c r="G21" s="1582"/>
      <c r="H21" s="1582"/>
      <c r="I21" s="1582"/>
      <c r="J21" s="1582"/>
      <c r="K21" s="1583"/>
      <c r="L21" s="520"/>
    </row>
    <row r="22" spans="1:12" ht="15.75" customHeight="1" collapsed="1" x14ac:dyDescent="0.2">
      <c r="A22" s="2333" t="s">
        <v>617</v>
      </c>
      <c r="B22" s="2334"/>
      <c r="C22" s="474"/>
      <c r="D22" s="474"/>
      <c r="E22" s="474"/>
      <c r="F22" s="474"/>
      <c r="G22" s="474"/>
      <c r="H22" s="474"/>
      <c r="I22" s="474"/>
      <c r="J22" s="474"/>
      <c r="K22" s="474"/>
      <c r="L22" s="347"/>
    </row>
    <row r="23" spans="1:12" s="482" customFormat="1" ht="15.75" customHeight="1" x14ac:dyDescent="0.2">
      <c r="A23" s="2329" t="s">
        <v>311</v>
      </c>
      <c r="B23" s="2330"/>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1894</v>
      </c>
      <c r="B30" s="523">
        <v>7160</v>
      </c>
      <c r="C30" s="474"/>
      <c r="D30" s="467">
        <v>0</v>
      </c>
      <c r="E30" s="474"/>
      <c r="F30" s="474"/>
      <c r="G30" s="474"/>
      <c r="H30" s="474"/>
      <c r="I30" s="474"/>
      <c r="J30" s="474"/>
      <c r="K30" s="474"/>
      <c r="L30" s="520"/>
    </row>
    <row r="31" spans="1:12" s="482" customFormat="1" ht="26.25" x14ac:dyDescent="0.2">
      <c r="A31" s="1500" t="s">
        <v>1898</v>
      </c>
      <c r="B31" s="523">
        <v>7170</v>
      </c>
      <c r="C31" s="474"/>
      <c r="D31" s="474"/>
      <c r="E31" s="467">
        <v>0</v>
      </c>
      <c r="F31" s="474"/>
      <c r="G31" s="474"/>
      <c r="H31" s="474"/>
      <c r="I31" s="474"/>
      <c r="J31" s="474"/>
      <c r="K31" s="474"/>
      <c r="L31" s="520"/>
    </row>
    <row r="32" spans="1:12" s="482" customFormat="1" ht="15.75" customHeight="1" x14ac:dyDescent="0.2">
      <c r="A32" s="2331" t="s">
        <v>1038</v>
      </c>
      <c r="B32" s="2332"/>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42106</v>
      </c>
      <c r="F37" s="473"/>
      <c r="G37" s="473"/>
      <c r="H37" s="473"/>
      <c r="I37" s="474"/>
      <c r="J37" s="473"/>
      <c r="K37" s="473"/>
      <c r="L37" s="520"/>
    </row>
    <row r="38" spans="1:12" s="482" customFormat="1" x14ac:dyDescent="0.2">
      <c r="A38" s="1500" t="s">
        <v>462</v>
      </c>
      <c r="B38" s="521">
        <v>7500</v>
      </c>
      <c r="C38" s="474"/>
      <c r="D38" s="474"/>
      <c r="E38" s="1754">
        <f>SUM(C58:D61,H58:H61)</f>
        <v>3980</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500000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339" t="s">
        <v>392</v>
      </c>
      <c r="B44" s="2340"/>
      <c r="C44" s="1714">
        <f>SUM(C24:C43)</f>
        <v>0</v>
      </c>
      <c r="D44" s="1714">
        <f t="shared" ref="D44:K44" si="6">SUM(D24:D43)</f>
        <v>0</v>
      </c>
      <c r="E44" s="1714">
        <f t="shared" si="6"/>
        <v>46086</v>
      </c>
      <c r="F44" s="1714">
        <f t="shared" si="6"/>
        <v>0</v>
      </c>
      <c r="G44" s="1714">
        <f t="shared" si="6"/>
        <v>0</v>
      </c>
      <c r="H44" s="1714">
        <f t="shared" si="6"/>
        <v>500000</v>
      </c>
      <c r="I44" s="1714">
        <f t="shared" si="6"/>
        <v>0</v>
      </c>
      <c r="J44" s="1714">
        <f t="shared" si="6"/>
        <v>0</v>
      </c>
      <c r="K44" s="1714">
        <f t="shared" si="6"/>
        <v>0</v>
      </c>
      <c r="L44" s="520"/>
    </row>
    <row r="45" spans="1:12" ht="15.75" customHeight="1" thickTop="1" x14ac:dyDescent="0.2">
      <c r="A45" s="2333" t="s">
        <v>110</v>
      </c>
      <c r="B45" s="2334"/>
      <c r="C45" s="524"/>
      <c r="D45" s="524"/>
      <c r="E45" s="524"/>
      <c r="F45" s="524"/>
      <c r="G45" s="524"/>
      <c r="H45" s="524"/>
      <c r="I45" s="524"/>
      <c r="J45" s="524"/>
      <c r="K45" s="524"/>
      <c r="L45" s="347"/>
    </row>
    <row r="46" spans="1:12" s="482" customFormat="1" ht="15.75" customHeight="1" x14ac:dyDescent="0.2">
      <c r="A46" s="2341" t="s">
        <v>111</v>
      </c>
      <c r="B46" s="2342"/>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1897</v>
      </c>
      <c r="B52" s="480">
        <v>8160</v>
      </c>
      <c r="C52" s="474"/>
      <c r="D52" s="474"/>
      <c r="E52" s="474"/>
      <c r="F52" s="474"/>
      <c r="G52" s="474"/>
      <c r="H52" s="474"/>
      <c r="I52" s="474"/>
      <c r="J52" s="474"/>
      <c r="K52" s="1754">
        <f>D30</f>
        <v>0</v>
      </c>
      <c r="L52" s="520"/>
    </row>
    <row r="53" spans="1:12" s="482" customFormat="1" ht="26.25" x14ac:dyDescent="0.2">
      <c r="A53" s="1501" t="s">
        <v>1896</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42106</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3980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500000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315" t="s">
        <v>460</v>
      </c>
      <c r="B76" s="2316"/>
      <c r="C76" s="1714">
        <f t="shared" ref="C76:K76" si="7">SUM(C47:C75)</f>
        <v>46086</v>
      </c>
      <c r="D76" s="1714">
        <f t="shared" si="7"/>
        <v>500000</v>
      </c>
      <c r="E76" s="1714">
        <f t="shared" si="7"/>
        <v>0</v>
      </c>
      <c r="F76" s="1714">
        <f t="shared" si="7"/>
        <v>0</v>
      </c>
      <c r="G76" s="1714">
        <f t="shared" si="7"/>
        <v>0</v>
      </c>
      <c r="H76" s="1714">
        <f t="shared" si="7"/>
        <v>0</v>
      </c>
      <c r="I76" s="1714">
        <f t="shared" si="7"/>
        <v>0</v>
      </c>
      <c r="J76" s="1714">
        <f t="shared" si="7"/>
        <v>0</v>
      </c>
      <c r="K76" s="1714">
        <f t="shared" si="7"/>
        <v>0</v>
      </c>
      <c r="L76" s="520"/>
    </row>
    <row r="77" spans="1:12" ht="14.25" thickTop="1" thickBot="1" x14ac:dyDescent="0.25">
      <c r="A77" s="2317" t="s">
        <v>1239</v>
      </c>
      <c r="B77" s="2318"/>
      <c r="C77" s="1714">
        <f t="shared" ref="C77:K77" si="8">C44-C76</f>
        <v>-46086</v>
      </c>
      <c r="D77" s="1714">
        <f t="shared" si="8"/>
        <v>-500000</v>
      </c>
      <c r="E77" s="1714">
        <f t="shared" si="8"/>
        <v>46086</v>
      </c>
      <c r="F77" s="1714">
        <f t="shared" si="8"/>
        <v>0</v>
      </c>
      <c r="G77" s="1714">
        <f t="shared" si="8"/>
        <v>0</v>
      </c>
      <c r="H77" s="1714">
        <f t="shared" si="8"/>
        <v>500000</v>
      </c>
      <c r="I77" s="1714">
        <f t="shared" si="8"/>
        <v>0</v>
      </c>
      <c r="J77" s="1714">
        <f t="shared" si="8"/>
        <v>0</v>
      </c>
      <c r="K77" s="1714">
        <f t="shared" si="8"/>
        <v>0</v>
      </c>
      <c r="L77" s="347"/>
    </row>
    <row r="78" spans="1:12" ht="21.75" customHeight="1" thickTop="1" thickBot="1" x14ac:dyDescent="0.25">
      <c r="A78" s="2321" t="s">
        <v>618</v>
      </c>
      <c r="B78" s="2322"/>
      <c r="C78" s="1713">
        <f t="shared" ref="C78:K78" si="9">C20+C77</f>
        <v>679596</v>
      </c>
      <c r="D78" s="1713">
        <f t="shared" si="9"/>
        <v>-52769</v>
      </c>
      <c r="E78" s="1713">
        <f t="shared" si="9"/>
        <v>-15274</v>
      </c>
      <c r="F78" s="1713">
        <f t="shared" si="9"/>
        <v>20055</v>
      </c>
      <c r="G78" s="1713">
        <f t="shared" si="9"/>
        <v>13899</v>
      </c>
      <c r="H78" s="1713">
        <f t="shared" si="9"/>
        <v>41204</v>
      </c>
      <c r="I78" s="1713">
        <f t="shared" si="9"/>
        <v>60171</v>
      </c>
      <c r="J78" s="1713">
        <f t="shared" si="9"/>
        <v>0</v>
      </c>
      <c r="K78" s="1713">
        <f t="shared" si="9"/>
        <v>0</v>
      </c>
      <c r="L78" s="529"/>
    </row>
    <row r="79" spans="1:12" ht="13.5" thickTop="1" x14ac:dyDescent="0.2">
      <c r="A79" s="1505" t="s">
        <v>2070</v>
      </c>
      <c r="B79" s="530"/>
      <c r="C79" s="475">
        <v>6195154</v>
      </c>
      <c r="D79" s="475">
        <v>2169902</v>
      </c>
      <c r="E79" s="475">
        <v>254042</v>
      </c>
      <c r="F79" s="475">
        <v>1066230</v>
      </c>
      <c r="G79" s="475">
        <v>216322</v>
      </c>
      <c r="H79" s="475">
        <v>0</v>
      </c>
      <c r="I79" s="475">
        <v>1584485</v>
      </c>
      <c r="J79" s="475">
        <v>0</v>
      </c>
      <c r="K79" s="475">
        <v>0</v>
      </c>
      <c r="L79" s="347"/>
    </row>
    <row r="80" spans="1:12" x14ac:dyDescent="0.2">
      <c r="A80" s="2327" t="s">
        <v>1895</v>
      </c>
      <c r="B80" s="2328"/>
      <c r="C80" s="467">
        <v>0</v>
      </c>
      <c r="D80" s="467">
        <v>0</v>
      </c>
      <c r="E80" s="467">
        <v>0</v>
      </c>
      <c r="F80" s="467">
        <v>0</v>
      </c>
      <c r="G80" s="467">
        <v>0</v>
      </c>
      <c r="H80" s="467">
        <v>0</v>
      </c>
      <c r="I80" s="467">
        <v>0</v>
      </c>
      <c r="J80" s="467">
        <v>0</v>
      </c>
      <c r="K80" s="467">
        <v>0</v>
      </c>
      <c r="L80" s="347"/>
    </row>
    <row r="81" spans="1:12" ht="13.5" thickBot="1" x14ac:dyDescent="0.25">
      <c r="A81" s="2319" t="s">
        <v>2071</v>
      </c>
      <c r="B81" s="2320"/>
      <c r="C81" s="1699">
        <f>(SUM(C78:C80))</f>
        <v>6874750</v>
      </c>
      <c r="D81" s="1699">
        <f>SUM(D78:D80)</f>
        <v>2117133</v>
      </c>
      <c r="E81" s="1699">
        <f t="shared" ref="E81:K81" si="10">SUM(E78:E80)</f>
        <v>238768</v>
      </c>
      <c r="F81" s="1699">
        <f t="shared" si="10"/>
        <v>1086285</v>
      </c>
      <c r="G81" s="1699">
        <f t="shared" si="10"/>
        <v>230221</v>
      </c>
      <c r="H81" s="1699">
        <f t="shared" si="10"/>
        <v>41204</v>
      </c>
      <c r="I81" s="1699">
        <f t="shared" si="10"/>
        <v>1644656</v>
      </c>
      <c r="J81" s="1699">
        <f t="shared" si="10"/>
        <v>0</v>
      </c>
      <c r="K81" s="1699">
        <f t="shared" si="10"/>
        <v>0</v>
      </c>
      <c r="L81" s="347"/>
    </row>
    <row r="82" spans="1:12" ht="0.75" customHeight="1" thickTop="1" thickBot="1" x14ac:dyDescent="0.25">
      <c r="A82" s="532" t="s">
        <v>361</v>
      </c>
      <c r="B82" s="533"/>
      <c r="C82" s="534">
        <f>(C81-C79)</f>
        <v>679596</v>
      </c>
      <c r="D82" s="534">
        <f t="shared" ref="D82:K82" si="11">(D81-D79)</f>
        <v>-52769</v>
      </c>
      <c r="E82" s="534">
        <f t="shared" si="11"/>
        <v>-15274</v>
      </c>
      <c r="F82" s="534">
        <f t="shared" si="11"/>
        <v>20055</v>
      </c>
      <c r="G82" s="534">
        <f t="shared" si="11"/>
        <v>13899</v>
      </c>
      <c r="H82" s="534">
        <f t="shared" si="11"/>
        <v>41204</v>
      </c>
      <c r="I82" s="534">
        <f t="shared" si="11"/>
        <v>60171</v>
      </c>
      <c r="J82" s="534">
        <f t="shared" si="11"/>
        <v>0</v>
      </c>
      <c r="K82" s="534">
        <f t="shared" si="11"/>
        <v>0</v>
      </c>
    </row>
    <row r="83" spans="1:12" ht="14.25" hidden="1" thickTop="1" thickBot="1" x14ac:dyDescent="0.25">
      <c r="A83" s="535" t="s">
        <v>362</v>
      </c>
      <c r="B83" s="464"/>
      <c r="C83" s="536">
        <f>C82/C81</f>
        <v>9.8853921960798577E-2</v>
      </c>
      <c r="D83" s="536">
        <f t="shared" ref="D83:K83" si="12">D82/D81</f>
        <v>-2.4924744926275298E-2</v>
      </c>
      <c r="E83" s="536">
        <f t="shared" si="12"/>
        <v>-6.3970046237351738E-2</v>
      </c>
      <c r="F83" s="536">
        <f t="shared" si="12"/>
        <v>1.8462005827200045E-2</v>
      </c>
      <c r="G83" s="536">
        <f t="shared" si="12"/>
        <v>6.0372424757081239E-2</v>
      </c>
      <c r="H83" s="536">
        <f t="shared" si="12"/>
        <v>1</v>
      </c>
      <c r="I83" s="536">
        <f t="shared" si="12"/>
        <v>3.658576626358339E-2</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1"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F31" sqref="F31"/>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323" t="s">
        <v>1902</v>
      </c>
      <c r="B1" s="452"/>
      <c r="C1" s="453" t="s">
        <v>445</v>
      </c>
      <c r="D1" s="453" t="s">
        <v>446</v>
      </c>
      <c r="E1" s="453" t="s">
        <v>447</v>
      </c>
      <c r="F1" s="453" t="s">
        <v>448</v>
      </c>
      <c r="G1" s="453" t="s">
        <v>449</v>
      </c>
      <c r="H1" s="453" t="s">
        <v>450</v>
      </c>
      <c r="I1" s="453" t="s">
        <v>451</v>
      </c>
      <c r="J1" s="453" t="s">
        <v>452</v>
      </c>
      <c r="K1" s="453" t="s">
        <v>780</v>
      </c>
    </row>
    <row r="2" spans="1:12" ht="36" x14ac:dyDescent="0.2">
      <c r="A2" s="2324"/>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9110851</v>
      </c>
      <c r="D5" s="478">
        <v>2124600</v>
      </c>
      <c r="E5" s="478">
        <v>293864</v>
      </c>
      <c r="F5" s="478">
        <v>410941</v>
      </c>
      <c r="G5" s="478">
        <v>165834</v>
      </c>
      <c r="H5" s="478">
        <v>0</v>
      </c>
      <c r="I5" s="478">
        <v>39338</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0</v>
      </c>
      <c r="D7" s="478">
        <v>0</v>
      </c>
      <c r="E7" s="468"/>
      <c r="F7" s="478">
        <v>0</v>
      </c>
      <c r="G7" s="478">
        <v>0</v>
      </c>
      <c r="H7" s="478">
        <v>0</v>
      </c>
      <c r="I7" s="468"/>
      <c r="J7" s="468"/>
      <c r="K7" s="468"/>
    </row>
    <row r="8" spans="1:12" x14ac:dyDescent="0.2">
      <c r="A8" s="463" t="s">
        <v>433</v>
      </c>
      <c r="B8" s="470">
        <v>1150</v>
      </c>
      <c r="C8" s="473"/>
      <c r="D8" s="473"/>
      <c r="E8" s="474"/>
      <c r="F8" s="474"/>
      <c r="G8" s="478">
        <v>193562</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9110851</v>
      </c>
      <c r="D12" s="1718">
        <f t="shared" si="0"/>
        <v>2124600</v>
      </c>
      <c r="E12" s="1718">
        <f t="shared" si="0"/>
        <v>293864</v>
      </c>
      <c r="F12" s="1718">
        <f t="shared" si="0"/>
        <v>410941</v>
      </c>
      <c r="G12" s="1718">
        <f t="shared" si="0"/>
        <v>359396</v>
      </c>
      <c r="H12" s="1718">
        <f t="shared" si="0"/>
        <v>0</v>
      </c>
      <c r="I12" s="1718">
        <f t="shared" si="0"/>
        <v>39338</v>
      </c>
      <c r="J12" s="1718">
        <f t="shared" si="0"/>
        <v>0</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1305</v>
      </c>
      <c r="D14" s="478">
        <v>307</v>
      </c>
      <c r="E14" s="478">
        <v>43</v>
      </c>
      <c r="F14" s="478">
        <v>82</v>
      </c>
      <c r="G14" s="478">
        <v>48</v>
      </c>
      <c r="H14" s="478">
        <v>0</v>
      </c>
      <c r="I14" s="478">
        <v>9</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168707</v>
      </c>
      <c r="D16" s="478">
        <v>0</v>
      </c>
      <c r="E16" s="478">
        <v>0</v>
      </c>
      <c r="F16" s="478">
        <v>0</v>
      </c>
      <c r="G16" s="478">
        <v>157035</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170012</v>
      </c>
      <c r="D18" s="1721">
        <f t="shared" ref="D18:K18" si="1">SUM(D14:D17)</f>
        <v>307</v>
      </c>
      <c r="E18" s="1721">
        <f t="shared" si="1"/>
        <v>43</v>
      </c>
      <c r="F18" s="1721">
        <f t="shared" si="1"/>
        <v>82</v>
      </c>
      <c r="G18" s="1721">
        <f t="shared" si="1"/>
        <v>157083</v>
      </c>
      <c r="H18" s="1721">
        <f t="shared" si="1"/>
        <v>0</v>
      </c>
      <c r="I18" s="1721">
        <f t="shared" si="1"/>
        <v>9</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0</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0</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5854</v>
      </c>
      <c r="G42" s="468"/>
      <c r="H42" s="468"/>
      <c r="I42" s="468"/>
      <c r="J42" s="468"/>
      <c r="K42" s="468"/>
    </row>
    <row r="43" spans="1:11" ht="12.75" customHeight="1" x14ac:dyDescent="0.2">
      <c r="A43" s="463" t="s">
        <v>892</v>
      </c>
      <c r="B43" s="470">
        <v>1412</v>
      </c>
      <c r="C43" s="468"/>
      <c r="D43" s="468"/>
      <c r="E43" s="468"/>
      <c r="F43" s="478">
        <v>775</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25</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6654</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75291</v>
      </c>
      <c r="D65" s="478">
        <v>19819</v>
      </c>
      <c r="E65" s="478">
        <v>1880</v>
      </c>
      <c r="F65" s="478">
        <v>13824</v>
      </c>
      <c r="G65" s="478">
        <v>1793</v>
      </c>
      <c r="H65" s="478">
        <v>939</v>
      </c>
      <c r="I65" s="478">
        <v>20824</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75291</v>
      </c>
      <c r="D67" s="1699">
        <f t="shared" ref="D67:K67" si="2">SUM(D65:D66)</f>
        <v>19819</v>
      </c>
      <c r="E67" s="1699">
        <f t="shared" si="2"/>
        <v>1880</v>
      </c>
      <c r="F67" s="1699">
        <f t="shared" si="2"/>
        <v>13824</v>
      </c>
      <c r="G67" s="1699">
        <f t="shared" si="2"/>
        <v>1793</v>
      </c>
      <c r="H67" s="1699">
        <f t="shared" si="2"/>
        <v>939</v>
      </c>
      <c r="I67" s="1699">
        <f t="shared" si="2"/>
        <v>20824</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62947</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0</v>
      </c>
      <c r="D71" s="468"/>
      <c r="E71" s="468"/>
      <c r="F71" s="468"/>
      <c r="G71" s="468"/>
      <c r="H71" s="468"/>
      <c r="I71" s="468"/>
      <c r="J71" s="468"/>
      <c r="K71" s="468"/>
    </row>
    <row r="72" spans="1:11" ht="12.75" customHeight="1" x14ac:dyDescent="0.2">
      <c r="A72" s="463" t="s">
        <v>24</v>
      </c>
      <c r="B72" s="470">
        <v>1614</v>
      </c>
      <c r="C72" s="478">
        <v>1266</v>
      </c>
      <c r="D72" s="468"/>
      <c r="E72" s="468"/>
      <c r="F72" s="468"/>
      <c r="G72" s="468"/>
      <c r="H72" s="468"/>
      <c r="I72" s="468"/>
      <c r="J72" s="468"/>
      <c r="K72" s="468"/>
    </row>
    <row r="73" spans="1:11" ht="12.75" customHeight="1" x14ac:dyDescent="0.2">
      <c r="A73" s="463" t="s">
        <v>1055</v>
      </c>
      <c r="B73" s="470">
        <v>1620</v>
      </c>
      <c r="C73" s="478">
        <v>0</v>
      </c>
      <c r="D73" s="468"/>
      <c r="E73" s="468"/>
      <c r="F73" s="468"/>
      <c r="G73" s="468"/>
      <c r="H73" s="468"/>
      <c r="I73" s="468"/>
      <c r="J73" s="468"/>
      <c r="K73" s="468"/>
    </row>
    <row r="74" spans="1:11" ht="12.75" customHeight="1" x14ac:dyDescent="0.2">
      <c r="A74" s="463" t="s">
        <v>25</v>
      </c>
      <c r="B74" s="470">
        <v>1690</v>
      </c>
      <c r="C74" s="478">
        <v>1591</v>
      </c>
      <c r="D74" s="468"/>
      <c r="E74" s="468"/>
      <c r="F74" s="468"/>
      <c r="G74" s="468"/>
      <c r="H74" s="468"/>
      <c r="I74" s="468"/>
      <c r="J74" s="468"/>
      <c r="K74" s="468"/>
    </row>
    <row r="75" spans="1:11" ht="12.75" customHeight="1" thickBot="1" x14ac:dyDescent="0.25">
      <c r="A75" s="1719" t="s">
        <v>569</v>
      </c>
      <c r="B75" s="1720"/>
      <c r="C75" s="1699">
        <f>SUM(C69:C74)</f>
        <v>65804</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53538</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5386</v>
      </c>
      <c r="D81" s="478">
        <v>0</v>
      </c>
      <c r="E81" s="468"/>
      <c r="F81" s="468"/>
      <c r="G81" s="468"/>
      <c r="H81" s="468"/>
      <c r="I81" s="468"/>
      <c r="J81" s="468"/>
      <c r="K81" s="468"/>
    </row>
    <row r="82" spans="1:11" ht="12.75" customHeight="1" thickBot="1" x14ac:dyDescent="0.25">
      <c r="A82" s="1719" t="s">
        <v>259</v>
      </c>
      <c r="B82" s="1720"/>
      <c r="C82" s="1718">
        <f>SUM(C77:C81)</f>
        <v>58924</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0</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0</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9587</v>
      </c>
      <c r="E95" s="517"/>
      <c r="F95" s="517"/>
      <c r="G95" s="517"/>
      <c r="H95" s="517"/>
      <c r="I95" s="517"/>
      <c r="J95" s="517"/>
      <c r="K95" s="517"/>
    </row>
    <row r="96" spans="1:11" ht="12.75" customHeight="1" x14ac:dyDescent="0.2">
      <c r="A96" s="463" t="s">
        <v>409</v>
      </c>
      <c r="B96" s="470">
        <v>1920</v>
      </c>
      <c r="C96" s="478">
        <v>607</v>
      </c>
      <c r="D96" s="478">
        <v>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236135</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110117</v>
      </c>
      <c r="D107" s="478">
        <v>33871</v>
      </c>
      <c r="E107" s="478">
        <v>0</v>
      </c>
      <c r="F107" s="478">
        <v>0</v>
      </c>
      <c r="G107" s="478">
        <v>0</v>
      </c>
      <c r="H107" s="478">
        <v>0</v>
      </c>
      <c r="I107" s="478">
        <v>0</v>
      </c>
      <c r="J107" s="478">
        <v>0</v>
      </c>
      <c r="K107" s="478">
        <v>0</v>
      </c>
    </row>
    <row r="108" spans="1:12" ht="12.75" customHeight="1" thickBot="1" x14ac:dyDescent="0.25">
      <c r="A108" s="1719" t="s">
        <v>508</v>
      </c>
      <c r="B108" s="1723"/>
      <c r="C108" s="1718">
        <f>SUM(C95:C107)</f>
        <v>346859</v>
      </c>
      <c r="D108" s="1718">
        <f t="shared" ref="D108:K108" si="3">SUM(D95:D107)</f>
        <v>43458</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9827741</v>
      </c>
      <c r="D109" s="1726">
        <f t="shared" si="4"/>
        <v>2188184</v>
      </c>
      <c r="E109" s="1726">
        <f t="shared" si="4"/>
        <v>295787</v>
      </c>
      <c r="F109" s="1726">
        <f t="shared" si="4"/>
        <v>431501</v>
      </c>
      <c r="G109" s="1726">
        <f t="shared" si="4"/>
        <v>518272</v>
      </c>
      <c r="H109" s="1726">
        <f t="shared" si="4"/>
        <v>939</v>
      </c>
      <c r="I109" s="1726">
        <f t="shared" si="4"/>
        <v>60171</v>
      </c>
      <c r="J109" s="1726">
        <f t="shared" si="4"/>
        <v>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1690799</v>
      </c>
      <c r="D117" s="478">
        <v>0</v>
      </c>
      <c r="E117" s="478">
        <v>0</v>
      </c>
      <c r="F117" s="478">
        <v>0</v>
      </c>
      <c r="G117" s="478">
        <v>0</v>
      </c>
      <c r="H117" s="478">
        <v>0</v>
      </c>
      <c r="I117" s="468"/>
      <c r="J117" s="478">
        <v>0</v>
      </c>
      <c r="K117" s="478">
        <v>0</v>
      </c>
    </row>
    <row r="118" spans="1:11" ht="12.75" customHeight="1" x14ac:dyDescent="0.2">
      <c r="A118" s="463" t="s">
        <v>1899</v>
      </c>
      <c r="B118" s="556">
        <v>3002</v>
      </c>
      <c r="C118" s="478">
        <v>0</v>
      </c>
      <c r="D118" s="478">
        <v>0</v>
      </c>
      <c r="E118" s="478">
        <v>0</v>
      </c>
      <c r="F118" s="478">
        <v>0</v>
      </c>
      <c r="G118" s="478">
        <v>0</v>
      </c>
      <c r="H118" s="478">
        <v>0</v>
      </c>
      <c r="I118" s="468"/>
      <c r="J118" s="478">
        <v>0</v>
      </c>
      <c r="K118" s="478">
        <v>0</v>
      </c>
    </row>
    <row r="119" spans="1:11" ht="12.75" customHeight="1" x14ac:dyDescent="0.2">
      <c r="A119" s="463" t="s">
        <v>1900</v>
      </c>
      <c r="B119" s="556">
        <v>3005</v>
      </c>
      <c r="C119" s="478">
        <v>0</v>
      </c>
      <c r="D119" s="478">
        <v>0</v>
      </c>
      <c r="E119" s="478">
        <v>0</v>
      </c>
      <c r="F119" s="478">
        <v>0</v>
      </c>
      <c r="G119" s="478">
        <v>0</v>
      </c>
      <c r="H119" s="478">
        <v>0</v>
      </c>
      <c r="I119" s="468"/>
      <c r="J119" s="478">
        <v>0</v>
      </c>
      <c r="K119" s="478">
        <v>0</v>
      </c>
    </row>
    <row r="120" spans="1:11" x14ac:dyDescent="0.2">
      <c r="A120" s="1507" t="s">
        <v>1901</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1690799</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92588</v>
      </c>
      <c r="D124" s="555"/>
      <c r="E124" s="468"/>
      <c r="F124" s="478">
        <v>0</v>
      </c>
      <c r="G124" s="468"/>
      <c r="H124" s="468"/>
      <c r="I124" s="468"/>
      <c r="J124" s="468"/>
      <c r="K124" s="468"/>
    </row>
    <row r="125" spans="1:11" ht="12.75" customHeight="1" x14ac:dyDescent="0.2">
      <c r="A125" s="463" t="s">
        <v>1521</v>
      </c>
      <c r="B125" s="556">
        <v>3105</v>
      </c>
      <c r="C125" s="478">
        <v>71072</v>
      </c>
      <c r="D125" s="555"/>
      <c r="E125" s="468"/>
      <c r="F125" s="478">
        <v>0</v>
      </c>
      <c r="G125" s="468"/>
      <c r="H125" s="468"/>
      <c r="I125" s="468"/>
      <c r="J125" s="468"/>
      <c r="K125" s="468"/>
    </row>
    <row r="126" spans="1:11" ht="12.75" customHeight="1" x14ac:dyDescent="0.2">
      <c r="A126" s="463" t="s">
        <v>922</v>
      </c>
      <c r="B126" s="556">
        <v>3110</v>
      </c>
      <c r="C126" s="478">
        <v>109121</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1278</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274059</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0</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114067</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114067</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4381</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200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33131</v>
      </c>
      <c r="G151" s="546">
        <v>0</v>
      </c>
      <c r="H151" s="468"/>
      <c r="I151" s="468"/>
      <c r="J151" s="468"/>
      <c r="K151" s="468"/>
    </row>
    <row r="152" spans="1:11" ht="12.75" customHeight="1" x14ac:dyDescent="0.2">
      <c r="A152" s="463" t="s">
        <v>1117</v>
      </c>
      <c r="B152" s="556">
        <v>3510</v>
      </c>
      <c r="C152" s="546">
        <v>0</v>
      </c>
      <c r="D152" s="546">
        <v>0</v>
      </c>
      <c r="E152" s="555"/>
      <c r="F152" s="546">
        <v>90779</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123910</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875305</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16000</v>
      </c>
      <c r="D171" s="573">
        <v>0</v>
      </c>
      <c r="E171" s="574">
        <v>0</v>
      </c>
      <c r="F171" s="574">
        <v>0</v>
      </c>
      <c r="G171" s="574">
        <v>0</v>
      </c>
      <c r="H171" s="573">
        <v>0</v>
      </c>
      <c r="I171" s="574">
        <v>0</v>
      </c>
      <c r="J171" s="574">
        <v>0</v>
      </c>
      <c r="K171" s="574">
        <v>0</v>
      </c>
    </row>
    <row r="172" spans="1:11" ht="12.75" customHeight="1" thickTop="1" thickBot="1" x14ac:dyDescent="0.25">
      <c r="A172" s="2343" t="s">
        <v>418</v>
      </c>
      <c r="B172" s="2344"/>
      <c r="C172" s="1733">
        <f t="shared" ref="C172:K172" si="6">SUM(C131,C140,C144,C145:C149,C154,C155:C170,C171)</f>
        <v>1284012</v>
      </c>
      <c r="D172" s="1733">
        <f t="shared" si="6"/>
        <v>0</v>
      </c>
      <c r="E172" s="1733">
        <f t="shared" si="6"/>
        <v>0</v>
      </c>
      <c r="F172" s="1733">
        <f t="shared" si="6"/>
        <v>123910</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2974811</v>
      </c>
      <c r="D173" s="1726">
        <f>SUM(D121,D172)</f>
        <v>0</v>
      </c>
      <c r="E173" s="1726">
        <f>SUM(E121,E172)</f>
        <v>0</v>
      </c>
      <c r="F173" s="1726">
        <f t="shared" ref="F173:K173" si="7">SUM(F121,F172)</f>
        <v>123910</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345" t="s">
        <v>1572</v>
      </c>
      <c r="B175" s="2346"/>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349" t="s">
        <v>1764</v>
      </c>
      <c r="B178" s="2350"/>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353" t="s">
        <v>1763</v>
      </c>
      <c r="B179" s="2354"/>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351" t="s">
        <v>818</v>
      </c>
      <c r="B184" s="2352"/>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347" t="s">
        <v>1903</v>
      </c>
      <c r="B185" s="2348"/>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217799</v>
      </c>
      <c r="D194" s="468"/>
      <c r="E194" s="555"/>
      <c r="F194" s="468"/>
      <c r="G194" s="478">
        <v>0</v>
      </c>
      <c r="H194" s="468"/>
      <c r="I194" s="468"/>
      <c r="J194" s="468"/>
      <c r="K194" s="468"/>
    </row>
    <row r="195" spans="1:11" ht="12.75" customHeight="1" x14ac:dyDescent="0.2">
      <c r="A195" s="463" t="s">
        <v>1107</v>
      </c>
      <c r="B195" s="470">
        <v>4215</v>
      </c>
      <c r="C195" s="478">
        <v>6446</v>
      </c>
      <c r="D195" s="468"/>
      <c r="E195" s="555"/>
      <c r="F195" s="468"/>
      <c r="G195" s="478">
        <v>0</v>
      </c>
      <c r="H195" s="468"/>
      <c r="I195" s="468"/>
      <c r="J195" s="468"/>
      <c r="K195" s="468"/>
    </row>
    <row r="196" spans="1:11" ht="12.75" customHeight="1" x14ac:dyDescent="0.2">
      <c r="A196" s="463" t="s">
        <v>1119</v>
      </c>
      <c r="B196" s="470">
        <v>4220</v>
      </c>
      <c r="C196" s="478">
        <v>108601</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332846</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239315</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239315</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13590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291022</v>
      </c>
      <c r="D220" s="478">
        <v>0</v>
      </c>
      <c r="E220" s="468"/>
      <c r="F220" s="478">
        <v>0</v>
      </c>
      <c r="G220" s="478">
        <v>0</v>
      </c>
      <c r="H220" s="468"/>
      <c r="I220" s="468"/>
      <c r="J220" s="468"/>
      <c r="K220" s="468"/>
    </row>
    <row r="221" spans="1:11" ht="12.75" customHeight="1" x14ac:dyDescent="0.2">
      <c r="A221" s="463" t="s">
        <v>1114</v>
      </c>
      <c r="B221" s="470">
        <v>4625</v>
      </c>
      <c r="C221" s="478">
        <v>8314</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312926</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3560</v>
      </c>
      <c r="D263" s="468"/>
      <c r="E263" s="468"/>
      <c r="F263" s="572">
        <v>0</v>
      </c>
      <c r="G263" s="582">
        <v>0</v>
      </c>
      <c r="H263" s="468"/>
      <c r="I263" s="468"/>
      <c r="J263" s="468"/>
      <c r="K263" s="468"/>
    </row>
    <row r="264" spans="1:11" ht="12.75" customHeight="1" thickTop="1" thickBot="1" x14ac:dyDescent="0.25">
      <c r="A264" s="463" t="s">
        <v>1532</v>
      </c>
      <c r="B264" s="470">
        <v>4909</v>
      </c>
      <c r="C264" s="582">
        <v>71274</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39435</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21509</v>
      </c>
      <c r="D270" s="582">
        <v>0</v>
      </c>
      <c r="E270" s="468"/>
      <c r="F270" s="582">
        <v>0</v>
      </c>
      <c r="G270" s="582">
        <v>0</v>
      </c>
      <c r="H270" s="468"/>
      <c r="I270" s="468"/>
      <c r="J270" s="468"/>
      <c r="K270" s="468"/>
    </row>
    <row r="271" spans="1:11" ht="12.75" customHeight="1" thickTop="1" thickBot="1" x14ac:dyDescent="0.25">
      <c r="A271" s="463" t="s">
        <v>395</v>
      </c>
      <c r="B271" s="470">
        <v>4992</v>
      </c>
      <c r="C271" s="582">
        <v>33407</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1054272</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1054272</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13856824</v>
      </c>
      <c r="D275" s="1726">
        <f t="shared" si="12"/>
        <v>2188184</v>
      </c>
      <c r="E275" s="1726">
        <f t="shared" si="12"/>
        <v>295787</v>
      </c>
      <c r="F275" s="1726">
        <f t="shared" si="12"/>
        <v>555411</v>
      </c>
      <c r="G275" s="1726">
        <f t="shared" si="12"/>
        <v>518272</v>
      </c>
      <c r="H275" s="1726">
        <f t="shared" si="12"/>
        <v>939</v>
      </c>
      <c r="I275" s="1726">
        <f t="shared" si="12"/>
        <v>60171</v>
      </c>
      <c r="J275" s="1726">
        <f t="shared" si="12"/>
        <v>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F31" sqref="F31"/>
      <selection pane="bottomLeft" activeCell="F31" sqref="F31"/>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323" t="s">
        <v>1902</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355"/>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361" t="s">
        <v>315</v>
      </c>
      <c r="B3" s="2362"/>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3846164</v>
      </c>
      <c r="D5" s="466">
        <v>1004209</v>
      </c>
      <c r="E5" s="466">
        <v>98775</v>
      </c>
      <c r="F5" s="466">
        <v>168995</v>
      </c>
      <c r="G5" s="466">
        <v>0</v>
      </c>
      <c r="H5" s="466">
        <v>45</v>
      </c>
      <c r="I5" s="466">
        <v>1400</v>
      </c>
      <c r="J5" s="466">
        <v>519</v>
      </c>
      <c r="K5" s="1682">
        <f>SUM(C5:J5)</f>
        <v>5120107</v>
      </c>
      <c r="L5" s="466">
        <v>5170006</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343147</v>
      </c>
      <c r="D7" s="466">
        <v>108012</v>
      </c>
      <c r="E7" s="466">
        <v>6384</v>
      </c>
      <c r="F7" s="466">
        <v>65</v>
      </c>
      <c r="G7" s="466">
        <v>0</v>
      </c>
      <c r="H7" s="466">
        <v>0</v>
      </c>
      <c r="I7" s="466">
        <v>5195</v>
      </c>
      <c r="J7" s="466">
        <v>0</v>
      </c>
      <c r="K7" s="1682">
        <f t="shared" ref="K7:K32" si="0">SUM(C7:J7)</f>
        <v>462803</v>
      </c>
      <c r="L7" s="466">
        <v>528375</v>
      </c>
    </row>
    <row r="8" spans="1:14" x14ac:dyDescent="0.2">
      <c r="A8" s="1515" t="s">
        <v>166</v>
      </c>
      <c r="B8" s="606">
        <v>1200</v>
      </c>
      <c r="C8" s="466">
        <v>572982</v>
      </c>
      <c r="D8" s="466">
        <v>185606</v>
      </c>
      <c r="E8" s="466">
        <v>861</v>
      </c>
      <c r="F8" s="466">
        <v>9223</v>
      </c>
      <c r="G8" s="466">
        <v>0</v>
      </c>
      <c r="H8" s="466">
        <v>0</v>
      </c>
      <c r="I8" s="466">
        <v>3998</v>
      </c>
      <c r="J8" s="466">
        <v>11825</v>
      </c>
      <c r="K8" s="1682">
        <f t="shared" si="0"/>
        <v>784495</v>
      </c>
      <c r="L8" s="466">
        <v>791004</v>
      </c>
    </row>
    <row r="9" spans="1:14" x14ac:dyDescent="0.2">
      <c r="A9" s="1515" t="s">
        <v>745</v>
      </c>
      <c r="B9" s="606" t="s">
        <v>1025</v>
      </c>
      <c r="C9" s="466">
        <v>145626</v>
      </c>
      <c r="D9" s="466">
        <v>48693</v>
      </c>
      <c r="E9" s="466">
        <v>3</v>
      </c>
      <c r="F9" s="466">
        <v>365</v>
      </c>
      <c r="G9" s="466">
        <v>0</v>
      </c>
      <c r="H9" s="466">
        <v>0</v>
      </c>
      <c r="I9" s="466">
        <v>2365</v>
      </c>
      <c r="J9" s="466">
        <v>0</v>
      </c>
      <c r="K9" s="1682">
        <f t="shared" si="0"/>
        <v>197052</v>
      </c>
      <c r="L9" s="466">
        <v>209058</v>
      </c>
    </row>
    <row r="10" spans="1:14" x14ac:dyDescent="0.2">
      <c r="A10" s="1515" t="s">
        <v>746</v>
      </c>
      <c r="B10" s="606">
        <v>1250</v>
      </c>
      <c r="C10" s="466">
        <v>13862</v>
      </c>
      <c r="D10" s="466">
        <v>1558</v>
      </c>
      <c r="E10" s="466">
        <v>284</v>
      </c>
      <c r="F10" s="466">
        <v>619</v>
      </c>
      <c r="G10" s="466">
        <v>0</v>
      </c>
      <c r="H10" s="466">
        <v>0</v>
      </c>
      <c r="I10" s="466">
        <v>0</v>
      </c>
      <c r="J10" s="466">
        <v>0</v>
      </c>
      <c r="K10" s="1682">
        <f t="shared" si="0"/>
        <v>16323</v>
      </c>
      <c r="L10" s="466">
        <v>25764</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0</v>
      </c>
      <c r="D13" s="466">
        <v>0</v>
      </c>
      <c r="E13" s="466">
        <v>0</v>
      </c>
      <c r="F13" s="466">
        <v>0</v>
      </c>
      <c r="G13" s="466">
        <v>0</v>
      </c>
      <c r="H13" s="466">
        <v>0</v>
      </c>
      <c r="I13" s="466">
        <v>0</v>
      </c>
      <c r="J13" s="466">
        <v>0</v>
      </c>
      <c r="K13" s="1682">
        <f t="shared" si="0"/>
        <v>0</v>
      </c>
      <c r="L13" s="466">
        <v>0</v>
      </c>
    </row>
    <row r="14" spans="1:14" x14ac:dyDescent="0.2">
      <c r="A14" s="1515" t="s">
        <v>1020</v>
      </c>
      <c r="B14" s="606">
        <v>1500</v>
      </c>
      <c r="C14" s="466">
        <v>81229</v>
      </c>
      <c r="D14" s="466">
        <v>9139</v>
      </c>
      <c r="E14" s="466">
        <v>10035</v>
      </c>
      <c r="F14" s="466">
        <v>15544</v>
      </c>
      <c r="G14" s="466">
        <v>0</v>
      </c>
      <c r="H14" s="466">
        <v>820</v>
      </c>
      <c r="I14" s="466">
        <v>4013</v>
      </c>
      <c r="J14" s="466">
        <v>0</v>
      </c>
      <c r="K14" s="1682">
        <f t="shared" si="0"/>
        <v>120780</v>
      </c>
      <c r="L14" s="466">
        <v>112350</v>
      </c>
    </row>
    <row r="15" spans="1:14" x14ac:dyDescent="0.2">
      <c r="A15" s="1515" t="s">
        <v>1021</v>
      </c>
      <c r="B15" s="606">
        <v>1600</v>
      </c>
      <c r="C15" s="466">
        <v>51712</v>
      </c>
      <c r="D15" s="466">
        <v>1320</v>
      </c>
      <c r="E15" s="466">
        <v>0</v>
      </c>
      <c r="F15" s="466">
        <v>0</v>
      </c>
      <c r="G15" s="466">
        <v>0</v>
      </c>
      <c r="H15" s="466">
        <v>0</v>
      </c>
      <c r="I15" s="466">
        <v>0</v>
      </c>
      <c r="J15" s="466">
        <v>0</v>
      </c>
      <c r="K15" s="1682">
        <f t="shared" si="0"/>
        <v>53032</v>
      </c>
      <c r="L15" s="466">
        <v>55430</v>
      </c>
    </row>
    <row r="16" spans="1:14" x14ac:dyDescent="0.2">
      <c r="A16" s="1515" t="s">
        <v>1044</v>
      </c>
      <c r="B16" s="606" t="s">
        <v>444</v>
      </c>
      <c r="C16" s="466">
        <v>0</v>
      </c>
      <c r="D16" s="466">
        <v>0</v>
      </c>
      <c r="E16" s="466">
        <v>0</v>
      </c>
      <c r="F16" s="466">
        <v>0</v>
      </c>
      <c r="G16" s="466">
        <v>0</v>
      </c>
      <c r="H16" s="466">
        <v>0</v>
      </c>
      <c r="I16" s="466">
        <v>0</v>
      </c>
      <c r="J16" s="466">
        <v>0</v>
      </c>
      <c r="K16" s="1682">
        <f t="shared" si="0"/>
        <v>0</v>
      </c>
      <c r="L16" s="466">
        <v>0</v>
      </c>
    </row>
    <row r="17" spans="1:12" x14ac:dyDescent="0.2">
      <c r="A17" s="1515" t="s">
        <v>748</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1148</v>
      </c>
      <c r="B18" s="606">
        <v>1800</v>
      </c>
      <c r="C18" s="466">
        <v>766811</v>
      </c>
      <c r="D18" s="466">
        <v>210745</v>
      </c>
      <c r="E18" s="466">
        <v>297</v>
      </c>
      <c r="F18" s="466">
        <v>0</v>
      </c>
      <c r="G18" s="466">
        <v>0</v>
      </c>
      <c r="H18" s="466">
        <v>0</v>
      </c>
      <c r="I18" s="466">
        <v>0</v>
      </c>
      <c r="J18" s="466">
        <v>0</v>
      </c>
      <c r="K18" s="1682">
        <f t="shared" si="0"/>
        <v>977853</v>
      </c>
      <c r="L18" s="466">
        <v>961198</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194061</v>
      </c>
      <c r="I22" s="608"/>
      <c r="J22" s="474"/>
      <c r="K22" s="1682">
        <f t="shared" si="0"/>
        <v>194061</v>
      </c>
      <c r="L22" s="466">
        <v>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5821533</v>
      </c>
      <c r="D33" s="1681">
        <f t="shared" ref="D33:L33" si="1">SUM(D5:D32)</f>
        <v>1569282</v>
      </c>
      <c r="E33" s="1681">
        <f t="shared" si="1"/>
        <v>116639</v>
      </c>
      <c r="F33" s="1681">
        <f t="shared" si="1"/>
        <v>194811</v>
      </c>
      <c r="G33" s="1681">
        <f t="shared" si="1"/>
        <v>0</v>
      </c>
      <c r="H33" s="1681">
        <f t="shared" si="1"/>
        <v>194926</v>
      </c>
      <c r="I33" s="1681">
        <f t="shared" si="1"/>
        <v>16971</v>
      </c>
      <c r="J33" s="1681">
        <f t="shared" si="1"/>
        <v>12344</v>
      </c>
      <c r="K33" s="1681">
        <f t="shared" si="1"/>
        <v>7926506</v>
      </c>
      <c r="L33" s="1681">
        <f t="shared" si="1"/>
        <v>7853185</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193727</v>
      </c>
      <c r="D36" s="466">
        <v>50493</v>
      </c>
      <c r="E36" s="466">
        <v>0</v>
      </c>
      <c r="F36" s="466">
        <v>291</v>
      </c>
      <c r="G36" s="466">
        <v>0</v>
      </c>
      <c r="H36" s="466">
        <v>0</v>
      </c>
      <c r="I36" s="466">
        <v>0</v>
      </c>
      <c r="J36" s="466">
        <v>0</v>
      </c>
      <c r="K36" s="1682">
        <f t="shared" ref="K36:K41" si="2">SUM(C36:J36)</f>
        <v>244511</v>
      </c>
      <c r="L36" s="466">
        <v>229592</v>
      </c>
    </row>
    <row r="37" spans="1:14" x14ac:dyDescent="0.2">
      <c r="A37" s="1515" t="s">
        <v>1151</v>
      </c>
      <c r="B37" s="606">
        <v>2120</v>
      </c>
      <c r="C37" s="466">
        <v>0</v>
      </c>
      <c r="D37" s="466">
        <v>0</v>
      </c>
      <c r="E37" s="466">
        <v>1201</v>
      </c>
      <c r="F37" s="466">
        <v>0</v>
      </c>
      <c r="G37" s="466">
        <v>0</v>
      </c>
      <c r="H37" s="466">
        <v>0</v>
      </c>
      <c r="I37" s="466">
        <v>0</v>
      </c>
      <c r="J37" s="466">
        <v>0</v>
      </c>
      <c r="K37" s="1682">
        <f t="shared" si="2"/>
        <v>1201</v>
      </c>
      <c r="L37" s="466">
        <v>0</v>
      </c>
    </row>
    <row r="38" spans="1:14" x14ac:dyDescent="0.2">
      <c r="A38" s="1515" t="s">
        <v>207</v>
      </c>
      <c r="B38" s="606">
        <v>2130</v>
      </c>
      <c r="C38" s="466">
        <v>129521</v>
      </c>
      <c r="D38" s="466">
        <v>35048</v>
      </c>
      <c r="E38" s="466">
        <v>129</v>
      </c>
      <c r="F38" s="466">
        <v>1493</v>
      </c>
      <c r="G38" s="466">
        <v>0</v>
      </c>
      <c r="H38" s="466">
        <v>0</v>
      </c>
      <c r="I38" s="466">
        <v>6213</v>
      </c>
      <c r="J38" s="466">
        <v>0</v>
      </c>
      <c r="K38" s="1682">
        <f t="shared" si="2"/>
        <v>172404</v>
      </c>
      <c r="L38" s="466">
        <v>170961</v>
      </c>
    </row>
    <row r="39" spans="1:14" x14ac:dyDescent="0.2">
      <c r="A39" s="1515" t="s">
        <v>208</v>
      </c>
      <c r="B39" s="606">
        <v>2140</v>
      </c>
      <c r="C39" s="466">
        <v>0</v>
      </c>
      <c r="D39" s="466">
        <v>0</v>
      </c>
      <c r="E39" s="466">
        <v>1200</v>
      </c>
      <c r="F39" s="466">
        <v>0</v>
      </c>
      <c r="G39" s="466">
        <v>0</v>
      </c>
      <c r="H39" s="466">
        <v>0</v>
      </c>
      <c r="I39" s="466">
        <v>0</v>
      </c>
      <c r="J39" s="466">
        <v>0</v>
      </c>
      <c r="K39" s="1682">
        <f t="shared" si="2"/>
        <v>1200</v>
      </c>
      <c r="L39" s="466">
        <v>3600</v>
      </c>
    </row>
    <row r="40" spans="1:14" x14ac:dyDescent="0.2">
      <c r="A40" s="1515" t="s">
        <v>209</v>
      </c>
      <c r="B40" s="606">
        <v>2150</v>
      </c>
      <c r="C40" s="466">
        <v>148675</v>
      </c>
      <c r="D40" s="466">
        <v>46343</v>
      </c>
      <c r="E40" s="466">
        <v>12173</v>
      </c>
      <c r="F40" s="466">
        <v>0</v>
      </c>
      <c r="G40" s="466">
        <v>0</v>
      </c>
      <c r="H40" s="466">
        <v>0</v>
      </c>
      <c r="I40" s="466">
        <v>0</v>
      </c>
      <c r="J40" s="466">
        <v>0</v>
      </c>
      <c r="K40" s="1682">
        <f t="shared" si="2"/>
        <v>207191</v>
      </c>
      <c r="L40" s="466">
        <v>197008</v>
      </c>
    </row>
    <row r="41" spans="1:14" x14ac:dyDescent="0.2">
      <c r="A41" s="1515" t="s">
        <v>1768</v>
      </c>
      <c r="B41" s="606">
        <v>2190</v>
      </c>
      <c r="C41" s="466">
        <v>62598</v>
      </c>
      <c r="D41" s="466">
        <v>477</v>
      </c>
      <c r="E41" s="466">
        <v>2506</v>
      </c>
      <c r="F41" s="466">
        <v>0</v>
      </c>
      <c r="G41" s="466">
        <v>0</v>
      </c>
      <c r="H41" s="466">
        <v>0</v>
      </c>
      <c r="I41" s="466">
        <v>0</v>
      </c>
      <c r="J41" s="466">
        <v>0</v>
      </c>
      <c r="K41" s="1682">
        <f t="shared" si="2"/>
        <v>65581</v>
      </c>
      <c r="L41" s="466">
        <v>68528</v>
      </c>
    </row>
    <row r="42" spans="1:14" ht="12.75" customHeight="1" thickBot="1" x14ac:dyDescent="0.25">
      <c r="A42" s="1679" t="s">
        <v>581</v>
      </c>
      <c r="B42" s="1680" t="s">
        <v>740</v>
      </c>
      <c r="C42" s="1681">
        <f>SUM(C36:C41)</f>
        <v>534521</v>
      </c>
      <c r="D42" s="1681">
        <f t="shared" ref="D42:L42" si="3">SUM(D36:D41)</f>
        <v>132361</v>
      </c>
      <c r="E42" s="1681">
        <f t="shared" si="3"/>
        <v>17209</v>
      </c>
      <c r="F42" s="1681">
        <f t="shared" si="3"/>
        <v>1784</v>
      </c>
      <c r="G42" s="1681">
        <f t="shared" si="3"/>
        <v>0</v>
      </c>
      <c r="H42" s="1681">
        <f t="shared" si="3"/>
        <v>0</v>
      </c>
      <c r="I42" s="1681">
        <f t="shared" si="3"/>
        <v>6213</v>
      </c>
      <c r="J42" s="1681">
        <f t="shared" si="3"/>
        <v>0</v>
      </c>
      <c r="K42" s="1681">
        <f t="shared" si="3"/>
        <v>692088</v>
      </c>
      <c r="L42" s="1681">
        <f t="shared" si="3"/>
        <v>669689</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444797</v>
      </c>
      <c r="D44" s="466">
        <v>81636</v>
      </c>
      <c r="E44" s="466">
        <v>182627</v>
      </c>
      <c r="F44" s="466">
        <v>111128</v>
      </c>
      <c r="G44" s="466">
        <v>42731</v>
      </c>
      <c r="H44" s="466">
        <v>245</v>
      </c>
      <c r="I44" s="466">
        <v>18428</v>
      </c>
      <c r="J44" s="466">
        <v>0</v>
      </c>
      <c r="K44" s="1683">
        <f>SUM(C44:J44)</f>
        <v>881592</v>
      </c>
      <c r="L44" s="466">
        <v>1022162</v>
      </c>
    </row>
    <row r="45" spans="1:14" x14ac:dyDescent="0.2">
      <c r="A45" s="1515" t="s">
        <v>869</v>
      </c>
      <c r="B45" s="606">
        <v>2220</v>
      </c>
      <c r="C45" s="466">
        <v>298092</v>
      </c>
      <c r="D45" s="466">
        <v>76048</v>
      </c>
      <c r="E45" s="466">
        <v>0</v>
      </c>
      <c r="F45" s="466">
        <v>72432</v>
      </c>
      <c r="G45" s="466">
        <v>0</v>
      </c>
      <c r="H45" s="466">
        <v>0</v>
      </c>
      <c r="I45" s="466">
        <v>-220</v>
      </c>
      <c r="J45" s="466">
        <v>0</v>
      </c>
      <c r="K45" s="1683">
        <f>SUM(C45:J45)</f>
        <v>446352</v>
      </c>
      <c r="L45" s="466">
        <v>450041</v>
      </c>
    </row>
    <row r="46" spans="1:14" x14ac:dyDescent="0.2">
      <c r="A46" s="1515" t="s">
        <v>870</v>
      </c>
      <c r="B46" s="606">
        <v>2230</v>
      </c>
      <c r="C46" s="466">
        <v>0</v>
      </c>
      <c r="D46" s="466">
        <v>0</v>
      </c>
      <c r="E46" s="466">
        <v>11554</v>
      </c>
      <c r="F46" s="466">
        <v>0</v>
      </c>
      <c r="G46" s="466">
        <v>0</v>
      </c>
      <c r="H46" s="466">
        <v>0</v>
      </c>
      <c r="I46" s="466">
        <v>0</v>
      </c>
      <c r="J46" s="466">
        <v>0</v>
      </c>
      <c r="K46" s="1683">
        <f>SUM(C46:J46)</f>
        <v>11554</v>
      </c>
      <c r="L46" s="466">
        <v>12000</v>
      </c>
    </row>
    <row r="47" spans="1:14" ht="12.75" customHeight="1" thickBot="1" x14ac:dyDescent="0.25">
      <c r="A47" s="1679" t="s">
        <v>582</v>
      </c>
      <c r="B47" s="1680" t="s">
        <v>32</v>
      </c>
      <c r="C47" s="1681">
        <f>SUM(C44:C46)</f>
        <v>742889</v>
      </c>
      <c r="D47" s="1681">
        <f t="shared" ref="D47:K47" si="4">SUM(D44:D46)</f>
        <v>157684</v>
      </c>
      <c r="E47" s="1681">
        <f t="shared" si="4"/>
        <v>194181</v>
      </c>
      <c r="F47" s="1681">
        <f t="shared" si="4"/>
        <v>183560</v>
      </c>
      <c r="G47" s="1681">
        <f t="shared" si="4"/>
        <v>42731</v>
      </c>
      <c r="H47" s="1681">
        <f t="shared" si="4"/>
        <v>245</v>
      </c>
      <c r="I47" s="1681">
        <f t="shared" si="4"/>
        <v>18208</v>
      </c>
      <c r="J47" s="1681">
        <f t="shared" si="4"/>
        <v>0</v>
      </c>
      <c r="K47" s="1681">
        <f t="shared" si="4"/>
        <v>1339498</v>
      </c>
      <c r="L47" s="1681">
        <f>SUM(L44:L46)</f>
        <v>1484203</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2399</v>
      </c>
      <c r="E49" s="466">
        <v>96775</v>
      </c>
      <c r="F49" s="466">
        <v>11562</v>
      </c>
      <c r="G49" s="466">
        <v>0</v>
      </c>
      <c r="H49" s="466">
        <v>22722</v>
      </c>
      <c r="I49" s="466">
        <v>0</v>
      </c>
      <c r="J49" s="466">
        <v>0</v>
      </c>
      <c r="K49" s="1683">
        <f>SUM(C49:J49)</f>
        <v>133458</v>
      </c>
      <c r="L49" s="466">
        <v>208883</v>
      </c>
    </row>
    <row r="50" spans="1:14" x14ac:dyDescent="0.2">
      <c r="A50" s="1515" t="s">
        <v>872</v>
      </c>
      <c r="B50" s="606">
        <v>2320</v>
      </c>
      <c r="C50" s="466">
        <v>264496</v>
      </c>
      <c r="D50" s="466">
        <v>53303</v>
      </c>
      <c r="E50" s="466">
        <v>3897</v>
      </c>
      <c r="F50" s="466">
        <v>806</v>
      </c>
      <c r="G50" s="466">
        <v>0</v>
      </c>
      <c r="H50" s="466">
        <v>6305</v>
      </c>
      <c r="I50" s="466">
        <v>0</v>
      </c>
      <c r="J50" s="466">
        <v>0</v>
      </c>
      <c r="K50" s="1683">
        <f>SUM(C50:J50)</f>
        <v>328807</v>
      </c>
      <c r="L50" s="466">
        <v>328305</v>
      </c>
    </row>
    <row r="51" spans="1:14" x14ac:dyDescent="0.2">
      <c r="A51" s="1515" t="s">
        <v>44</v>
      </c>
      <c r="B51" s="606">
        <v>2330</v>
      </c>
      <c r="C51" s="466">
        <v>31558</v>
      </c>
      <c r="D51" s="466">
        <v>6717</v>
      </c>
      <c r="E51" s="466">
        <v>0</v>
      </c>
      <c r="F51" s="466">
        <v>74</v>
      </c>
      <c r="G51" s="466">
        <v>0</v>
      </c>
      <c r="H51" s="466">
        <v>0</v>
      </c>
      <c r="I51" s="466">
        <v>0</v>
      </c>
      <c r="J51" s="466">
        <v>0</v>
      </c>
      <c r="K51" s="1683">
        <f>SUM(C51:J51)</f>
        <v>38349</v>
      </c>
      <c r="L51" s="466">
        <v>8847</v>
      </c>
    </row>
    <row r="52" spans="1:14" ht="22.5" x14ac:dyDescent="0.2">
      <c r="A52" s="1516" t="s">
        <v>316</v>
      </c>
      <c r="B52" s="619" t="s">
        <v>384</v>
      </c>
      <c r="C52" s="466">
        <v>0</v>
      </c>
      <c r="D52" s="466">
        <v>920</v>
      </c>
      <c r="E52" s="466">
        <v>96384</v>
      </c>
      <c r="F52" s="466">
        <v>0</v>
      </c>
      <c r="G52" s="466">
        <v>0</v>
      </c>
      <c r="H52" s="466">
        <v>0</v>
      </c>
      <c r="I52" s="466">
        <v>0</v>
      </c>
      <c r="J52" s="466">
        <v>0</v>
      </c>
      <c r="K52" s="1683">
        <f>SUM(C52:J52)</f>
        <v>97304</v>
      </c>
      <c r="L52" s="466">
        <v>42700</v>
      </c>
    </row>
    <row r="53" spans="1:14" ht="12.75" customHeight="1" thickBot="1" x14ac:dyDescent="0.25">
      <c r="A53" s="1679" t="s">
        <v>741</v>
      </c>
      <c r="B53" s="1680" t="s">
        <v>33</v>
      </c>
      <c r="C53" s="1681">
        <f>SUM(C49:C52)</f>
        <v>296054</v>
      </c>
      <c r="D53" s="1681">
        <f t="shared" ref="D53:L53" si="5">SUM(D49:D52)</f>
        <v>63339</v>
      </c>
      <c r="E53" s="1681">
        <f t="shared" si="5"/>
        <v>197056</v>
      </c>
      <c r="F53" s="1681">
        <f t="shared" si="5"/>
        <v>12442</v>
      </c>
      <c r="G53" s="1681">
        <f t="shared" si="5"/>
        <v>0</v>
      </c>
      <c r="H53" s="1681">
        <f t="shared" si="5"/>
        <v>29027</v>
      </c>
      <c r="I53" s="1681">
        <f t="shared" si="5"/>
        <v>0</v>
      </c>
      <c r="J53" s="1681">
        <f t="shared" si="5"/>
        <v>0</v>
      </c>
      <c r="K53" s="1681">
        <f t="shared" si="5"/>
        <v>597918</v>
      </c>
      <c r="L53" s="1681">
        <f t="shared" si="5"/>
        <v>588735</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742447</v>
      </c>
      <c r="D55" s="466">
        <v>205014</v>
      </c>
      <c r="E55" s="466">
        <v>6790</v>
      </c>
      <c r="F55" s="466">
        <v>693</v>
      </c>
      <c r="G55" s="466">
        <v>0</v>
      </c>
      <c r="H55" s="466">
        <v>1772</v>
      </c>
      <c r="I55" s="466">
        <v>0</v>
      </c>
      <c r="J55" s="466">
        <v>0</v>
      </c>
      <c r="K55" s="1683">
        <f>SUM(C55:J55)</f>
        <v>956716</v>
      </c>
      <c r="L55" s="466">
        <v>954749</v>
      </c>
    </row>
    <row r="56" spans="1:14" ht="12.75" customHeight="1" x14ac:dyDescent="0.2">
      <c r="A56" s="1519" t="s">
        <v>394</v>
      </c>
      <c r="B56" s="620">
        <v>2490</v>
      </c>
      <c r="C56" s="466">
        <v>139688</v>
      </c>
      <c r="D56" s="466">
        <v>34495</v>
      </c>
      <c r="E56" s="466">
        <v>0</v>
      </c>
      <c r="F56" s="466">
        <v>0</v>
      </c>
      <c r="G56" s="466">
        <v>0</v>
      </c>
      <c r="H56" s="466">
        <v>0</v>
      </c>
      <c r="I56" s="466">
        <v>0</v>
      </c>
      <c r="J56" s="466">
        <v>0</v>
      </c>
      <c r="K56" s="1683">
        <f>SUM(C56:J56)</f>
        <v>174183</v>
      </c>
      <c r="L56" s="466">
        <v>178486</v>
      </c>
    </row>
    <row r="57" spans="1:14" s="343" customFormat="1" ht="12.75" customHeight="1" thickBot="1" x14ac:dyDescent="0.25">
      <c r="A57" s="1679" t="s">
        <v>281</v>
      </c>
      <c r="B57" s="1684" t="s">
        <v>34</v>
      </c>
      <c r="C57" s="1685">
        <f>SUM(C55:C56)</f>
        <v>882135</v>
      </c>
      <c r="D57" s="1685">
        <f t="shared" ref="D57:K57" si="6">SUM(D55:D56)</f>
        <v>239509</v>
      </c>
      <c r="E57" s="1685">
        <f t="shared" si="6"/>
        <v>6790</v>
      </c>
      <c r="F57" s="1685">
        <f t="shared" si="6"/>
        <v>693</v>
      </c>
      <c r="G57" s="1685">
        <f t="shared" si="6"/>
        <v>0</v>
      </c>
      <c r="H57" s="1685">
        <f t="shared" si="6"/>
        <v>1772</v>
      </c>
      <c r="I57" s="1685">
        <f t="shared" si="6"/>
        <v>0</v>
      </c>
      <c r="J57" s="1685">
        <f t="shared" si="6"/>
        <v>0</v>
      </c>
      <c r="K57" s="1685">
        <f t="shared" si="6"/>
        <v>1130899</v>
      </c>
      <c r="L57" s="1681">
        <f>SUM(L55:L56)</f>
        <v>1133235</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50363</v>
      </c>
      <c r="D59" s="466">
        <v>18306</v>
      </c>
      <c r="E59" s="466">
        <v>19886</v>
      </c>
      <c r="F59" s="466">
        <v>189</v>
      </c>
      <c r="G59" s="466">
        <v>0</v>
      </c>
      <c r="H59" s="466">
        <v>394</v>
      </c>
      <c r="I59" s="466">
        <v>0</v>
      </c>
      <c r="J59" s="466">
        <v>0</v>
      </c>
      <c r="K59" s="1683">
        <f t="shared" ref="K59:K64" si="7">SUM(C59:J59)</f>
        <v>89138</v>
      </c>
      <c r="L59" s="466">
        <v>69571</v>
      </c>
      <c r="M59" s="601"/>
      <c r="N59" s="601"/>
    </row>
    <row r="60" spans="1:14" s="343" customFormat="1" x14ac:dyDescent="0.2">
      <c r="A60" s="1515" t="s">
        <v>483</v>
      </c>
      <c r="B60" s="606">
        <v>2520</v>
      </c>
      <c r="C60" s="466">
        <v>102401</v>
      </c>
      <c r="D60" s="466">
        <v>17437</v>
      </c>
      <c r="E60" s="466">
        <v>3822</v>
      </c>
      <c r="F60" s="466">
        <v>2414</v>
      </c>
      <c r="G60" s="466">
        <v>0</v>
      </c>
      <c r="H60" s="466">
        <v>0</v>
      </c>
      <c r="I60" s="466">
        <v>0</v>
      </c>
      <c r="J60" s="466">
        <v>0</v>
      </c>
      <c r="K60" s="1683">
        <f t="shared" si="7"/>
        <v>126074</v>
      </c>
      <c r="L60" s="466">
        <v>155247</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3">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0</v>
      </c>
      <c r="D63" s="466">
        <v>0</v>
      </c>
      <c r="E63" s="466">
        <v>253563</v>
      </c>
      <c r="F63" s="466">
        <v>6091</v>
      </c>
      <c r="G63" s="466">
        <v>7691</v>
      </c>
      <c r="H63" s="466">
        <v>0</v>
      </c>
      <c r="I63" s="466">
        <v>11668</v>
      </c>
      <c r="J63" s="466">
        <v>0</v>
      </c>
      <c r="K63" s="1683">
        <f t="shared" si="7"/>
        <v>279013</v>
      </c>
      <c r="L63" s="466">
        <v>310485</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152764</v>
      </c>
      <c r="D65" s="1681">
        <f t="shared" ref="D65:L65" si="8">SUM(D59:D64)</f>
        <v>35743</v>
      </c>
      <c r="E65" s="1681">
        <f t="shared" si="8"/>
        <v>277271</v>
      </c>
      <c r="F65" s="1681">
        <f t="shared" si="8"/>
        <v>8694</v>
      </c>
      <c r="G65" s="1681">
        <f t="shared" si="8"/>
        <v>7691</v>
      </c>
      <c r="H65" s="1681">
        <f t="shared" si="8"/>
        <v>394</v>
      </c>
      <c r="I65" s="1681">
        <f t="shared" si="8"/>
        <v>11668</v>
      </c>
      <c r="J65" s="1681">
        <f t="shared" si="8"/>
        <v>0</v>
      </c>
      <c r="K65" s="1681">
        <f t="shared" si="8"/>
        <v>494225</v>
      </c>
      <c r="L65" s="1681">
        <f t="shared" si="8"/>
        <v>535303</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0</v>
      </c>
      <c r="F69" s="466">
        <v>0</v>
      </c>
      <c r="G69" s="466">
        <v>0</v>
      </c>
      <c r="H69" s="466">
        <v>0</v>
      </c>
      <c r="I69" s="466">
        <v>0</v>
      </c>
      <c r="J69" s="466">
        <v>0</v>
      </c>
      <c r="K69" s="1683">
        <f>SUM(C69:J69)</f>
        <v>0</v>
      </c>
      <c r="L69" s="466">
        <v>0</v>
      </c>
      <c r="M69" s="601"/>
      <c r="N69" s="601"/>
    </row>
    <row r="70" spans="1:14" s="343" customFormat="1" x14ac:dyDescent="0.2">
      <c r="A70" s="1515" t="s">
        <v>423</v>
      </c>
      <c r="B70" s="606">
        <v>2640</v>
      </c>
      <c r="C70" s="466">
        <v>0</v>
      </c>
      <c r="D70" s="466">
        <v>0</v>
      </c>
      <c r="E70" s="466">
        <v>510</v>
      </c>
      <c r="F70" s="466">
        <v>0</v>
      </c>
      <c r="G70" s="466">
        <v>0</v>
      </c>
      <c r="H70" s="466">
        <v>0</v>
      </c>
      <c r="I70" s="466">
        <v>0</v>
      </c>
      <c r="J70" s="466">
        <v>0</v>
      </c>
      <c r="K70" s="1683">
        <f>SUM(C70:J70)</f>
        <v>510</v>
      </c>
      <c r="L70" s="466">
        <v>0</v>
      </c>
      <c r="M70" s="601"/>
      <c r="N70" s="601"/>
    </row>
    <row r="71" spans="1:14" s="343" customFormat="1" x14ac:dyDescent="0.2">
      <c r="A71" s="1515" t="s">
        <v>424</v>
      </c>
      <c r="B71" s="606">
        <v>2660</v>
      </c>
      <c r="C71" s="466">
        <v>0</v>
      </c>
      <c r="D71" s="466">
        <v>0</v>
      </c>
      <c r="E71" s="466">
        <v>0</v>
      </c>
      <c r="F71" s="466">
        <v>0</v>
      </c>
      <c r="G71" s="466">
        <v>0</v>
      </c>
      <c r="H71" s="466">
        <v>0</v>
      </c>
      <c r="I71" s="466">
        <v>0</v>
      </c>
      <c r="J71" s="466">
        <v>0</v>
      </c>
      <c r="K71" s="1683">
        <f>SUM(C71:J71)</f>
        <v>0</v>
      </c>
      <c r="L71" s="466">
        <v>0</v>
      </c>
      <c r="M71" s="601"/>
      <c r="N71" s="601"/>
    </row>
    <row r="72" spans="1:14" s="343" customFormat="1" ht="12.75" customHeight="1" thickBot="1" x14ac:dyDescent="0.25">
      <c r="A72" s="1679" t="s">
        <v>37</v>
      </c>
      <c r="B72" s="1686" t="s">
        <v>36</v>
      </c>
      <c r="C72" s="1681">
        <f>SUM(C67:C71)</f>
        <v>0</v>
      </c>
      <c r="D72" s="1681">
        <f t="shared" ref="D72:K72" si="9">SUM(D67:D71)</f>
        <v>0</v>
      </c>
      <c r="E72" s="1681">
        <f t="shared" si="9"/>
        <v>510</v>
      </c>
      <c r="F72" s="1681">
        <f t="shared" si="9"/>
        <v>0</v>
      </c>
      <c r="G72" s="1681">
        <f t="shared" si="9"/>
        <v>0</v>
      </c>
      <c r="H72" s="1681">
        <f t="shared" si="9"/>
        <v>0</v>
      </c>
      <c r="I72" s="1681">
        <f t="shared" si="9"/>
        <v>0</v>
      </c>
      <c r="J72" s="1681">
        <f t="shared" si="9"/>
        <v>0</v>
      </c>
      <c r="K72" s="1681">
        <f t="shared" si="9"/>
        <v>510</v>
      </c>
      <c r="L72" s="1681">
        <f>SUM(L67:L71)</f>
        <v>0</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81">
        <f>SUM(C73:J73)</f>
        <v>0</v>
      </c>
      <c r="L73" s="567">
        <v>0</v>
      </c>
      <c r="M73" s="601"/>
      <c r="N73" s="601"/>
    </row>
    <row r="74" spans="1:14" ht="12.75" customHeight="1" thickTop="1" thickBot="1" x14ac:dyDescent="0.25">
      <c r="A74" s="1679" t="s">
        <v>865</v>
      </c>
      <c r="B74" s="1687">
        <v>2000</v>
      </c>
      <c r="C74" s="1688">
        <f>SUM(C42,C47,C53,C57,C65,C72,C73)</f>
        <v>2608363</v>
      </c>
      <c r="D74" s="1688">
        <f t="shared" ref="D74:K74" si="10">SUM(D42,D47,D53,D57,D65,D72,D73)</f>
        <v>628636</v>
      </c>
      <c r="E74" s="1688">
        <f t="shared" si="10"/>
        <v>693017</v>
      </c>
      <c r="F74" s="1688">
        <f t="shared" si="10"/>
        <v>207173</v>
      </c>
      <c r="G74" s="1688">
        <f t="shared" si="10"/>
        <v>50422</v>
      </c>
      <c r="H74" s="1688">
        <f t="shared" si="10"/>
        <v>31438</v>
      </c>
      <c r="I74" s="1688">
        <f t="shared" si="10"/>
        <v>36089</v>
      </c>
      <c r="J74" s="1688">
        <f t="shared" si="10"/>
        <v>0</v>
      </c>
      <c r="K74" s="1688">
        <f t="shared" si="10"/>
        <v>4255138</v>
      </c>
      <c r="L74" s="1688">
        <f>SUM(L42,L47,L53,L57,L65,L72,L73)</f>
        <v>4411165</v>
      </c>
    </row>
    <row r="75" spans="1:14" s="259" customFormat="1" ht="15.75" customHeight="1" thickTop="1" thickBot="1" x14ac:dyDescent="0.25">
      <c r="A75" s="1621" t="s">
        <v>49</v>
      </c>
      <c r="B75" s="1622" t="s">
        <v>596</v>
      </c>
      <c r="C75" s="567">
        <v>31470</v>
      </c>
      <c r="D75" s="567">
        <v>439</v>
      </c>
      <c r="E75" s="567">
        <v>16773</v>
      </c>
      <c r="F75" s="567">
        <v>13118</v>
      </c>
      <c r="G75" s="567">
        <v>0</v>
      </c>
      <c r="H75" s="567">
        <v>0</v>
      </c>
      <c r="I75" s="567">
        <v>0</v>
      </c>
      <c r="J75" s="567">
        <v>0</v>
      </c>
      <c r="K75" s="1681">
        <f>SUM(C75:J75)</f>
        <v>61800</v>
      </c>
      <c r="L75" s="567">
        <v>69208</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0</v>
      </c>
      <c r="F79" s="608"/>
      <c r="G79" s="608"/>
      <c r="H79" s="466">
        <v>0</v>
      </c>
      <c r="I79" s="474"/>
      <c r="J79" s="474"/>
      <c r="K79" s="1682">
        <f t="shared" si="11"/>
        <v>0</v>
      </c>
      <c r="L79" s="466">
        <v>1050000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0</v>
      </c>
      <c r="F84" s="608"/>
      <c r="G84" s="608"/>
      <c r="H84" s="1681">
        <f>SUM(H78:H83)</f>
        <v>0</v>
      </c>
      <c r="I84" s="474"/>
      <c r="J84" s="474"/>
      <c r="K84" s="1681">
        <f>SUM(K78:K83)</f>
        <v>0</v>
      </c>
      <c r="L84" s="1681">
        <f>SUM(L78:L83)</f>
        <v>1050000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878698</v>
      </c>
      <c r="I86" s="474"/>
      <c r="J86" s="474"/>
      <c r="K86" s="1688">
        <f t="shared" ref="K86:K98" si="12">H86</f>
        <v>878698</v>
      </c>
      <c r="L86" s="526">
        <v>0</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9000</v>
      </c>
      <c r="I91" s="474"/>
      <c r="J91" s="474"/>
      <c r="K91" s="1688">
        <f t="shared" si="12"/>
        <v>9000</v>
      </c>
      <c r="L91" s="526">
        <v>0</v>
      </c>
    </row>
    <row r="92" spans="1:12" ht="14.25" thickTop="1" thickBot="1" x14ac:dyDescent="0.25">
      <c r="A92" s="1691" t="s">
        <v>1641</v>
      </c>
      <c r="B92" s="1689">
        <v>4200</v>
      </c>
      <c r="C92" s="608"/>
      <c r="D92" s="608"/>
      <c r="E92" s="629"/>
      <c r="F92" s="608"/>
      <c r="G92" s="608"/>
      <c r="H92" s="1681">
        <f>SUM(H85:H91)</f>
        <v>887698</v>
      </c>
      <c r="I92" s="474"/>
      <c r="J92" s="474"/>
      <c r="K92" s="1688">
        <f t="shared" si="12"/>
        <v>887698</v>
      </c>
      <c r="L92" s="1681">
        <f>SUM(L85:L91)</f>
        <v>0</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0</v>
      </c>
      <c r="F102" s="608"/>
      <c r="G102" s="608"/>
      <c r="H102" s="1688">
        <f>SUM(H84,H92,H100,H101)</f>
        <v>887698</v>
      </c>
      <c r="I102" s="474"/>
      <c r="J102" s="474"/>
      <c r="K102" s="1688">
        <f>SUM(K84,K92,K100,K101)</f>
        <v>887698</v>
      </c>
      <c r="L102" s="1688">
        <f>SUM(L84,L92,L100,L101)</f>
        <v>1050000</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9" t="s">
        <v>50</v>
      </c>
      <c r="B114" s="1693"/>
      <c r="C114" s="1681">
        <f>SUM(C33,C74,C75,C102,C112,C113)</f>
        <v>8461366</v>
      </c>
      <c r="D114" s="1681">
        <f t="shared" ref="D114:K114" si="13">SUM(D33,D74,D75,D102,D112,D113)</f>
        <v>2198357</v>
      </c>
      <c r="E114" s="1681">
        <f t="shared" si="13"/>
        <v>826429</v>
      </c>
      <c r="F114" s="1681">
        <f t="shared" si="13"/>
        <v>415102</v>
      </c>
      <c r="G114" s="1681">
        <f t="shared" si="13"/>
        <v>50422</v>
      </c>
      <c r="H114" s="1681">
        <f>SUM(H33,H74,H75,H102,H112,H113)</f>
        <v>1114062</v>
      </c>
      <c r="I114" s="1681">
        <f t="shared" si="13"/>
        <v>53060</v>
      </c>
      <c r="J114" s="1681">
        <f t="shared" si="13"/>
        <v>12344</v>
      </c>
      <c r="K114" s="1681">
        <f t="shared" si="13"/>
        <v>13131142</v>
      </c>
      <c r="L114" s="1681">
        <f>SUM(L33,L74,L75,L102,L112,L113)</f>
        <v>13383558</v>
      </c>
    </row>
    <row r="115" spans="1:14" ht="13.5" thickTop="1" x14ac:dyDescent="0.2">
      <c r="A115" s="2380" t="s">
        <v>1053</v>
      </c>
      <c r="B115" s="2381"/>
      <c r="C115" s="610"/>
      <c r="D115" s="610"/>
      <c r="E115" s="610"/>
      <c r="F115" s="610"/>
      <c r="G115" s="610"/>
      <c r="H115" s="610"/>
      <c r="I115" s="610"/>
      <c r="J115" s="610"/>
      <c r="K115" s="1695">
        <f>'Revenues 9-14'!C275-'Expenditures 15-22'!K114</f>
        <v>725682</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358" t="s">
        <v>314</v>
      </c>
      <c r="B117" s="2359"/>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27099</v>
      </c>
      <c r="D122" s="466">
        <v>7876</v>
      </c>
      <c r="E122" s="466">
        <v>0</v>
      </c>
      <c r="F122" s="466">
        <v>0</v>
      </c>
      <c r="G122" s="466">
        <v>0</v>
      </c>
      <c r="H122" s="466">
        <v>0</v>
      </c>
      <c r="I122" s="466">
        <v>0</v>
      </c>
      <c r="J122" s="466">
        <v>0</v>
      </c>
      <c r="K122" s="1681">
        <f>SUM(C122:J122)</f>
        <v>34975</v>
      </c>
      <c r="L122" s="466">
        <v>36986</v>
      </c>
    </row>
    <row r="123" spans="1:14" ht="14.25" thickTop="1" thickBot="1" x14ac:dyDescent="0.25">
      <c r="A123" s="1515" t="s">
        <v>4</v>
      </c>
      <c r="B123" s="606">
        <v>2530</v>
      </c>
      <c r="C123" s="466">
        <v>0</v>
      </c>
      <c r="D123" s="466">
        <v>0</v>
      </c>
      <c r="E123" s="466">
        <v>9462</v>
      </c>
      <c r="F123" s="466">
        <v>0</v>
      </c>
      <c r="G123" s="466">
        <v>0</v>
      </c>
      <c r="H123" s="466">
        <v>0</v>
      </c>
      <c r="I123" s="466">
        <v>0</v>
      </c>
      <c r="J123" s="466">
        <v>0</v>
      </c>
      <c r="K123" s="1681">
        <f>SUM(C123:J123)</f>
        <v>9462</v>
      </c>
      <c r="L123" s="466">
        <v>20000</v>
      </c>
    </row>
    <row r="124" spans="1:14" ht="14.25" thickTop="1" thickBot="1" x14ac:dyDescent="0.25">
      <c r="A124" s="1515" t="s">
        <v>206</v>
      </c>
      <c r="B124" s="606">
        <v>2540</v>
      </c>
      <c r="C124" s="466">
        <v>598369</v>
      </c>
      <c r="D124" s="466">
        <v>104899</v>
      </c>
      <c r="E124" s="466">
        <v>435753</v>
      </c>
      <c r="F124" s="466">
        <v>524927</v>
      </c>
      <c r="G124" s="466">
        <v>0</v>
      </c>
      <c r="H124" s="466">
        <v>0</v>
      </c>
      <c r="I124" s="466">
        <v>13416</v>
      </c>
      <c r="J124" s="466">
        <v>2083</v>
      </c>
      <c r="K124" s="1681">
        <f>SUM(C124:J124)</f>
        <v>1679447</v>
      </c>
      <c r="L124" s="466">
        <v>2136127</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17069</v>
      </c>
      <c r="H126" s="645"/>
      <c r="I126" s="466">
        <v>0</v>
      </c>
      <c r="J126" s="608"/>
      <c r="K126" s="1681">
        <f>SUM(C126:J126)</f>
        <v>17069</v>
      </c>
      <c r="L126" s="466">
        <v>20000</v>
      </c>
    </row>
    <row r="127" spans="1:14" ht="12.75" customHeight="1" thickTop="1" thickBot="1" x14ac:dyDescent="0.25">
      <c r="A127" s="1679" t="s">
        <v>743</v>
      </c>
      <c r="B127" s="1680" t="s">
        <v>35</v>
      </c>
      <c r="C127" s="1681">
        <f>SUM(C122:C126)</f>
        <v>625468</v>
      </c>
      <c r="D127" s="1681">
        <f t="shared" ref="D127:L127" si="14">SUM(D122:D126)</f>
        <v>112775</v>
      </c>
      <c r="E127" s="1681">
        <f t="shared" si="14"/>
        <v>445215</v>
      </c>
      <c r="F127" s="1681">
        <f t="shared" si="14"/>
        <v>524927</v>
      </c>
      <c r="G127" s="1681">
        <f t="shared" si="14"/>
        <v>17069</v>
      </c>
      <c r="H127" s="1681">
        <f t="shared" si="14"/>
        <v>0</v>
      </c>
      <c r="I127" s="1681">
        <f t="shared" si="14"/>
        <v>13416</v>
      </c>
      <c r="J127" s="1681">
        <f t="shared" si="14"/>
        <v>2083</v>
      </c>
      <c r="K127" s="1681">
        <f t="shared" si="14"/>
        <v>1740953</v>
      </c>
      <c r="L127" s="1681">
        <f t="shared" si="14"/>
        <v>2213113</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625468</v>
      </c>
      <c r="D129" s="1688">
        <f t="shared" ref="D129:L129" si="15">SUM(D120,D127,D128)</f>
        <v>112775</v>
      </c>
      <c r="E129" s="1688">
        <f t="shared" si="15"/>
        <v>445215</v>
      </c>
      <c r="F129" s="1688">
        <f t="shared" si="15"/>
        <v>524927</v>
      </c>
      <c r="G129" s="1688">
        <f t="shared" si="15"/>
        <v>17069</v>
      </c>
      <c r="H129" s="1688">
        <f t="shared" si="15"/>
        <v>0</v>
      </c>
      <c r="I129" s="1688">
        <f t="shared" si="15"/>
        <v>13416</v>
      </c>
      <c r="J129" s="1688">
        <f t="shared" si="15"/>
        <v>2083</v>
      </c>
      <c r="K129" s="1688">
        <f t="shared" si="15"/>
        <v>1740953</v>
      </c>
      <c r="L129" s="1688">
        <f t="shared" si="15"/>
        <v>2213113</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1954</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370" t="s">
        <v>641</v>
      </c>
      <c r="B151" s="2352"/>
      <c r="C151" s="1681">
        <f>SUM(C129,C130,C139,C149,C150)</f>
        <v>625468</v>
      </c>
      <c r="D151" s="1681">
        <f t="shared" ref="D151:K151" si="16">SUM(D129,D130,D139,D149,D150)</f>
        <v>112775</v>
      </c>
      <c r="E151" s="1681">
        <f t="shared" si="16"/>
        <v>445215</v>
      </c>
      <c r="F151" s="1681">
        <f t="shared" si="16"/>
        <v>524927</v>
      </c>
      <c r="G151" s="1681">
        <f t="shared" si="16"/>
        <v>17069</v>
      </c>
      <c r="H151" s="1681">
        <f t="shared" si="16"/>
        <v>0</v>
      </c>
      <c r="I151" s="1681">
        <f t="shared" si="16"/>
        <v>13416</v>
      </c>
      <c r="J151" s="1681">
        <f t="shared" si="16"/>
        <v>2083</v>
      </c>
      <c r="K151" s="1681">
        <f t="shared" si="16"/>
        <v>1740953</v>
      </c>
      <c r="L151" s="1681">
        <f>SUM(L129,L130,L139,L149,L150)</f>
        <v>2213113</v>
      </c>
    </row>
    <row r="152" spans="1:14" ht="12.75" customHeight="1" thickTop="1" x14ac:dyDescent="0.2">
      <c r="A152" s="2373" t="s">
        <v>1240</v>
      </c>
      <c r="B152" s="2374"/>
      <c r="C152" s="610"/>
      <c r="D152" s="610"/>
      <c r="E152" s="610"/>
      <c r="F152" s="610"/>
      <c r="G152" s="610"/>
      <c r="H152" s="610"/>
      <c r="I152" s="610"/>
      <c r="J152" s="608"/>
      <c r="K152" s="1695">
        <f>'Revenues 9-14'!D275-'Expenditures 15-22'!K151</f>
        <v>447231</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358" t="s">
        <v>642</v>
      </c>
      <c r="B154" s="2360"/>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1955</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1954</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1956</v>
      </c>
      <c r="C158" s="608"/>
      <c r="D158" s="608"/>
      <c r="E158" s="608"/>
      <c r="F158" s="608"/>
      <c r="G158" s="608"/>
      <c r="H158" s="466">
        <v>0</v>
      </c>
      <c r="I158" s="608"/>
      <c r="J158" s="608"/>
      <c r="K158" s="1682">
        <f>H158</f>
        <v>0</v>
      </c>
      <c r="L158" s="466">
        <v>0</v>
      </c>
      <c r="M158" s="611"/>
      <c r="N158" s="611"/>
    </row>
    <row r="159" spans="1:14" s="612" customFormat="1" ht="12" x14ac:dyDescent="0.2">
      <c r="A159" s="1838" t="s">
        <v>1957</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1958</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103435</v>
      </c>
      <c r="I169" s="608"/>
      <c r="J169" s="608"/>
      <c r="K169" s="1682">
        <f>SUM(C169:H169)</f>
        <v>103435</v>
      </c>
      <c r="L169" s="647">
        <v>104463</v>
      </c>
    </row>
    <row r="170" spans="1:14" ht="33.75" customHeight="1" x14ac:dyDescent="0.2">
      <c r="A170" s="660" t="s">
        <v>1769</v>
      </c>
      <c r="B170" s="662" t="s">
        <v>31</v>
      </c>
      <c r="C170" s="608"/>
      <c r="D170" s="608"/>
      <c r="E170" s="608"/>
      <c r="F170" s="608"/>
      <c r="G170" s="608"/>
      <c r="H170" s="563">
        <v>252106</v>
      </c>
      <c r="I170" s="608"/>
      <c r="J170" s="608"/>
      <c r="K170" s="1682">
        <f>SUM(C170:J170)</f>
        <v>252106</v>
      </c>
      <c r="L170" s="563">
        <v>250489</v>
      </c>
    </row>
    <row r="171" spans="1:14" ht="15.75" customHeight="1" x14ac:dyDescent="0.2">
      <c r="A171" s="613" t="s">
        <v>790</v>
      </c>
      <c r="B171" s="663" t="s">
        <v>86</v>
      </c>
      <c r="C171" s="608"/>
      <c r="D171" s="608"/>
      <c r="E171" s="563">
        <v>0</v>
      </c>
      <c r="F171" s="608"/>
      <c r="G171" s="608"/>
      <c r="H171" s="563">
        <v>1606</v>
      </c>
      <c r="I171" s="474"/>
      <c r="J171" s="608"/>
      <c r="K171" s="1682">
        <f>SUM(C171:J171)</f>
        <v>1606</v>
      </c>
      <c r="L171" s="563">
        <v>0</v>
      </c>
    </row>
    <row r="172" spans="1:14" ht="12.75" customHeight="1" thickBot="1" x14ac:dyDescent="0.25">
      <c r="A172" s="1679" t="s">
        <v>659</v>
      </c>
      <c r="B172" s="1680" t="s">
        <v>513</v>
      </c>
      <c r="C172" s="608"/>
      <c r="D172" s="608"/>
      <c r="E172" s="1688">
        <f>SUM(E168,E169,E170,E171)</f>
        <v>0</v>
      </c>
      <c r="F172" s="608"/>
      <c r="G172" s="608"/>
      <c r="H172" s="1688">
        <f>SUM(H168,H169,H170,H171)</f>
        <v>357147</v>
      </c>
      <c r="I172" s="629"/>
      <c r="J172" s="608"/>
      <c r="K172" s="1688">
        <f>SUM(K168,K169,K170,K171)</f>
        <v>357147</v>
      </c>
      <c r="L172" s="1688">
        <f>SUM(L168,L169,L170,L171)</f>
        <v>354952</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0</v>
      </c>
      <c r="F174" s="608"/>
      <c r="G174" s="608"/>
      <c r="H174" s="1688">
        <f>SUM(H160,H172,H173)</f>
        <v>357147</v>
      </c>
      <c r="I174" s="629"/>
      <c r="J174" s="608"/>
      <c r="K174" s="1688">
        <f>SUM(K160,K172,K173)</f>
        <v>357147</v>
      </c>
      <c r="L174" s="1688">
        <f>SUM(L160,L172,L173)</f>
        <v>354952</v>
      </c>
    </row>
    <row r="175" spans="1:14" ht="13.5" thickTop="1" x14ac:dyDescent="0.2">
      <c r="A175" s="2380" t="s">
        <v>1053</v>
      </c>
      <c r="B175" s="2381"/>
      <c r="C175" s="608"/>
      <c r="D175" s="608"/>
      <c r="E175" s="608"/>
      <c r="F175" s="608"/>
      <c r="G175" s="608"/>
      <c r="H175" s="610"/>
      <c r="I175" s="608"/>
      <c r="J175" s="608"/>
      <c r="K175" s="1695">
        <f>'Revenues 9-14'!E275-'Expenditures 15-22'!K174</f>
        <v>-61360</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300432</v>
      </c>
      <c r="D182" s="466">
        <v>7407</v>
      </c>
      <c r="E182" s="466">
        <v>186903</v>
      </c>
      <c r="F182" s="466">
        <v>40074</v>
      </c>
      <c r="G182" s="466">
        <v>0</v>
      </c>
      <c r="H182" s="466">
        <v>0</v>
      </c>
      <c r="I182" s="466">
        <v>540</v>
      </c>
      <c r="J182" s="466">
        <v>0</v>
      </c>
      <c r="K182" s="1682">
        <f>SUM(C182:J182)</f>
        <v>535356</v>
      </c>
      <c r="L182" s="466">
        <v>734030</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300432</v>
      </c>
      <c r="D184" s="1688">
        <f t="shared" ref="D184:J184" si="17">SUM(D180,D182,D183)</f>
        <v>7407</v>
      </c>
      <c r="E184" s="1688">
        <f t="shared" si="17"/>
        <v>186903</v>
      </c>
      <c r="F184" s="1688">
        <f t="shared" si="17"/>
        <v>40074</v>
      </c>
      <c r="G184" s="1688">
        <f t="shared" si="17"/>
        <v>0</v>
      </c>
      <c r="H184" s="1688">
        <f t="shared" si="17"/>
        <v>0</v>
      </c>
      <c r="I184" s="1688">
        <f t="shared" si="17"/>
        <v>540</v>
      </c>
      <c r="J184" s="1688">
        <f t="shared" si="17"/>
        <v>0</v>
      </c>
      <c r="K184" s="1688">
        <f>SUM(K180,K182,K183)</f>
        <v>535356</v>
      </c>
      <c r="L184" s="1688">
        <f>SUM(L180, L182:L183)</f>
        <v>734030</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300432</v>
      </c>
      <c r="D210" s="1681">
        <f>SUM(D184,D185)</f>
        <v>7407</v>
      </c>
      <c r="E210" s="1681">
        <f>SUM(E184,E185,E196)</f>
        <v>186903</v>
      </c>
      <c r="F210" s="1681">
        <f>SUM(F184,F185)</f>
        <v>40074</v>
      </c>
      <c r="G210" s="1681">
        <f>SUM(G184,G185)</f>
        <v>0</v>
      </c>
      <c r="H210" s="1681">
        <f>SUM(H184,H185,H196,H208,H209)</f>
        <v>0</v>
      </c>
      <c r="I210" s="1681">
        <f>SUM(I184,I185)</f>
        <v>540</v>
      </c>
      <c r="J210" s="1681">
        <f>SUM(J184,J185)</f>
        <v>0</v>
      </c>
      <c r="K210" s="1682">
        <f>SUM(K184,K185,K196,K208,K209)</f>
        <v>535356</v>
      </c>
      <c r="L210" s="1681">
        <f>SUM(L184,L185,L196,L208,L209)</f>
        <v>734030</v>
      </c>
    </row>
    <row r="211" spans="1:14" ht="13.5" thickTop="1" x14ac:dyDescent="0.2">
      <c r="A211" s="2380" t="s">
        <v>1053</v>
      </c>
      <c r="B211" s="2381"/>
      <c r="C211" s="610"/>
      <c r="D211" s="610"/>
      <c r="E211" s="610"/>
      <c r="F211" s="610"/>
      <c r="G211" s="610"/>
      <c r="H211" s="610"/>
      <c r="I211" s="608"/>
      <c r="J211" s="608"/>
      <c r="K211" s="1695">
        <f>'Revenues 9-14'!F275-'Expenditures 15-22'!K210</f>
        <v>20055</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75" t="s">
        <v>1022</v>
      </c>
      <c r="B213" s="2376"/>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73021</v>
      </c>
      <c r="E215" s="608"/>
      <c r="F215" s="608"/>
      <c r="G215" s="608"/>
      <c r="H215" s="608"/>
      <c r="I215" s="608"/>
      <c r="J215" s="608"/>
      <c r="K215" s="1682">
        <f>D215</f>
        <v>73021</v>
      </c>
      <c r="L215" s="466">
        <v>74700</v>
      </c>
    </row>
    <row r="216" spans="1:14" x14ac:dyDescent="0.2">
      <c r="A216" s="1515" t="s">
        <v>165</v>
      </c>
      <c r="B216" s="606" t="s">
        <v>1024</v>
      </c>
      <c r="C216" s="608"/>
      <c r="D216" s="466">
        <v>18928</v>
      </c>
      <c r="E216" s="608"/>
      <c r="F216" s="608"/>
      <c r="G216" s="608"/>
      <c r="H216" s="608"/>
      <c r="I216" s="608"/>
      <c r="J216" s="608"/>
      <c r="K216" s="1682">
        <f t="shared" ref="K216:K228" si="19">D216</f>
        <v>18928</v>
      </c>
      <c r="L216" s="466">
        <v>20590</v>
      </c>
    </row>
    <row r="217" spans="1:14" x14ac:dyDescent="0.2">
      <c r="A217" s="1515" t="s">
        <v>166</v>
      </c>
      <c r="B217" s="606">
        <v>1200</v>
      </c>
      <c r="C217" s="608"/>
      <c r="D217" s="466">
        <v>47406</v>
      </c>
      <c r="E217" s="608"/>
      <c r="F217" s="608"/>
      <c r="G217" s="608"/>
      <c r="H217" s="608"/>
      <c r="I217" s="608"/>
      <c r="J217" s="608"/>
      <c r="K217" s="1682">
        <f t="shared" si="19"/>
        <v>47406</v>
      </c>
      <c r="L217" s="466">
        <v>50135</v>
      </c>
    </row>
    <row r="218" spans="1:14" x14ac:dyDescent="0.2">
      <c r="A218" s="1515" t="s">
        <v>296</v>
      </c>
      <c r="B218" s="606" t="s">
        <v>1025</v>
      </c>
      <c r="C218" s="608"/>
      <c r="D218" s="466">
        <v>12626</v>
      </c>
      <c r="E218" s="608"/>
      <c r="F218" s="608"/>
      <c r="G218" s="608"/>
      <c r="H218" s="608"/>
      <c r="I218" s="608"/>
      <c r="J218" s="608"/>
      <c r="K218" s="1682">
        <f t="shared" si="19"/>
        <v>12626</v>
      </c>
      <c r="L218" s="466">
        <v>13938</v>
      </c>
    </row>
    <row r="219" spans="1:14" x14ac:dyDescent="0.2">
      <c r="A219" s="1515" t="s">
        <v>297</v>
      </c>
      <c r="B219" s="606">
        <v>1250</v>
      </c>
      <c r="C219" s="608"/>
      <c r="D219" s="466">
        <v>222</v>
      </c>
      <c r="E219" s="608"/>
      <c r="F219" s="608"/>
      <c r="G219" s="608"/>
      <c r="H219" s="608"/>
      <c r="I219" s="608"/>
      <c r="J219" s="608"/>
      <c r="K219" s="1682">
        <f t="shared" si="19"/>
        <v>222</v>
      </c>
      <c r="L219" s="466">
        <v>344</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0</v>
      </c>
      <c r="E222" s="608"/>
      <c r="F222" s="608"/>
      <c r="G222" s="608"/>
      <c r="H222" s="608"/>
      <c r="I222" s="608"/>
      <c r="J222" s="608"/>
      <c r="K222" s="1682">
        <f t="shared" si="19"/>
        <v>0</v>
      </c>
      <c r="L222" s="466">
        <v>0</v>
      </c>
    </row>
    <row r="223" spans="1:14" x14ac:dyDescent="0.2">
      <c r="A223" s="1515" t="s">
        <v>1020</v>
      </c>
      <c r="B223" s="606">
        <v>1500</v>
      </c>
      <c r="C223" s="608"/>
      <c r="D223" s="466">
        <v>1448</v>
      </c>
      <c r="E223" s="608"/>
      <c r="F223" s="608"/>
      <c r="G223" s="608"/>
      <c r="H223" s="608"/>
      <c r="I223" s="608"/>
      <c r="J223" s="608"/>
      <c r="K223" s="1682">
        <f t="shared" si="19"/>
        <v>1448</v>
      </c>
      <c r="L223" s="466">
        <v>1614</v>
      </c>
    </row>
    <row r="224" spans="1:14" x14ac:dyDescent="0.2">
      <c r="A224" s="1515" t="s">
        <v>1021</v>
      </c>
      <c r="B224" s="606">
        <v>1600</v>
      </c>
      <c r="C224" s="608"/>
      <c r="D224" s="466">
        <v>1724</v>
      </c>
      <c r="E224" s="608"/>
      <c r="F224" s="608"/>
      <c r="G224" s="608"/>
      <c r="H224" s="608"/>
      <c r="I224" s="608"/>
      <c r="J224" s="608"/>
      <c r="K224" s="1682">
        <f t="shared" si="19"/>
        <v>1724</v>
      </c>
      <c r="L224" s="466">
        <v>2804</v>
      </c>
    </row>
    <row r="225" spans="1:12" x14ac:dyDescent="0.2">
      <c r="A225" s="1515" t="s">
        <v>1044</v>
      </c>
      <c r="B225" s="606">
        <v>1650</v>
      </c>
      <c r="C225" s="608"/>
      <c r="D225" s="466">
        <v>0</v>
      </c>
      <c r="E225" s="608"/>
      <c r="F225" s="608"/>
      <c r="G225" s="608"/>
      <c r="H225" s="608"/>
      <c r="I225" s="608"/>
      <c r="J225" s="608"/>
      <c r="K225" s="1682">
        <f t="shared" si="19"/>
        <v>0</v>
      </c>
      <c r="L225" s="466">
        <v>12930</v>
      </c>
    </row>
    <row r="226" spans="1:12" x14ac:dyDescent="0.2">
      <c r="A226" s="1515" t="s">
        <v>748</v>
      </c>
      <c r="B226" s="606" t="s">
        <v>164</v>
      </c>
      <c r="C226" s="608"/>
      <c r="D226" s="466">
        <v>0</v>
      </c>
      <c r="E226" s="608"/>
      <c r="F226" s="608"/>
      <c r="G226" s="608"/>
      <c r="H226" s="608"/>
      <c r="I226" s="608"/>
      <c r="J226" s="608"/>
      <c r="K226" s="1682">
        <f t="shared" si="19"/>
        <v>0</v>
      </c>
      <c r="L226" s="466">
        <v>0</v>
      </c>
    </row>
    <row r="227" spans="1:12" x14ac:dyDescent="0.2">
      <c r="A227" s="1515" t="s">
        <v>1148</v>
      </c>
      <c r="B227" s="606">
        <v>1800</v>
      </c>
      <c r="C227" s="608"/>
      <c r="D227" s="466">
        <v>12921</v>
      </c>
      <c r="E227" s="608"/>
      <c r="F227" s="608"/>
      <c r="G227" s="608"/>
      <c r="H227" s="608"/>
      <c r="I227" s="608"/>
      <c r="J227" s="608"/>
      <c r="K227" s="1682">
        <f t="shared" si="19"/>
        <v>12921</v>
      </c>
      <c r="L227" s="466">
        <v>0</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168296</v>
      </c>
      <c r="E229" s="608"/>
      <c r="F229" s="608"/>
      <c r="G229" s="608"/>
      <c r="H229" s="608"/>
      <c r="I229" s="608"/>
      <c r="J229" s="608"/>
      <c r="K229" s="1681">
        <f>SUM(K215:K228)</f>
        <v>168296</v>
      </c>
      <c r="L229" s="1681">
        <f>SUM(L215:L228)</f>
        <v>177055</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2995</v>
      </c>
      <c r="E232" s="608"/>
      <c r="F232" s="608"/>
      <c r="G232" s="608"/>
      <c r="H232" s="608"/>
      <c r="I232" s="608"/>
      <c r="J232" s="608"/>
      <c r="K232" s="1682">
        <f t="shared" ref="K232:K237" si="20">D232</f>
        <v>2995</v>
      </c>
      <c r="L232" s="466">
        <v>2423</v>
      </c>
    </row>
    <row r="233" spans="1:12" x14ac:dyDescent="0.2">
      <c r="A233" s="1515" t="s">
        <v>1151</v>
      </c>
      <c r="B233" s="606">
        <v>2120</v>
      </c>
      <c r="C233" s="608"/>
      <c r="D233" s="466">
        <v>0</v>
      </c>
      <c r="E233" s="608"/>
      <c r="F233" s="608"/>
      <c r="G233" s="608"/>
      <c r="H233" s="608"/>
      <c r="I233" s="608"/>
      <c r="J233" s="608"/>
      <c r="K233" s="1682">
        <f t="shared" si="20"/>
        <v>0</v>
      </c>
      <c r="L233" s="466">
        <v>0</v>
      </c>
    </row>
    <row r="234" spans="1:12" x14ac:dyDescent="0.2">
      <c r="A234" s="1515" t="s">
        <v>207</v>
      </c>
      <c r="B234" s="606">
        <v>2130</v>
      </c>
      <c r="C234" s="608"/>
      <c r="D234" s="466">
        <v>21843</v>
      </c>
      <c r="E234" s="608"/>
      <c r="F234" s="608"/>
      <c r="G234" s="608"/>
      <c r="H234" s="608"/>
      <c r="I234" s="608"/>
      <c r="J234" s="608"/>
      <c r="K234" s="1682">
        <f t="shared" si="20"/>
        <v>21843</v>
      </c>
      <c r="L234" s="466">
        <v>21693</v>
      </c>
    </row>
    <row r="235" spans="1:12" x14ac:dyDescent="0.2">
      <c r="A235" s="1515" t="s">
        <v>208</v>
      </c>
      <c r="B235" s="606">
        <v>2140</v>
      </c>
      <c r="C235" s="608"/>
      <c r="D235" s="466">
        <v>0</v>
      </c>
      <c r="E235" s="608"/>
      <c r="F235" s="608"/>
      <c r="G235" s="608"/>
      <c r="H235" s="608"/>
      <c r="I235" s="608"/>
      <c r="J235" s="608"/>
      <c r="K235" s="1682">
        <f t="shared" si="20"/>
        <v>0</v>
      </c>
      <c r="L235" s="466">
        <v>0</v>
      </c>
    </row>
    <row r="236" spans="1:12" x14ac:dyDescent="0.2">
      <c r="A236" s="1515" t="s">
        <v>209</v>
      </c>
      <c r="B236" s="606">
        <v>2150</v>
      </c>
      <c r="C236" s="608"/>
      <c r="D236" s="466">
        <v>2102</v>
      </c>
      <c r="E236" s="608"/>
      <c r="F236" s="608"/>
      <c r="G236" s="608"/>
      <c r="H236" s="608"/>
      <c r="I236" s="608"/>
      <c r="J236" s="608"/>
      <c r="K236" s="1682">
        <f t="shared" si="20"/>
        <v>2102</v>
      </c>
      <c r="L236" s="466">
        <v>1657</v>
      </c>
    </row>
    <row r="237" spans="1:12" x14ac:dyDescent="0.2">
      <c r="A237" s="1515" t="s">
        <v>167</v>
      </c>
      <c r="B237" s="606">
        <v>2190</v>
      </c>
      <c r="C237" s="608"/>
      <c r="D237" s="466">
        <v>4593</v>
      </c>
      <c r="E237" s="608"/>
      <c r="F237" s="608"/>
      <c r="G237" s="608"/>
      <c r="H237" s="608"/>
      <c r="I237" s="608"/>
      <c r="J237" s="608"/>
      <c r="K237" s="1682">
        <f t="shared" si="20"/>
        <v>4593</v>
      </c>
      <c r="L237" s="466">
        <v>4464</v>
      </c>
    </row>
    <row r="238" spans="1:12" ht="12.75" customHeight="1" thickBot="1" x14ac:dyDescent="0.25">
      <c r="A238" s="1679" t="s">
        <v>581</v>
      </c>
      <c r="B238" s="1686" t="s">
        <v>740</v>
      </c>
      <c r="C238" s="608"/>
      <c r="D238" s="1681">
        <f>SUM(D232:D237)</f>
        <v>31533</v>
      </c>
      <c r="E238" s="608"/>
      <c r="F238" s="608"/>
      <c r="G238" s="608"/>
      <c r="H238" s="608"/>
      <c r="I238" s="608"/>
      <c r="J238" s="608"/>
      <c r="K238" s="1681">
        <f>SUM(K232:K237)</f>
        <v>31533</v>
      </c>
      <c r="L238" s="1681">
        <f>SUM(L232:L237)</f>
        <v>30237</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51875</v>
      </c>
      <c r="E240" s="608"/>
      <c r="F240" s="608"/>
      <c r="G240" s="608"/>
      <c r="H240" s="608"/>
      <c r="I240" s="608"/>
      <c r="J240" s="608"/>
      <c r="K240" s="1683">
        <f>D240</f>
        <v>51875</v>
      </c>
      <c r="L240" s="466">
        <v>52185</v>
      </c>
    </row>
    <row r="241" spans="1:12" x14ac:dyDescent="0.2">
      <c r="A241" s="1515" t="s">
        <v>869</v>
      </c>
      <c r="B241" s="606">
        <v>2220</v>
      </c>
      <c r="C241" s="608"/>
      <c r="D241" s="466">
        <v>14442</v>
      </c>
      <c r="E241" s="608"/>
      <c r="F241" s="608"/>
      <c r="G241" s="608"/>
      <c r="H241" s="608"/>
      <c r="I241" s="608"/>
      <c r="J241" s="608"/>
      <c r="K241" s="1683">
        <f>D241</f>
        <v>14442</v>
      </c>
      <c r="L241" s="466">
        <v>11530</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66317</v>
      </c>
      <c r="E243" s="608"/>
      <c r="F243" s="608"/>
      <c r="G243" s="608"/>
      <c r="H243" s="608"/>
      <c r="I243" s="608"/>
      <c r="J243" s="608"/>
      <c r="K243" s="1681">
        <f>SUM(K240:K242)</f>
        <v>66317</v>
      </c>
      <c r="L243" s="1681">
        <f>SUM(L240:L242)</f>
        <v>63715</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2</v>
      </c>
      <c r="E245" s="608"/>
      <c r="F245" s="608"/>
      <c r="G245" s="608"/>
      <c r="H245" s="608"/>
      <c r="I245" s="608"/>
      <c r="J245" s="608"/>
      <c r="K245" s="1683">
        <f>D245</f>
        <v>2</v>
      </c>
      <c r="L245" s="466">
        <v>4187</v>
      </c>
    </row>
    <row r="246" spans="1:12" x14ac:dyDescent="0.2">
      <c r="A246" s="1515" t="s">
        <v>872</v>
      </c>
      <c r="B246" s="606">
        <v>2320</v>
      </c>
      <c r="C246" s="608"/>
      <c r="D246" s="466">
        <v>13636</v>
      </c>
      <c r="E246" s="608"/>
      <c r="F246" s="608"/>
      <c r="G246" s="608"/>
      <c r="H246" s="608"/>
      <c r="I246" s="608"/>
      <c r="J246" s="608"/>
      <c r="K246" s="1683">
        <f t="shared" ref="K246:K256" si="21">D246</f>
        <v>13636</v>
      </c>
      <c r="L246" s="466">
        <v>13836</v>
      </c>
    </row>
    <row r="247" spans="1:12" x14ac:dyDescent="0.2">
      <c r="A247" s="1515" t="s">
        <v>873</v>
      </c>
      <c r="B247" s="606">
        <v>2330</v>
      </c>
      <c r="C247" s="608"/>
      <c r="D247" s="466">
        <v>3903</v>
      </c>
      <c r="E247" s="608"/>
      <c r="F247" s="608"/>
      <c r="G247" s="608"/>
      <c r="H247" s="608"/>
      <c r="I247" s="608"/>
      <c r="J247" s="608"/>
      <c r="K247" s="1683">
        <f t="shared" si="21"/>
        <v>3903</v>
      </c>
      <c r="L247" s="466">
        <v>102</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1905</v>
      </c>
      <c r="B249" s="674" t="s">
        <v>300</v>
      </c>
      <c r="C249" s="608"/>
      <c r="D249" s="466">
        <v>0</v>
      </c>
      <c r="E249" s="608"/>
      <c r="F249" s="608"/>
      <c r="G249" s="608"/>
      <c r="H249" s="608"/>
      <c r="I249" s="608"/>
      <c r="J249" s="608"/>
      <c r="K249" s="1683">
        <f t="shared" si="21"/>
        <v>0</v>
      </c>
      <c r="L249" s="466">
        <v>0</v>
      </c>
    </row>
    <row r="250" spans="1:12" x14ac:dyDescent="0.2">
      <c r="A250" s="1516" t="s">
        <v>1906</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17541</v>
      </c>
      <c r="E257" s="608"/>
      <c r="F257" s="608"/>
      <c r="G257" s="608"/>
      <c r="H257" s="608"/>
      <c r="I257" s="608"/>
      <c r="J257" s="608"/>
      <c r="K257" s="1681">
        <f>SUM(K245:K256)</f>
        <v>17541</v>
      </c>
      <c r="L257" s="1681">
        <f>SUM(L245:L256)</f>
        <v>18125</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41902</v>
      </c>
      <c r="E259" s="608"/>
      <c r="F259" s="608"/>
      <c r="G259" s="608"/>
      <c r="H259" s="608"/>
      <c r="I259" s="608"/>
      <c r="J259" s="608"/>
      <c r="K259" s="1683">
        <f>D259</f>
        <v>41902</v>
      </c>
      <c r="L259" s="466">
        <v>41929</v>
      </c>
    </row>
    <row r="260" spans="1:14" s="589" customFormat="1" x14ac:dyDescent="0.2">
      <c r="A260" s="1533" t="s">
        <v>1904</v>
      </c>
      <c r="B260" s="620">
        <v>2490</v>
      </c>
      <c r="C260" s="608"/>
      <c r="D260" s="466">
        <v>1998</v>
      </c>
      <c r="E260" s="608"/>
      <c r="F260" s="608"/>
      <c r="G260" s="608"/>
      <c r="H260" s="608"/>
      <c r="I260" s="608"/>
      <c r="J260" s="608"/>
      <c r="K260" s="1683">
        <f>D260</f>
        <v>1998</v>
      </c>
      <c r="L260" s="466">
        <v>2013</v>
      </c>
      <c r="M260" s="210"/>
      <c r="N260" s="210"/>
    </row>
    <row r="261" spans="1:14" ht="12.75" customHeight="1" thickBot="1" x14ac:dyDescent="0.25">
      <c r="A261" s="1703" t="s">
        <v>281</v>
      </c>
      <c r="B261" s="1708" t="s">
        <v>34</v>
      </c>
      <c r="C261" s="608"/>
      <c r="D261" s="1681">
        <f>SUM(D259:D260)</f>
        <v>43900</v>
      </c>
      <c r="E261" s="608"/>
      <c r="F261" s="608"/>
      <c r="G261" s="608"/>
      <c r="H261" s="608"/>
      <c r="I261" s="608"/>
      <c r="J261" s="608"/>
      <c r="K261" s="1681">
        <f>SUM(K259:K260)</f>
        <v>43900</v>
      </c>
      <c r="L261" s="1681">
        <f>SUM(L259:L260)</f>
        <v>43942</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1777</v>
      </c>
      <c r="E263" s="608"/>
      <c r="F263" s="608"/>
      <c r="G263" s="608"/>
      <c r="H263" s="608"/>
      <c r="I263" s="608"/>
      <c r="J263" s="608"/>
      <c r="K263" s="1683">
        <f>D263</f>
        <v>1777</v>
      </c>
      <c r="L263" s="466">
        <v>1988</v>
      </c>
    </row>
    <row r="264" spans="1:14" x14ac:dyDescent="0.2">
      <c r="A264" s="1515" t="s">
        <v>483</v>
      </c>
      <c r="B264" s="676">
        <v>2520</v>
      </c>
      <c r="C264" s="608"/>
      <c r="D264" s="466">
        <v>16854</v>
      </c>
      <c r="E264" s="608"/>
      <c r="F264" s="608"/>
      <c r="G264" s="608"/>
      <c r="H264" s="608"/>
      <c r="I264" s="608"/>
      <c r="J264" s="608"/>
      <c r="K264" s="1683">
        <f t="shared" ref="K264:K269" si="22">D264</f>
        <v>16854</v>
      </c>
      <c r="L264" s="466">
        <v>17145</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101306</v>
      </c>
      <c r="E266" s="608"/>
      <c r="F266" s="608"/>
      <c r="G266" s="608"/>
      <c r="H266" s="608"/>
      <c r="I266" s="608"/>
      <c r="J266" s="608"/>
      <c r="K266" s="1683">
        <f t="shared" si="22"/>
        <v>101306</v>
      </c>
      <c r="L266" s="466">
        <v>102042</v>
      </c>
    </row>
    <row r="267" spans="1:14" x14ac:dyDescent="0.2">
      <c r="A267" s="1515" t="s">
        <v>1010</v>
      </c>
      <c r="B267" s="606">
        <v>2550</v>
      </c>
      <c r="C267" s="608"/>
      <c r="D267" s="466">
        <v>52091</v>
      </c>
      <c r="E267" s="608"/>
      <c r="F267" s="608"/>
      <c r="G267" s="608"/>
      <c r="H267" s="608"/>
      <c r="I267" s="608"/>
      <c r="J267" s="608"/>
      <c r="K267" s="1683">
        <f t="shared" si="22"/>
        <v>52091</v>
      </c>
      <c r="L267" s="466">
        <v>51240</v>
      </c>
    </row>
    <row r="268" spans="1:14" x14ac:dyDescent="0.2">
      <c r="A268" s="1515" t="s">
        <v>102</v>
      </c>
      <c r="B268" s="606">
        <v>2560</v>
      </c>
      <c r="C268" s="608"/>
      <c r="D268" s="466">
        <v>0</v>
      </c>
      <c r="E268" s="608"/>
      <c r="F268" s="608"/>
      <c r="G268" s="608"/>
      <c r="H268" s="608"/>
      <c r="I268" s="608"/>
      <c r="J268" s="608"/>
      <c r="K268" s="1683">
        <f t="shared" si="22"/>
        <v>0</v>
      </c>
      <c r="L268" s="466">
        <v>0</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172028</v>
      </c>
      <c r="E270" s="608"/>
      <c r="F270" s="608"/>
      <c r="G270" s="608"/>
      <c r="H270" s="608"/>
      <c r="I270" s="608"/>
      <c r="J270" s="608"/>
      <c r="K270" s="1681">
        <f>SUM(K263:K269)</f>
        <v>172028</v>
      </c>
      <c r="L270" s="1681">
        <f>SUM(L263:L269)</f>
        <v>172415</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0</v>
      </c>
      <c r="E276" s="608"/>
      <c r="F276" s="608"/>
      <c r="G276" s="608"/>
      <c r="H276" s="608"/>
      <c r="I276" s="608"/>
      <c r="J276" s="608"/>
      <c r="K276" s="1683">
        <f>D276</f>
        <v>0</v>
      </c>
      <c r="L276" s="466">
        <v>0</v>
      </c>
    </row>
    <row r="277" spans="1:12" ht="12.75" customHeight="1" thickBot="1" x14ac:dyDescent="0.25">
      <c r="A277" s="1702" t="s">
        <v>37</v>
      </c>
      <c r="B277" s="1680" t="s">
        <v>36</v>
      </c>
      <c r="C277" s="608"/>
      <c r="D277" s="1681">
        <f>SUM(D272:D276)</f>
        <v>0</v>
      </c>
      <c r="E277" s="608"/>
      <c r="F277" s="608"/>
      <c r="G277" s="608"/>
      <c r="H277" s="608"/>
      <c r="I277" s="608"/>
      <c r="J277" s="608"/>
      <c r="K277" s="1681">
        <f>SUM(K272:K276)</f>
        <v>0</v>
      </c>
      <c r="L277" s="1681">
        <f>SUM(L272:L276)</f>
        <v>0</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331319</v>
      </c>
      <c r="E279" s="608"/>
      <c r="F279" s="608"/>
      <c r="G279" s="608"/>
      <c r="H279" s="608"/>
      <c r="I279" s="608"/>
      <c r="J279" s="608"/>
      <c r="K279" s="1688">
        <f>SUM(K238,K243,K257,K261,K270,K277,K278)</f>
        <v>331319</v>
      </c>
      <c r="L279" s="1688">
        <f>SUM(L238,L243,L257,L261,L270,L277,L278)</f>
        <v>328434</v>
      </c>
    </row>
    <row r="280" spans="1:12" ht="15.75" customHeight="1" thickTop="1" thickBot="1" x14ac:dyDescent="0.25">
      <c r="A280" s="1635" t="s">
        <v>930</v>
      </c>
      <c r="B280" s="1624">
        <v>3000</v>
      </c>
      <c r="C280" s="608"/>
      <c r="D280" s="570">
        <v>4758</v>
      </c>
      <c r="E280" s="608"/>
      <c r="F280" s="608"/>
      <c r="G280" s="608"/>
      <c r="H280" s="608"/>
      <c r="I280" s="608"/>
      <c r="J280" s="608"/>
      <c r="K280" s="1690">
        <f>D280</f>
        <v>4758</v>
      </c>
      <c r="L280" s="570">
        <v>4679</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1954</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371" t="s">
        <v>526</v>
      </c>
      <c r="B295" s="2372"/>
      <c r="C295" s="608"/>
      <c r="D295" s="1681">
        <f>SUM(D229,D279,D280,D285)</f>
        <v>504373</v>
      </c>
      <c r="E295" s="608"/>
      <c r="F295" s="608"/>
      <c r="G295" s="608"/>
      <c r="H295" s="1681">
        <f>H293</f>
        <v>0</v>
      </c>
      <c r="I295" s="608"/>
      <c r="J295" s="608"/>
      <c r="K295" s="1681">
        <f>SUM(K229,K279,K280,K285,K293,K294)</f>
        <v>504373</v>
      </c>
      <c r="L295" s="1681">
        <f>SUM(L229,L279,L280,L285,L293,L294)</f>
        <v>510168</v>
      </c>
    </row>
    <row r="296" spans="1:14" ht="13.5" thickTop="1" x14ac:dyDescent="0.2">
      <c r="A296" s="2380" t="s">
        <v>1053</v>
      </c>
      <c r="B296" s="2381"/>
      <c r="C296" s="608"/>
      <c r="D296" s="610"/>
      <c r="E296" s="608"/>
      <c r="F296" s="608"/>
      <c r="G296" s="608"/>
      <c r="H296" s="678"/>
      <c r="I296" s="608"/>
      <c r="J296" s="608"/>
      <c r="K296" s="1695">
        <f>'Revenues 9-14'!G275-'Expenditures 15-22'!K295</f>
        <v>13899</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363" t="s">
        <v>145</v>
      </c>
      <c r="B298" s="2357"/>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0</v>
      </c>
      <c r="F301" s="466">
        <v>0</v>
      </c>
      <c r="G301" s="466">
        <v>429450</v>
      </c>
      <c r="H301" s="466">
        <v>0</v>
      </c>
      <c r="I301" s="466">
        <v>30285</v>
      </c>
      <c r="J301" s="466">
        <v>0</v>
      </c>
      <c r="K301" s="1682">
        <f>SUM(C301:J301)</f>
        <v>459735</v>
      </c>
      <c r="L301" s="466">
        <v>430000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0</v>
      </c>
      <c r="F303" s="1688">
        <f t="shared" si="23"/>
        <v>0</v>
      </c>
      <c r="G303" s="1688">
        <f t="shared" si="23"/>
        <v>429450</v>
      </c>
      <c r="H303" s="1688">
        <f t="shared" si="23"/>
        <v>0</v>
      </c>
      <c r="I303" s="1688">
        <f t="shared" si="23"/>
        <v>30285</v>
      </c>
      <c r="J303" s="1688">
        <f t="shared" si="23"/>
        <v>0</v>
      </c>
      <c r="K303" s="1688">
        <f t="shared" si="23"/>
        <v>459735</v>
      </c>
      <c r="L303" s="1688">
        <f t="shared" si="23"/>
        <v>430000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1959</v>
      </c>
      <c r="B306" s="681" t="s">
        <v>1954</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368" t="s">
        <v>295</v>
      </c>
      <c r="B312" s="2369"/>
      <c r="C312" s="1681">
        <f>SUM(C303)</f>
        <v>0</v>
      </c>
      <c r="D312" s="1681">
        <f>SUM(D303)</f>
        <v>0</v>
      </c>
      <c r="E312" s="1681">
        <f>SUM(E303,E310)</f>
        <v>0</v>
      </c>
      <c r="F312" s="1681">
        <f>SUM(F303)</f>
        <v>0</v>
      </c>
      <c r="G312" s="1681">
        <f>SUM(G303)</f>
        <v>429450</v>
      </c>
      <c r="H312" s="1681">
        <f>SUM(H303,H310)</f>
        <v>0</v>
      </c>
      <c r="I312" s="1681">
        <f>SUM(I303)</f>
        <v>30285</v>
      </c>
      <c r="J312" s="1681">
        <f>SUM(J303)</f>
        <v>0</v>
      </c>
      <c r="K312" s="1681">
        <f>SUM(K303,K310,K311)</f>
        <v>459735</v>
      </c>
      <c r="L312" s="1681">
        <f>SUM(L303,L310,L311)</f>
        <v>430000</v>
      </c>
      <c r="M312" s="656"/>
      <c r="N312" s="656"/>
    </row>
    <row r="313" spans="1:14" ht="13.5" thickTop="1" x14ac:dyDescent="0.2">
      <c r="A313" s="2364" t="s">
        <v>1053</v>
      </c>
      <c r="B313" s="2365"/>
      <c r="C313" s="618"/>
      <c r="D313" s="618"/>
      <c r="E313" s="618"/>
      <c r="F313" s="618"/>
      <c r="G313" s="618"/>
      <c r="H313" s="618"/>
      <c r="I313" s="618"/>
      <c r="J313" s="618"/>
      <c r="K313" s="1696">
        <f>'Revenues 9-14'!H275-'Expenditures 15-22'!K312</f>
        <v>-458796</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77" t="s">
        <v>151</v>
      </c>
      <c r="B315" s="2378"/>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79" t="s">
        <v>954</v>
      </c>
      <c r="B317" s="2378"/>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1905</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56"/>
      <c r="N330" s="656"/>
    </row>
    <row r="331" spans="1:14" s="665" customFormat="1" ht="12.75" customHeight="1" thickTop="1" x14ac:dyDescent="0.2">
      <c r="A331" s="1843" t="s">
        <v>1960</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1954</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1956</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1961</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366" t="s">
        <v>1053</v>
      </c>
      <c r="B343" s="2367"/>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356" t="s">
        <v>1023</v>
      </c>
      <c r="B345" s="2357"/>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1962</v>
      </c>
      <c r="B354" s="674" t="s">
        <v>1954</v>
      </c>
      <c r="C354" s="608"/>
      <c r="D354" s="608"/>
      <c r="E354" s="608"/>
      <c r="F354" s="608"/>
      <c r="G354" s="608"/>
      <c r="H354" s="466">
        <v>0</v>
      </c>
      <c r="I354" s="692"/>
      <c r="J354" s="608"/>
      <c r="K354" s="1710">
        <f>H354</f>
        <v>0</v>
      </c>
      <c r="L354" s="466">
        <v>0</v>
      </c>
    </row>
    <row r="355" spans="1:14" ht="12.75" customHeight="1" x14ac:dyDescent="0.2">
      <c r="A355" s="1524" t="s">
        <v>1963</v>
      </c>
      <c r="B355" s="681" t="s">
        <v>1956</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380" t="s">
        <v>1053</v>
      </c>
      <c r="B368" s="2381"/>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22</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2018</vt:lpstr>
      <vt:lpstr>SF&amp;QC Sec-1</vt:lpstr>
      <vt:lpstr>SF&amp;QC Sec-2</vt:lpstr>
      <vt:lpstr>SF&amp;QC Sec-3</vt:lpstr>
      <vt:lpstr>SSPAF</vt:lpstr>
      <vt:lpstr>'SEFA 2018'!PRINT</vt:lpstr>
      <vt:lpstr>' SEFA'!Print_Area</vt:lpstr>
      <vt:lpstr>'SEFA 2018'!Print_Area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'SEFA 2018'!Print_Area_MI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lpstr>'SEFA 2018'!Print_Titles_MI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2018-11-27T17:01:20Z</cp:lastPrinted>
  <dcterms:created xsi:type="dcterms:W3CDTF">2003-10-29T19:06:34Z</dcterms:created>
  <dcterms:modified xsi:type="dcterms:W3CDTF">2018-12-11T21:52:24Z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Wood Dale School District No. 7</vt:lpwstr>
  </property>
  <property fmtid="{D5CDD505-2E9C-101B-9397-08002B2CF9AE}" pid="6" name="PPC_Template_Engagement_Date">
    <vt:lpwstr>6/30/2018</vt:lpwstr>
  </property>
</Properties>
</file>