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1)" sheetId="175" r:id="rId33"/>
    <sheet name="SF&amp;QC Sec-3 (2)"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J32" i="8" l="1"/>
  <c r="J36" i="8"/>
  <c r="J35" i="8"/>
  <c r="D35" i="171" l="1"/>
  <c r="K27" i="184"/>
  <c r="J27" i="184"/>
  <c r="I27" i="184"/>
  <c r="H27" i="184"/>
  <c r="G27" i="184"/>
  <c r="E27" i="184"/>
  <c r="K24" i="183"/>
  <c r="J24" i="183"/>
  <c r="I24" i="183"/>
  <c r="H24" i="183"/>
  <c r="G24" i="183"/>
  <c r="F24" i="183"/>
  <c r="E24" i="183"/>
  <c r="K18" i="183"/>
  <c r="J18" i="183"/>
  <c r="I18" i="183"/>
  <c r="H18" i="183"/>
  <c r="G18" i="183"/>
  <c r="E18" i="183"/>
  <c r="L25" i="179"/>
  <c r="L27" i="179"/>
  <c r="K25" i="184"/>
  <c r="J25" i="184"/>
  <c r="I25" i="184"/>
  <c r="H25" i="184"/>
  <c r="G25" i="184"/>
  <c r="L25" i="184" s="1"/>
  <c r="E25" i="184"/>
  <c r="K23" i="184"/>
  <c r="J23" i="184"/>
  <c r="I23" i="184"/>
  <c r="H23" i="184"/>
  <c r="G23" i="184"/>
  <c r="L23" i="184" s="1"/>
  <c r="F23" i="184"/>
  <c r="E23" i="184"/>
  <c r="K20" i="184"/>
  <c r="J20" i="184"/>
  <c r="I20" i="184"/>
  <c r="H20" i="184"/>
  <c r="G20" i="184"/>
  <c r="L20" i="184" s="1"/>
  <c r="F20" i="184"/>
  <c r="F25" i="184" s="1"/>
  <c r="E20" i="184"/>
  <c r="K17" i="183"/>
  <c r="J17" i="183"/>
  <c r="I17" i="183"/>
  <c r="H17" i="183"/>
  <c r="G17" i="183"/>
  <c r="F17" i="183"/>
  <c r="F18" i="183" s="1"/>
  <c r="E17" i="183"/>
  <c r="K23" i="179"/>
  <c r="J23" i="179"/>
  <c r="I23" i="179"/>
  <c r="H23" i="179"/>
  <c r="G23" i="179"/>
  <c r="F23" i="179"/>
  <c r="E23" i="179"/>
  <c r="K18" i="179"/>
  <c r="J18" i="179"/>
  <c r="I18" i="179"/>
  <c r="H18" i="179"/>
  <c r="G18" i="179"/>
  <c r="F18" i="179"/>
  <c r="E18" i="179"/>
  <c r="K15" i="179"/>
  <c r="J15" i="179"/>
  <c r="I15" i="179"/>
  <c r="H15" i="179"/>
  <c r="G15" i="179"/>
  <c r="F15" i="179"/>
  <c r="E15" i="179"/>
  <c r="L27" i="184"/>
  <c r="L26" i="184"/>
  <c r="L24" i="184"/>
  <c r="L22" i="184"/>
  <c r="L21" i="184"/>
  <c r="L19" i="184"/>
  <c r="L18" i="184"/>
  <c r="L17" i="184"/>
  <c r="L16" i="184"/>
  <c r="L15" i="184"/>
  <c r="L14" i="184"/>
  <c r="L13" i="184"/>
  <c r="L12" i="184"/>
  <c r="L11" i="184"/>
  <c r="B4" i="184"/>
  <c r="F27" i="184" l="1"/>
  <c r="L27" i="183" l="1"/>
  <c r="L26" i="183"/>
  <c r="L25" i="183"/>
  <c r="L24" i="183"/>
  <c r="L23" i="183"/>
  <c r="L22" i="183"/>
  <c r="L21" i="183"/>
  <c r="L20" i="183"/>
  <c r="L19" i="183"/>
  <c r="L18" i="183"/>
  <c r="L17" i="183"/>
  <c r="L16" i="183"/>
  <c r="L15" i="183"/>
  <c r="L14" i="183"/>
  <c r="L13" i="183"/>
  <c r="L12" i="183"/>
  <c r="L11" i="183"/>
  <c r="B4" i="183"/>
  <c r="E11" i="10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F74" i="34"/>
  <c r="F6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E28" i="181"/>
  <c r="F28" i="181" s="1"/>
  <c r="G28" i="181" s="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3" i="179" l="1"/>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F130" i="34" s="1"/>
  <c r="C216" i="5"/>
  <c r="B4411" i="106" s="1"/>
  <c r="D4411" i="106" s="1"/>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s="1"/>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c r="B5243" i="106"/>
  <c r="D5243" i="106" s="1"/>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G26" i="108"/>
  <c r="E27" i="108"/>
  <c r="G27" i="108"/>
  <c r="F36" i="108"/>
  <c r="G28" i="108"/>
  <c r="G29" i="108"/>
  <c r="E30"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D109" i="5" s="1"/>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c r="D5355" i="106" s="1"/>
  <c r="E108" i="5"/>
  <c r="B5526" i="106"/>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K13" i="4"/>
  <c r="B3572" i="106" s="1"/>
  <c r="D3572" i="106" s="1"/>
  <c r="F14" i="4"/>
  <c r="B2597" i="106" s="1"/>
  <c r="D2597" i="106" s="1"/>
  <c r="B2633" i="106"/>
  <c r="D2633" i="106" s="1"/>
  <c r="D7" i="118"/>
  <c r="D8" i="118"/>
  <c r="D9" i="118"/>
  <c r="H14" i="118"/>
  <c r="H19" i="118"/>
  <c r="H24" i="118"/>
  <c r="H28" i="118"/>
  <c r="H29" i="118"/>
  <c r="K28" i="118" s="1"/>
  <c r="O27" i="118" s="1"/>
  <c r="O29" i="118" s="1"/>
  <c r="D11" i="37"/>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6" i="34"/>
  <c r="F128" i="34"/>
  <c r="F127" i="34"/>
  <c r="F111" i="34"/>
  <c r="B5847" i="106"/>
  <c r="D5847" i="106" s="1"/>
  <c r="B5752" i="106"/>
  <c r="D5752" i="106" s="1"/>
  <c r="B5599" i="106"/>
  <c r="D5599" i="106" s="1"/>
  <c r="K274" i="5"/>
  <c r="H173" i="5"/>
  <c r="B5906" i="106" s="1"/>
  <c r="D5906" i="106" s="1"/>
  <c r="H109" i="5"/>
  <c r="B6025" i="106" s="1"/>
  <c r="D6025"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D54" i="36" l="1"/>
  <c r="L15" i="11"/>
  <c r="B3459" i="106" s="1"/>
  <c r="D3459" i="106" s="1"/>
  <c r="L5" i="11"/>
  <c r="B2056" i="106" s="1"/>
  <c r="D2056" i="106" s="1"/>
  <c r="N22" i="3"/>
  <c r="B283" i="106" s="1"/>
  <c r="D283" i="106" s="1"/>
  <c r="D69" i="36"/>
  <c r="F19" i="7"/>
  <c r="B1807" i="106" s="1"/>
  <c r="D1807" i="106" s="1"/>
  <c r="B6995" i="106"/>
  <c r="D6995" i="106" s="1"/>
  <c r="G39" i="108"/>
  <c r="F37" i="108"/>
  <c r="D37" i="108"/>
  <c r="G30" i="108"/>
  <c r="D27" i="108"/>
  <c r="D26" i="108"/>
  <c r="B1126" i="106"/>
  <c r="D1126" i="106" s="1"/>
  <c r="F26" i="108"/>
  <c r="B2724" i="106"/>
  <c r="D2724" i="106" s="1"/>
  <c r="F38" i="34"/>
  <c r="D14" i="4"/>
  <c r="B2570" i="106" s="1"/>
  <c r="D2570" i="106" s="1"/>
  <c r="F56" i="34"/>
  <c r="B2805" i="106"/>
  <c r="D2805" i="106" s="1"/>
  <c r="F28" i="108"/>
  <c r="E28" i="108"/>
  <c r="E26" i="108"/>
  <c r="C129" i="29"/>
  <c r="B1225" i="106" s="1"/>
  <c r="D1225" i="106" s="1"/>
  <c r="B1274" i="106"/>
  <c r="D1274" i="106" s="1"/>
  <c r="B1329" i="106"/>
  <c r="D1329" i="106" s="1"/>
  <c r="F61" i="34"/>
  <c r="G38" i="108"/>
  <c r="E38" i="108"/>
  <c r="E29" i="108"/>
  <c r="G210" i="29"/>
  <c r="K184" i="29"/>
  <c r="F13" i="4" s="1"/>
  <c r="B2596" i="106" s="1"/>
  <c r="D2596" i="106" s="1"/>
  <c r="F72" i="34"/>
  <c r="B1410" i="106"/>
  <c r="D1410" i="106" s="1"/>
  <c r="C342" i="29"/>
  <c r="B7216" i="106" s="1"/>
  <c r="D7216" i="106" s="1"/>
  <c r="G109" i="5"/>
  <c r="B6024" i="106" s="1"/>
  <c r="D6024" i="106" s="1"/>
  <c r="B5356" i="106"/>
  <c r="D5356" i="106" s="1"/>
  <c r="D4" i="4"/>
  <c r="B2564" i="106" s="1"/>
  <c r="D2564" i="106" s="1"/>
  <c r="C172" i="5"/>
  <c r="C109" i="5"/>
  <c r="B5121" i="106" s="1"/>
  <c r="D5121" i="106" s="1"/>
  <c r="D52" i="36"/>
  <c r="H33" i="118"/>
  <c r="F131" i="34"/>
  <c r="L367" i="29"/>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L16" i="11" l="1"/>
  <c r="B2061" i="106" s="1"/>
  <c r="D2061" i="106" s="1"/>
  <c r="D19" i="7"/>
  <c r="B1775" i="106" s="1"/>
  <c r="D1775" i="106" s="1"/>
  <c r="F41" i="108"/>
  <c r="G43" i="108" s="1"/>
  <c r="C114" i="29"/>
  <c r="B757" i="106" s="1"/>
  <c r="D757" i="106" s="1"/>
  <c r="C151" i="29"/>
  <c r="B1226" i="106" s="1"/>
  <c r="D1226" i="106" s="1"/>
  <c r="B1317" i="106"/>
  <c r="D1317" i="106" s="1"/>
  <c r="B1365" i="106"/>
  <c r="D1365" i="106" s="1"/>
  <c r="F65" i="34"/>
  <c r="K342" i="29"/>
  <c r="F13" i="34" s="1"/>
  <c r="F275" i="5"/>
  <c r="G4" i="4"/>
  <c r="B2603" i="106" s="1"/>
  <c r="D2603" i="106" s="1"/>
  <c r="B5214" i="106"/>
  <c r="D5214" i="106" s="1"/>
  <c r="C173" i="5"/>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G44" i="108" s="1"/>
  <c r="G45" i="108" s="1"/>
  <c r="E41" i="108"/>
  <c r="E44" i="108" s="1"/>
  <c r="E45" i="108" s="1"/>
  <c r="J17" i="4"/>
  <c r="J8" i="4"/>
  <c r="J20" i="4" s="1"/>
  <c r="F8" i="4"/>
  <c r="D8" i="14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10" i="4" l="1"/>
  <c r="B6225" i="106" s="1"/>
  <c r="D6225"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<sst xmlns="http://schemas.openxmlformats.org/spreadsheetml/2006/main" count="5379" uniqueCount="2220">
  <si>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</si>
  <si>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</si>
  <si>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</si>
  <si>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</si>
  <si>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</si>
  <si>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</si>
  <si>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</si>
  <si>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</si>
  <si>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</si>
  <si>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</si>
  <si>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</si>
  <si>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</si>
  <si>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</si>
  <si>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</si>
  <si>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</si>
  <si>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</si>
  <si>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</si>
  <si>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</si>
  <si>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</si>
  <si>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</si>
  <si>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</si>
  <si>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</si>
  <si>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</si>
  <si>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</si>
  <si>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</si>
  <si>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</si>
  <si>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</si>
  <si>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</si>
  <si>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</si>
  <si>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</si>
  <si>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</si>
  <si>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</si>
  <si>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</si>
  <si>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</si>
  <si>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</si>
  <si>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</si>
  <si>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</si>
  <si>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</si>
  <si>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</si>
  <si>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</si>
  <si>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</si>
  <si>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</si>
  <si>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</si>
  <si>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</si>
  <si>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</si>
  <si>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</si>
  <si>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</si>
  <si>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</si>
  <si>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</si>
  <si>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</si>
  <si>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</si>
  <si>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</si>
  <si>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</si>
  <si>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</si>
  <si>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</si>
  <si>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</si>
  <si>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</si>
  <si>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</si>
  <si>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</si>
  <si>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</si>
  <si>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</si>
  <si>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</si>
  <si>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</si>
  <si>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</si>
  <si>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</si>
  <si>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</si>
  <si>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</si>
  <si>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</si>
  <si>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</si>
  <si>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</si>
  <si>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</si>
  <si>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</si>
  <si>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</si>
  <si>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</si>
  <si>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</si>
  <si>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</si>
  <si>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</si>
  <si>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</si>
  <si>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</si>
  <si>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</si>
  <si>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</si>
  <si>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</si>
  <si>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</si>
  <si>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</si>
  <si>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</si>
  <si>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</si>
  <si>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</si>
  <si>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</si>
  <si>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</si>
  <si>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</si>
  <si>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</si>
  <si>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</si>
  <si>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</si>
  <si>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</si>
  <si>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</si>
  <si>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</si>
  <si>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</si>
  <si>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</si>
  <si>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</si>
  <si>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</si>
  <si>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</si>
  <si>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</si>
  <si>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</si>
  <si>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</si>
  <si>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</si>
  <si>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</si>
  <si>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</si>
  <si>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</si>
  <si>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</si>
  <si>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</si>
  <si>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</si>
  <si>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</si>
  <si>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</si>
  <si>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</si>
  <si>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</si>
  <si>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</si>
  <si>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</si>
  <si>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</si>
  <si>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</si>
  <si>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</si>
  <si>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</si>
  <si>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</si>
  <si>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</si>
  <si>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</si>
  <si>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</si>
  <si>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</si>
  <si>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</si>
  <si>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</si>
  <si>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</si>
  <si>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</si>
  <si>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</si>
  <si>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</si>
  <si>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</si>
  <si>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</si>
  <si>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</si>
  <si>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</si>
  <si>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</si>
  <si>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</si>
  <si>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</si>
  <si>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</si>
  <si>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</si>
  <si>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</si>
  <si>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</si>
  <si>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</si>
  <si>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</si>
  <si>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</si>
  <si>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</si>
  <si>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</si>
  <si>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</si>
  <si>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</si>
  <si>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</si>
  <si>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</si>
  <si>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</si>
  <si>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</si>
  <si>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</si>
  <si>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</si>
  <si>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</si>
  <si>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</si>
  <si>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</si>
  <si>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</si>
  <si>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</si>
  <si>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</si>
  <si>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</si>
  <si>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</si>
  <si>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</si>
  <si>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</si>
  <si>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</si>
  <si>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</si>
  <si>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</si>
  <si>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</si>
  <si>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</si>
  <si>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</si>
  <si>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</si>
  <si>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</si>
  <si>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</si>
  <si>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</si>
  <si>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</si>
  <si>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</si>
  <si>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</si>
  <si>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</si>
  <si>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</si>
  <si>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</si>
  <si>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</si>
  <si>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</si>
  <si>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</si>
  <si>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</si>
  <si>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</si>
  <si>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</si>
  <si>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</si>
  <si>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</si>
  <si>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</si>
  <si>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</si>
  <si>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</si>
  <si>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</si>
  <si>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</si>
  <si>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</si>
  <si>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</si>
  <si>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</si>
  <si>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</si>
  <si>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</si>
  <si>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</si>
  <si>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</si>
  <si>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</si>
  <si>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</si>
  <si>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</si>
  <si>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</si>
  <si>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</si>
  <si>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</si>
  <si>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</si>
  <si>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</si>
  <si>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</si>
  <si>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</si>
  <si>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</si>
  <si>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</si>
  <si>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</si>
  <si>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</si>
  <si>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</si>
  <si>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</si>
  <si>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</si>
  <si>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</si>
  <si>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</si>
  <si>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</si>
  <si>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</si>
  <si>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</si>
  <si>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</si>
  <si>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</si>
  <si>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</si>
  <si>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</si>
  <si>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</si>
  <si>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</si>
  <si>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</si>
  <si>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</si>
  <si>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</si>
  <si>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</si>
  <si>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</si>
  <si>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</si>
  <si>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</si>
  <si>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</si>
  <si>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</si>
  <si>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</si>
  <si>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</si>
  <si>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</si>
  <si>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</si>
  <si>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</si>
  <si>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</si>
  <si>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</si>
  <si>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</si>
  <si>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</si>
  <si>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</si>
  <si>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</si>
  <si>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</si>
  <si>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</si>
  <si>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</si>
  <si>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</si>
  <si>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</si>
  <si>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</si>
  <si>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</si>
  <si>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</si>
  <si>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</si>
  <si>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</si>
  <si>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</si>
  <si>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</si>
  <si>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</si>
  <si>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</si>
  <si>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</si>
  <si>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</si>
  <si>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</si>
  <si>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</si>
  <si>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</si>
  <si>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</si>
  <si>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</si>
  <si>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</si>
  <si>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</si>
  <si>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</si>
  <si>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</si>
  <si>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</si>
  <si>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</si>
  <si>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</si>
  <si>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</si>
  <si>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</si>
  <si>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</si>
  <si>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</si>
  <si>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</si>
  <si>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</si>
  <si>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</si>
  <si>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</si>
  <si>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</si>
  <si>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</si>
  <si>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</si>
  <si>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</si>
  <si>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</si>
  <si>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</si>
  <si>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</si>
  <si>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</si>
  <si>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</si>
  <si>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</si>
  <si>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</si>
  <si>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</si>
  <si>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</si>
  <si>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</si>
  <si>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</si>
  <si>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</si>
  <si>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</si>
  <si>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</si>
  <si>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</si>
  <si>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</si>
  <si>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</si>
  <si>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</si>
  <si>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</si>
  <si>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</si>
  <si>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</si>
  <si>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</si>
  <si>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</si>
  <si>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</si>
  <si>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</si>
  <si>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</si>
  <si>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</si>
  <si>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</si>
  <si>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</si>
  <si>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</si>
  <si>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</si>
  <si>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</si>
  <si>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</si>
  <si>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</si>
  <si>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</si>
  <si>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</si>
  <si>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</si>
  <si>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</si>
  <si>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</si>
  <si>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</si>
  <si>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</si>
  <si>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</si>
  <si>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</si>
  <si>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</si>
  <si>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</si>
  <si>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</si>
  <si>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</si>
  <si>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</si>
  <si>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</si>
  <si>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</si>
  <si>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</si>
  <si>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</si>
  <si>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</si>
  <si>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</si>
  <si>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</si>
  <si>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</si>
  <si>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</si>
  <si>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</si>
  <si>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</si>
  <si>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</si>
  <si>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</si>
  <si>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</si>
  <si>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</si>
  <si>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</si>
  <si>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</si>
  <si>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</si>
  <si>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</si>
  <si>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</si>
  <si>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</si>
  <si>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</si>
  <si>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</si>
  <si>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</si>
  <si>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</si>
  <si>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</si>
  <si>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</si>
  <si>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</si>
  <si>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</si>
  <si>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</si>
  <si>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</si>
  <si>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</si>
  <si>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</si>
  <si>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</si>
  <si>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</si>
  <si>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</si>
  <si>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</si>
  <si>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</si>
  <si>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</si>
  <si>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</si>
  <si>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</si>
  <si>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</si>
  <si>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</si>
  <si>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</si>
  <si>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</si>
  <si>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</si>
  <si>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</si>
  <si>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</si>
  <si>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</si>
  <si>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</si>
  <si>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</si>
  <si>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</si>
  <si>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</si>
  <si>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</si>
  <si>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</si>
  <si>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</si>
  <si>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</si>
  <si>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</si>
  <si>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</si>
  <si>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</si>
  <si>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</si>
  <si>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</si>
  <si>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</si>
  <si>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</si>
  <si>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</si>
  <si>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</si>
  <si>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</si>
  <si>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</si>
  <si>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</si>
  <si>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</si>
  <si>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</si>
  <si>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</si>
  <si>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</si>
  <si>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</si>
  <si>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</si>
  <si>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</si>
  <si>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</si>
  <si>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</si>
  <si>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</si>
  <si>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</si>
  <si>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</si>
  <si>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</si>
  <si>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</si>
  <si>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</si>
  <si>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</si>
  <si>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</si>
  <si>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</si>
  <si>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</si>
  <si>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</si>
  <si>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</si>
  <si>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</si>
  <si>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</si>
  <si>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</si>
  <si>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</si>
  <si>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</si>
  <si>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</si>
  <si>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</si>
  <si>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</si>
  <si>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</si>
  <si>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</si>
  <si>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</si>
  <si>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</si>
  <si>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</si>
  <si>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</si>
  <si>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</si>
  <si>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</si>
  <si>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</si>
  <si>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</si>
  <si>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</si>
  <si>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</si>
  <si>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</si>
  <si>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</si>
  <si>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</si>
  <si>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</si>
  <si>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</si>
  <si>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</si>
  <si>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</si>
  <si>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</si>
  <si>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</si>
  <si>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</si>
  <si>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</si>
  <si>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</si>
  <si>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</si>
  <si>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</si>
  <si>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</si>
  <si>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</si>
  <si>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</si>
  <si>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</si>
  <si>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</si>
  <si>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</si>
  <si>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</si>
  <si>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</si>
  <si>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</si>
  <si>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</si>
  <si>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</si>
  <si>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</si>
  <si>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</si>
  <si>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</si>
  <si>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</si>
  <si>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</si>
  <si>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</si>
  <si>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</si>
  <si>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</si>
  <si>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</si>
  <si>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</si>
  <si>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</si>
  <si>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</si>
  <si>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</si>
  <si>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</si>
  <si>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</si>
  <si>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</si>
  <si>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</si>
  <si>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</si>
  <si>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</si>
  <si>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</si>
  <si>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</si>
  <si>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</si>
  <si>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</si>
  <si>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</si>
  <si>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</si>
  <si>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</si>
  <si>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</si>
  <si>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</si>
  <si>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</si>
  <si>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</si>
  <si>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</si>
  <si>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</si>
  <si>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</si>
  <si>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</si>
  <si>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</si>
  <si>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</si>
  <si>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</si>
  <si>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</si>
  <si>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</si>
  <si>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</si>
  <si>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</si>
  <si>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</si>
  <si>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</si>
  <si>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</si>
  <si>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</si>
  <si>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</si>
  <si>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</si>
  <si>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</si>
  <si>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</si>
  <si>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</si>
  <si>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</si>
  <si>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</si>
  <si>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</si>
  <si>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</si>
  <si>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</si>
  <si>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</si>
  <si>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</si>
  <si>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</si>
  <si>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</si>
  <si>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</si>
  <si>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</si>
  <si>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</si>
  <si>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</si>
  <si>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</si>
  <si>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</si>
  <si>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</si>
  <si>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</si>
  <si>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</si>
  <si>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</si>
  <si>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</si>
  <si>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</si>
  <si>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</si>
  <si>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</si>
  <si>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</si>
  <si>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</si>
  <si>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</si>
  <si>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</si>
  <si>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</si>
  <si>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</si>
  <si>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</si>
  <si>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</si>
  <si>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</si>
  <si>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</si>
  <si>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</si>
  <si>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</si>
  <si>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</si>
  <si>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</si>
  <si>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</si>
  <si>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</si>
  <si>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</si>
  <si>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</si>
  <si>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</si>
  <si>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</si>
  <si>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</si>
  <si>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</si>
  <si>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</si>
  <si>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</si>
  <si>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</si>
  <si>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</si>
  <si>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</si>
  <si>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</si>
  <si>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</si>
  <si>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</si>
  <si>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</si>
  <si>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</si>
  <si>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</si>
  <si>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</si>
  <si>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</si>
  <si>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</si>
  <si>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</si>
  <si>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</si>
  <si>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</si>
  <si>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</si>
  <si>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</si>
  <si>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</si>
  <si>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</si>
  <si>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</si>
  <si>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</si>
  <si>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</si>
  <si>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</si>
  <si>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</si>
  <si>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</si>
  <si>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</si>
  <si>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</si>
  <si>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</si>
  <si>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</si>
  <si>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</si>
  <si>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</si>
  <si>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</si>
  <si>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</si>
  <si>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</si>
  <si>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</si>
  <si>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</si>
  <si>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</si>
  <si>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</si>
  <si>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</si>
  <si>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</si>
  <si>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</si>
  <si>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</si>
  <si>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</si>
  <si>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</si>
  <si>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</si>
  <si>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</si>
  <si>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</si>
  <si>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</si>
  <si>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</si>
  <si>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</si>
  <si>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</si>
  <si>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</si>
  <si>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</si>
  <si>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</si>
  <si>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</si>
  <si>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</si>
  <si>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</si>
  <si>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</si>
  <si>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</si>
  <si>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</si>
  <si>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</si>
  <si>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</si>
  <si>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</si>
  <si>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</si>
  <si>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</si>
  <si>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</si>
  <si>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</si>
  <si>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</si>
  <si>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</si>
  <si>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</si>
  <si>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</si>
  <si>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</si>
  <si>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</si>
  <si>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</si>
  <si>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</si>
  <si>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</si>
  <si>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</si>
  <si>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</si>
  <si>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</si>
  <si>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</si>
  <si>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</si>
  <si>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</si>
  <si>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</si>
  <si>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</si>
  <si>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</si>
  <si>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</si>
  <si>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</si>
  <si>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</si>
  <si>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</si>
  <si>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</si>
  <si>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</si>
  <si>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</si>
  <si>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</si>
  <si>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</si>
  <si>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</si>
  <si>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</si>
  <si>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</si>
  <si>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</si>
  <si>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</si>
  <si>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</si>
  <si>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</si>
  <si>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</si>
  <si>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</si>
  <si>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</si>
  <si>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</si>
  <si>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</si>
  <si>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</si>
  <si>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</si>
  <si>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</si>
  <si>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</si>
  <si>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</si>
  <si>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</si>
  <si>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</si>
  <si>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</si>
  <si>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</si>
  <si>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</si>
  <si>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</si>
  <si>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</si>
  <si>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</si>
  <si>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</si>
  <si>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</si>
  <si>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</si>
  <si>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</si>
  <si>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</si>
  <si>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</si>
  <si>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</si>
  <si>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</si>
  <si>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</si>
  <si>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</si>
  <si>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</si>
  <si>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</si>
  <si>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</si>
  <si>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</si>
  <si>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</si>
  <si>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</si>
  <si>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</si>
  <si>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</si>
  <si>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</si>
  <si>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</si>
  <si>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</si>
  <si>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</si>
  <si>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</si>
  <si>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</si>
  <si>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</si>
  <si>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</si>
  <si>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</si>
  <si>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</si>
  <si>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</si>
  <si>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</si>
  <si>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</si>
  <si>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</si>
  <si>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</si>
  <si>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</si>
  <si>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</si>
  <si>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</si>
  <si>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</si>
  <si>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</si>
  <si>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</si>
  <si>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</si>
  <si>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</si>
  <si>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</si>
  <si>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</si>
  <si>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</si>
  <si>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</si>
  <si>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</si>
  <si>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</si>
  <si>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</si>
  <si>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</si>
  <si>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</si>
  <si>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</si>
  <si>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</si>
  <si>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</si>
  <si>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</si>
  <si>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</si>
  <si>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</si>
  <si>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</si>
  <si>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</si>
  <si>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</si>
  <si>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</si>
  <si>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</si>
  <si>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</si>
  <si>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</si>
  <si>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</si>
  <si>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</si>
  <si>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</si>
  <si>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</si>
  <si>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</si>
  <si>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</si>
  <si>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</si>
  <si>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</si>
  <si>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</si>
  <si>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</si>
  <si>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</si>
  <si>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</si>
  <si>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</si>
  <si>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</si>
  <si>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</si>
  <si>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</si>
  <si>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</si>
  <si>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</si>
  <si>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</si>
  <si>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</si>
  <si>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</si>
  <si>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</si>
  <si>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</si>
  <si>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</si>
  <si>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</si>
  <si>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</si>
  <si>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</si>
  <si>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</si>
  <si>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</si>
  <si>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</si>
  <si>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</si>
  <si>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</si>
  <si>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</si>
  <si>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</si>
  <si>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</si>
  <si>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</si>
  <si>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</si>
  <si>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</si>
  <si>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</si>
  <si>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</si>
  <si>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</si>
  <si>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</si>
  <si>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</si>
  <si>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</si>
  <si>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</si>
  <si>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</si>
  <si>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</si>
  <si>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</si>
  <si>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</si>
  <si>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</si>
  <si>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</si>
  <si>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</si>
  <si>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</si>
  <si>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</si>
  <si>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</si>
  <si>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</si>
  <si>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</si>
  <si>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</si>
  <si>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</si>
  <si>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</si>
  <si>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</si>
  <si>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</si>
  <si>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</si>
  <si>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</si>
  <si>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</si>
  <si>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</si>
  <si>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</si>
  <si>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</si>
  <si>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</si>
  <si>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</si>
  <si>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</si>
  <si>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</si>
  <si>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</si>
  <si>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</si>
  <si>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</si>
  <si>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</si>
  <si>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</si>
  <si>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</si>
  <si>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</si>
  <si>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</si>
  <si>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</si>
  <si>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</si>
  <si>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</si>
  <si>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</si>
  <si>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</si>
  <si>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</si>
  <si>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</si>
  <si>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</si>
  <si>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</si>
  <si>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</si>
  <si>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</si>
  <si>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</si>
  <si>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</si>
  <si>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</si>
  <si>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</si>
  <si>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</si>
  <si>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</si>
  <si>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</si>
  <si>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</si>
  <si>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</si>
  <si>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</si>
  <si>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</si>
  <si>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</si>
  <si>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</si>
  <si>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</si>
  <si>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</si>
  <si>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</si>
  <si>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</si>
  <si>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</si>
  <si>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</si>
  <si>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</si>
  <si>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</si>
  <si>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</si>
  <si>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</si>
  <si>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</si>
  <si>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</si>
  <si>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</si>
  <si>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</si>
  <si>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</si>
  <si>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</si>
  <si>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</si>
  <si>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</si>
  <si>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</si>
  <si>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</si>
  <si>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</si>
  <si>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</si>
  <si>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</si>
  <si>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</si>
  <si>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</si>
  <si>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</si>
  <si>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</si>
  <si>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</si>
  <si>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</si>
  <si>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</si>
  <si>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</si>
  <si>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</si>
  <si>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</si>
  <si>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</si>
  <si>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</si>
  <si>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</si>
  <si>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</si>
  <si>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</si>
  <si>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</si>
  <si>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</si>
  <si>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</si>
  <si>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</si>
  <si>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</si>
  <si>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</si>
  <si>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</si>
  <si>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</si>
  <si>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</si>
  <si>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</si>
  <si>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</si>
  <si>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</si>
  <si>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</si>
  <si>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</si>
  <si>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</si>
  <si>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</si>
  <si>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</si>
  <si>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</si>
  <si>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</si>
  <si>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</si>
  <si>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</si>
  <si>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</si>
  <si>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</si>
  <si>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</si>
  <si>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</si>
  <si>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</si>
  <si>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</si>
  <si>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</si>
  <si>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</si>
  <si>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</si>
  <si>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</si>
  <si>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</si>
  <si>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</si>
  <si>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</si>
  <si>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</si>
  <si>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</si>
  <si>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</si>
  <si>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</si>
  <si>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</si>
  <si>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</si>
  <si>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</si>
  <si>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</si>
  <si>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</si>
  <si>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</si>
  <si>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</si>
  <si>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</si>
  <si>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</si>
  <si>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</si>
  <si>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</si>
  <si>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</si>
  <si>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</si>
  <si>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</si>
  <si>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</si>
  <si>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</si>
  <si>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</si>
  <si>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</si>
  <si>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</si>
  <si>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</si>
  <si>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</si>
  <si>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</si>
  <si>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</si>
  <si>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</si>
  <si>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</si>
  <si>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</si>
  <si>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</si>
  <si>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</si>
  <si>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</si>
  <si>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</si>
  <si>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</si>
  <si>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</si>
  <si>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</si>
  <si>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</si>
  <si>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</si>
  <si>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</si>
  <si>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</si>
  <si>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</si>
  <si>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</si>
  <si>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</si>
  <si>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</si>
  <si>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</si>
  <si>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</si>
  <si>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</si>
  <si>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</si>
  <si>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</si>
  <si>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</si>
  <si>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</si>
  <si>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</si>
  <si>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</si>
  <si>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</si>
  <si>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</si>
  <si>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</si>
  <si>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</si>
  <si>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</si>
  <si>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</si>
  <si>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</si>
  <si>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</si>
  <si>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</si>
  <si>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</si>
  <si>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</si>
  <si>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</si>
  <si>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</si>
  <si>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</si>
  <si>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</si>
  <si>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</si>
  <si>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</si>
  <si>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</si>
  <si>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</si>
  <si>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</si>
  <si>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</si>
  <si>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</si>
  <si>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</si>
  <si>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</si>
  <si>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</si>
  <si>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</si>
  <si>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</si>
  <si>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</si>
  <si>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</si>
  <si>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</si>
  <si>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</si>
  <si>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</si>
  <si>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</si>
  <si>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</si>
  <si>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</si>
  <si>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</si>
  <si>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</si>
  <si>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</si>
  <si>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</si>
  <si>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</si>
  <si>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</si>
  <si>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</si>
  <si>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</si>
  <si>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</si>
  <si>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</si>
  <si>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</si>
  <si>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</si>
  <si>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</si>
  <si>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</si>
  <si>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</si>
  <si>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</si>
  <si>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</si>
  <si>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</si>
  <si>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</si>
  <si>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</si>
  <si>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</si>
  <si>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</si>
  <si>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</si>
  <si>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</si>
  <si>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</si>
  <si>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</si>
  <si>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</si>
  <si>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</si>
  <si>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</si>
  <si>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</si>
  <si>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</si>
  <si>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</si>
  <si>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</si>
  <si>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</si>
  <si>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</si>
  <si>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</si>
  <si>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</si>
  <si>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</si>
  <si>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</si>
  <si>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</si>
  <si>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</si>
  <si>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</si>
  <si>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</si>
  <si>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</si>
  <si>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</si>
  <si>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</si>
  <si>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</si>
  <si>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</si>
  <si>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</si>
  <si>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</si>
  <si>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</si>
  <si>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</si>
  <si>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</si>
  <si>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</si>
  <si>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</si>
  <si>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</si>
  <si>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</si>
  <si>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</si>
  <si>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</si>
  <si>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</si>
  <si>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</si>
  <si>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</si>
  <si>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</si>
  <si>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</si>
  <si>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</si>
  <si>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</si>
  <si>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</si>
  <si>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</si>
  <si>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</si>
  <si>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</si>
  <si>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</si>
  <si>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</si>
  <si>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</si>
  <si>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</si>
  <si>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</si>
  <si>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</si>
  <si>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</si>
  <si>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</si>
  <si>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</si>
  <si>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</si>
  <si>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</si>
  <si>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</si>
  <si>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</si>
  <si>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</si>
  <si>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</si>
  <si>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</si>
  <si>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</si>
  <si>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</si>
  <si>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</si>
  <si>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</si>
  <si>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</si>
  <si>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</si>
  <si>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</si>
  <si>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</si>
  <si>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</si>
  <si>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</si>
  <si>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</si>
  <si>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</si>
  <si>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</si>
  <si>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</si>
  <si>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</si>
  <si>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</si>
  <si>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</si>
  <si>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</si>
  <si>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</si>
  <si>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</si>
  <si>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</si>
  <si>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</si>
  <si>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</si>
  <si>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</si>
  <si>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</si>
  <si>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</si>
  <si>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</si>
  <si>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</si>
  <si>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</si>
  <si>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</si>
  <si>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</si>
  <si>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</si>
  <si>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</si>
  <si>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</si>
  <si>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</si>
  <si>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</si>
  <si>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</si>
  <si>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</si>
  <si>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</si>
  <si>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</si>
  <si>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</si>
  <si>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</si>
  <si>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</si>
  <si>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</si>
  <si>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</si>
  <si>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</si>
  <si>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</si>
  <si>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</si>
  <si>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</si>
  <si>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</si>
  <si>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</si>
  <si>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</si>
  <si>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</si>
  <si>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</si>
  <si>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</si>
  <si>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</si>
  <si>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</si>
  <si>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</si>
  <si>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</si>
  <si>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</si>
  <si>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</si>
  <si>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</si>
  <si>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</si>
  <si>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</si>
  <si>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</si>
  <si>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</si>
  <si>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</si>
  <si>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</si>
  <si>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</si>
  <si>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</si>
  <si>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</si>
  <si>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</si>
  <si>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</si>
  <si>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</si>
  <si>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</si>
  <si>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</si>
  <si>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</si>
  <si>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</si>
  <si>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</si>
  <si>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</si>
  <si>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</si>
  <si>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</si>
  <si>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</si>
  <si>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</si>
  <si>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</si>
  <si>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</si>
  <si>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</si>
  <si>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</si>
  <si>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</si>
  <si>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</si>
  <si>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</si>
  <si>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</si>
  <si>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</si>
  <si>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</si>
  <si>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</si>
  <si>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</si>
  <si>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</si>
  <si>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</si>
  <si>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</si>
  <si>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</si>
  <si>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</si>
  <si>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</si>
  <si>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</si>
  <si>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</si>
  <si>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</si>
  <si>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</si>
  <si>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</si>
  <si>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</si>
  <si>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</si>
  <si>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</si>
  <si>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</si>
  <si>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</si>
  <si>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</si>
  <si>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</si>
  <si>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</si>
  <si>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</si>
  <si>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</si>
  <si>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</si>
  <si>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</si>
  <si>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</si>
  <si>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</si>
  <si>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</si>
  <si>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</si>
  <si>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</si>
  <si>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</si>
  <si>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</si>
  <si>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</si>
  <si>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</si>
  <si>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</si>
  <si>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</si>
  <si>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</si>
  <si>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</si>
  <si>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</si>
  <si>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</si>
  <si>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</si>
  <si>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</si>
  <si>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</si>
  <si>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</si>
  <si>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</si>
  <si>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</si>
  <si>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</si>
  <si>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</si>
  <si>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</si>
  <si>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</si>
  <si>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</si>
  <si>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</si>
  <si>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</si>
  <si>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</si>
  <si>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</si>
  <si>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</si>
  <si>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</si>
  <si>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</si>
  <si>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</si>
  <si>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</si>
  <si>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</si>
  <si>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</si>
  <si>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</si>
  <si>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</si>
  <si>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</si>
  <si>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</si>
  <si>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</si>
  <si>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</si>
  <si>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</si>
  <si>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</si>
  <si>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</si>
  <si>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</si>
  <si>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</si>
  <si>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</si>
  <si>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</si>
  <si>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</si>
  <si>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</si>
  <si>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</si>
  <si>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</si>
  <si>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</si>
  <si>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</si>
  <si>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</si>
  <si>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</si>
  <si>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</si>
  <si>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</si>
  <si>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</si>
  <si>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</si>
  <si>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</si>
  <si>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</si>
  <si>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</si>
  <si>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</si>
  <si>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</si>
  <si>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</si>
  <si>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</si>
  <si>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</si>
  <si>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</si>
  <si>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</si>
  <si>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</si>
  <si>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</si>
  <si>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</si>
  <si>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</si>
  <si>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</si>
  <si>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</si>
  <si>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</si>
  <si>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</si>
  <si>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</si>
  <si>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</si>
  <si>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</si>
  <si>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</si>
  <si>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</si>
  <si>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</si>
  <si>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</si>
  <si>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</si>
  <si>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</si>
  <si>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</si>
  <si>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</si>
  <si>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</si>
  <si>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</si>
  <si>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</si>
  <si>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</si>
  <si>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</si>
  <si>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</si>
  <si>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</si>
  <si>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</si>
  <si>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</si>
  <si>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</si>
  <si>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</si>
  <si>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</si>
  <si>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</si>
  <si>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</si>
  <si>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</si>
  <si>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</si>
  <si>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</si>
  <si>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</si>
  <si>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</si>
  <si>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</si>
  <si>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</si>
  <si>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</si>
  <si>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</si>
  <si>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</si>
  <si>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</si>
  <si>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</si>
  <si>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</si>
  <si>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</si>
  <si>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</si>
  <si>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</si>
  <si>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</si>
  <si>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</si>
  <si>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</si>
  <si>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</si>
  <si>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</si>
  <si>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</si>
  <si>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</si>
  <si>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</si>
  <si>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</si>
  <si>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</si>
  <si>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</si>
  <si>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</si>
  <si>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</si>
  <si>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</si>
  <si>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</si>
  <si>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</si>
  <si>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</si>
  <si>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</si>
  <si>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</si>
  <si>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</si>
  <si>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</si>
  <si>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</si>
  <si>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</si>
  <si>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</si>
  <si>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</si>
  <si>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</si>
  <si>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</si>
  <si>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</si>
  <si>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</si>
  <si>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</si>
  <si>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</si>
  <si>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</si>
  <si>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</si>
  <si>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</si>
  <si>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</si>
  <si>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</si>
  <si>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</si>
  <si>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</si>
  <si>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</si>
  <si>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</si>
  <si>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</si>
  <si>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</si>
  <si>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</si>
  <si>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</si>
  <si>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</si>
  <si>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</si>
  <si>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</si>
  <si>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</si>
  <si>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</si>
  <si>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</si>
  <si>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</si>
  <si>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</si>
  <si>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</si>
  <si>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</si>
  <si>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</si>
  <si>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</si>
  <si>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</si>
  <si>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</si>
  <si>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</si>
  <si>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</si>
  <si>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</si>
  <si>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</si>
  <si>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</si>
  <si>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</si>
  <si>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</si>
  <si>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</si>
  <si>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</si>
  <si>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</si>
  <si>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</si>
  <si>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</si>
  <si>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</si>
  <si>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</si>
  <si>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</si>
  <si>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</si>
  <si>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</si>
  <si>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</si>
  <si>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</si>
  <si>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</si>
  <si>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</si>
  <si>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</si>
  <si>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</si>
  <si>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</si>
  <si>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</si>
  <si>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</si>
  <si>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</si>
  <si>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</si>
  <si>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</si>
  <si>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</si>
  <si>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</si>
  <si>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</si>
  <si>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</si>
  <si>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</si>
  <si>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</si>
  <si>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</si>
  <si>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</si>
  <si>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</si>
  <si>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</si>
  <si>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</si>
  <si>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</si>
  <si>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</si>
  <si>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</si>
  <si>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</si>
  <si>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</si>
  <si>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</si>
  <si>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</si>
  <si>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</si>
  <si>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</si>
  <si>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</si>
  <si>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</si>
  <si>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</si>
  <si>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</si>
  <si>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</si>
  <si>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</si>
  <si>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</si>
  <si>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</si>
  <si>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</si>
  <si>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</si>
  <si>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</si>
  <si>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</si>
  <si>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</si>
  <si>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</si>
  <si>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</si>
  <si>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</si>
  <si>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</si>
  <si>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</si>
  <si>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</si>
  <si>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</si>
  <si>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</si>
  <si>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</si>
  <si>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</si>
  <si>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</si>
  <si>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</si>
  <si>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</si>
  <si>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</si>
  <si>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</si>
  <si>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</si>
  <si>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</si>
  <si>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</si>
  <si>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</si>
  <si>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</si>
  <si>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</si>
  <si>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</si>
  <si>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</si>
  <si>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</si>
  <si>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</si>
  <si>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</si>
  <si>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</si>
  <si>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</si>
  <si>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</si>
  <si>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</si>
  <si>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</si>
  <si>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</si>
  <si>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</si>
  <si>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</si>
  <si>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</si>
  <si>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</si>
  <si>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</si>
  <si>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</si>
  <si>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</si>
  <si>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</si>
  <si>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</si>
  <si>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</si>
  <si>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</si>
  <si>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</si>
  <si>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</si>
  <si>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</si>
  <si>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</si>
  <si>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</si>
  <si>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</si>
  <si>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</si>
  <si>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</si>
  <si>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</si>
  <si>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</si>
  <si>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</si>
  <si>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</si>
  <si>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</si>
  <si>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</si>
  <si>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</si>
  <si>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</si>
  <si>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</si>
  <si>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</si>
  <si>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</si>
  <si>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</si>
  <si>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</si>
  <si>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</si>
  <si>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</si>
  <si>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</si>
  <si>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</si>
  <si>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</si>
  <si>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</si>
  <si>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</si>
  <si>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</si>
  <si>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</si>
  <si>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</si>
  <si>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</si>
  <si>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</si>
  <si>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</si>
  <si>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</si>
  <si>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</si>
  <si>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</si>
  <si>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</si>
  <si>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</si>
  <si>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</si>
  <si>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</si>
  <si>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</si>
  <si>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</si>
  <si>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</si>
  <si>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</si>
  <si>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</si>
  <si>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</si>
  <si>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</si>
  <si>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</si>
  <si>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</si>
  <si>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</si>
  <si>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</si>
  <si>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</si>
  <si>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</si>
  <si>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</si>
  <si>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</si>
  <si>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</si>
  <si>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</si>
  <si>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</si>
  <si>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</si>
  <si>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</si>
  <si>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</si>
  <si>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</si>
  <si>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</si>
  <si>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</si>
  <si>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</si>
  <si>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</si>
  <si>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</si>
  <si>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</si>
  <si>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</si>
  <si>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</si>
  <si>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</si>
  <si>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</si>
  <si>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</si>
  <si>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</si>
  <si>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</si>
  <si>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</si>
  <si>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</si>
  <si>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</si>
  <si>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</si>
  <si>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</si>
  <si>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</si>
  <si>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</si>
  <si>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</si>
  <si>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</si>
  <si>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</si>
  <si>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</si>
  <si>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</si>
  <si>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</si>
  <si>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</si>
  <si>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</si>
  <si>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</si>
  <si>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</si>
  <si>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</si>
  <si>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</si>
  <si>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</si>
  <si>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</si>
  <si>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</si>
  <si>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</si>
  <si>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</si>
  <si>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</si>
  <si>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</si>
  <si>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</si>
  <si>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</si>
  <si>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</si>
  <si>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</si>
  <si>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</si>
  <si>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</si>
  <si>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</si>
  <si>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</si>
  <si>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</si>
  <si>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</si>
  <si>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</si>
  <si>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</si>
  <si>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</si>
  <si>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</si>
  <si>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</si>
  <si>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</si>
  <si>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</si>
  <si>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</si>
  <si>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</si>
  <si>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</si>
  <si>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</si>
  <si>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</si>
  <si>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</si>
  <si>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</si>
  <si>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</si>
  <si>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</si>
  <si>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</si>
  <si>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</si>
  <si>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</si>
  <si>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</si>
  <si>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</si>
  <si>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</si>
  <si>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</si>
  <si>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</si>
  <si>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</si>
  <si>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</si>
  <si>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</si>
  <si>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</si>
  <si>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</si>
  <si>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</si>
  <si>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</si>
  <si>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</si>
  <si>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</si>
  <si>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</si>
  <si>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</si>
  <si>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</si>
  <si>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</si>
  <si>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</si>
  <si>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</si>
  <si>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</si>
  <si>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</si>
  <si>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</si>
  <si>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</si>
  <si>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</si>
  <si>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</si>
  <si>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</si>
  <si>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</si>
  <si>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</si>
  <si>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</si>
  <si>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</si>
  <si>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</si>
  <si>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</si>
  <si>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</si>
  <si>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</si>
  <si>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</si>
  <si>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</si>
  <si>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</si>
  <si>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</si>
  <si>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</si>
  <si>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</si>
  <si>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</si>
  <si>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</si>
  <si>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</si>
  <si>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</si>
  <si>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</si>
  <si>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</si>
  <si>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</si>
  <si>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</si>
  <si>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</si>
  <si>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</si>
  <si>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</si>
  <si>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</si>
  <si>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</si>
  <si>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</si>
  <si>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</si>
  <si>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</si>
  <si>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</si>
  <si>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</si>
  <si>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</si>
  <si>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</si>
  <si>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</si>
  <si>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</si>
  <si>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</si>
  <si>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</si>
  <si>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</si>
  <si>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</si>
  <si>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</si>
  <si>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</si>
  <si>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</si>
  <si>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</si>
  <si>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</si>
  <si>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</si>
  <si>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</si>
  <si>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</si>
  <si>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</si>
  <si>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</si>
  <si>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</si>
  <si>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</si>
  <si>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</si>
  <si>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</si>
  <si>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</si>
  <si>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</si>
  <si>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</si>
  <si>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</si>
  <si>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</si>
  <si>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</si>
  <si>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</si>
  <si>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</si>
  <si>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</si>
  <si>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</si>
  <si>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</si>
  <si>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</si>
  <si>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</si>
  <si>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</si>
  <si>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</si>
  <si>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</si>
  <si>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</si>
  <si>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</si>
  <si>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</si>
  <si>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</si>
  <si>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</si>
  <si>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</si>
  <si>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</si>
  <si>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</si>
  <si>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</si>
  <si>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</si>
  <si>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</si>
  <si>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</si>
  <si>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</si>
  <si>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</si>
  <si>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</si>
  <si>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</si>
  <si>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</si>
  <si>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</si>
  <si>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</si>
  <si>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</si>
  <si>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</si>
  <si>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</si>
  <si>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</si>
  <si>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</si>
  <si>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</si>
  <si>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</si>
  <si>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</si>
  <si>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</si>
  <si>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</si>
  <si>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</si>
  <si>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</si>
  <si>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</si>
  <si>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</si>
  <si>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</si>
  <si>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</si>
  <si>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</si>
  <si>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</si>
  <si>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</si>
  <si>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</si>
  <si>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</si>
  <si>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</si>
  <si>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</si>
  <si>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</si>
  <si>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</si>
  <si>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</si>
  <si>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</si>
  <si>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</si>
  <si>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</si>
  <si>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</si>
  <si>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</si>
  <si>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</si>
  <si>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</si>
  <si>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</si>
  <si>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</si>
  <si>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</si>
  <si>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</si>
  <si>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</si>
  <si>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</si>
  <si>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</si>
  <si>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</si>
  <si>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</si>
  <si>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</si>
  <si>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</si>
  <si>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</si>
  <si>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</si>
  <si>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</si>
  <si>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</si>
  <si>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</si>
  <si>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</si>
  <si>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</si>
  <si>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</si>
  <si>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</si>
  <si>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</si>
  <si>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</si>
  <si>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</si>
  <si>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</si>
  <si>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</si>
  <si>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</si>
  <si>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</si>
  <si>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</si>
  <si>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</si>
  <si>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</si>
  <si>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</si>
  <si>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</si>
  <si>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</si>
  <si>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</si>
  <si>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</si>
  <si>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</si>
  <si>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</si>
  <si>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</si>
  <si>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</si>
  <si>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</si>
  <si>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</si>
  <si>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</si>
  <si>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</si>
  <si>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</si>
  <si>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</si>
  <si>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</si>
  <si>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</si>
  <si>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</si>
  <si>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</si>
  <si>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</si>
  <si>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</si>
  <si>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</si>
  <si>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</si>
  <si>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</si>
  <si>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</si>
  <si>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</si>
  <si>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</si>
  <si>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</si>
  <si>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</si>
  <si>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</si>
  <si>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</si>
  <si>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</si>
  <si>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</si>
  <si>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</si>
  <si>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</si>
  <si>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</si>
  <si>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</si>
  <si>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</si>
  <si>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</si>
  <si>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</si>
  <si>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</si>
  <si>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</si>
  <si>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</si>
  <si>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</si>
  <si>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</si>
  <si>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</si>
  <si>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</si>
  <si>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</si>
  <si>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</si>
  <si>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</si>
  <si>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</si>
  <si>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</si>
  <si>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</si>
  <si>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</si>
  <si>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</si>
  <si>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</si>
  <si>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</si>
  <si>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</si>
  <si>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</si>
  <si>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</si>
  <si>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</si>
  <si>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</si>
  <si>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</si>
  <si>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</si>
  <si>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</si>
  <si>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</si>
  <si>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</si>
  <si>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</si>
  <si>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</si>
  <si>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</si>
  <si>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</si>
  <si>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</si>
  <si>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</si>
  <si>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</si>
  <si>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</si>
  <si>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</si>
  <si>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</si>
  <si>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</si>
  <si>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</si>
  <si>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</si>
  <si>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</si>
  <si>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</si>
  <si>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</si>
  <si>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</si>
  <si>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</si>
  <si>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</si>
  <si>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</si>
  <si>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</si>
  <si>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</si>
  <si>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</si>
  <si>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</si>
  <si>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</si>
  <si>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</si>
  <si>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</si>
  <si>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</si>
  <si>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</si>
  <si>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</si>
  <si>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</si>
  <si>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</si>
  <si>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</si>
  <si>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</si>
  <si>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</si>
  <si>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</si>
  <si>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</si>
  <si>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</si>
  <si>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</si>
  <si>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</si>
  <si>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</si>
  <si>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</si>
  <si>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</si>
  <si>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</si>
  <si>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</si>
  <si>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</si>
  <si>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</si>
  <si>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</si>
  <si>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</si>
  <si>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</si>
  <si>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</si>
  <si>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</si>
  <si>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</si>
  <si>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</si>
  <si>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</si>
  <si>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</si>
  <si>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</si>
  <si>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</si>
  <si>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</si>
  <si>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</si>
  <si>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</si>
  <si>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</si>
  <si>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</si>
  <si>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</si>
  <si>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</si>
  <si>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</si>
  <si>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</si>
  <si>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</si>
  <si>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</si>
  <si>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</si>
  <si>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</si>
  <si>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</si>
  <si>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</si>
  <si>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</si>
  <si>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</si>
  <si>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</si>
  <si>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</si>
  <si>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</si>
  <si>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</si>
  <si>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</si>
  <si>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</si>
  <si>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</si>
  <si>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</si>
  <si>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</si>
  <si>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</si>
  <si>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</si>
  <si>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</si>
  <si>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</si>
  <si>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</si>
  <si>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</si>
  <si>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</si>
  <si>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</si>
  <si>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</si>
  <si>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</si>
  <si>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</si>
  <si>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</si>
  <si>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</si>
  <si>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</si>
  <si>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</si>
  <si>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</si>
  <si>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</si>
  <si>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</si>
  <si>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</si>
  <si>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</si>
  <si>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</si>
  <si>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</si>
  <si>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</si>
  <si>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</si>
  <si>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</si>
  <si>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</si>
  <si>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</si>
  <si>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</si>
  <si>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</si>
  <si>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</si>
  <si>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</si>
  <si>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</si>
  <si>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</si>
  <si>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</si>
  <si>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</si>
  <si>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</si>
  <si>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</si>
  <si>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</si>
  <si>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</si>
  <si>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</si>
  <si>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</si>
  <si>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</si>
  <si>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</si>
  <si>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</si>
  <si>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</si>
  <si>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</si>
  <si>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</si>
  <si>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</si>
  <si>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</si>
  <si>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</si>
  <si>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</si>
  <si>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</si>
  <si>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</si>
  <si>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</si>
  <si>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</si>
  <si>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</si>
  <si>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</si>
  <si>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</si>
  <si>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</si>
  <si>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</si>
  <si>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</si>
  <si>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</si>
  <si>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</si>
  <si>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</si>
  <si>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</si>
  <si>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</si>
  <si>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</si>
  <si>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</si>
  <si>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</si>
  <si>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</si>
  <si>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</si>
  <si>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</si>
  <si>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</si>
  <si>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</si>
  <si>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</si>
  <si>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</si>
  <si>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</si>
  <si>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</si>
  <si>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</si>
  <si>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</si>
  <si>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</si>
  <si>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</si>
  <si>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</si>
  <si>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</si>
  <si>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</si>
  <si>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</si>
  <si>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</si>
  <si>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</si>
  <si>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</si>
  <si>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</si>
  <si>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</si>
  <si>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</si>
  <si>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</si>
  <si>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</si>
  <si>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</si>
  <si>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</si>
  <si>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</si>
  <si>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</si>
  <si>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</si>
  <si>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</si>
  <si>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</si>
  <si>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</si>
  <si>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</si>
  <si>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</si>
  <si>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</si>
  <si>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</si>
  <si>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</si>
  <si>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</si>
  <si>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DUPAGE</t>
  </si>
  <si>
    <t>210 SOUTH CHURCH ROAD</t>
  </si>
  <si>
    <t xml:space="preserve">BENSENVILLE </t>
  </si>
  <si>
    <t>PNOVACK@BSD2.ORG</t>
  </si>
  <si>
    <t>Dr. James Stelter</t>
  </si>
  <si>
    <t>JSTELTER@BSD2.ORG</t>
  </si>
  <si>
    <t>630-766-5940</t>
  </si>
  <si>
    <t>630-766-6099</t>
  </si>
  <si>
    <t>MUELLER &amp; CO., LLP</t>
  </si>
  <si>
    <t>EDWARD MCCORMICK</t>
  </si>
  <si>
    <t>14300 S RAVANIA AVE, SUITE 200</t>
  </si>
  <si>
    <t>ORLAND PARK</t>
  </si>
  <si>
    <t>IL</t>
  </si>
  <si>
    <t>708-349-6999</t>
  </si>
  <si>
    <t>708-349-6639</t>
  </si>
  <si>
    <t>EMCCORMICK@MUELLERCPA.COM</t>
  </si>
  <si>
    <t>U.S Department of Education</t>
  </si>
  <si>
    <t xml:space="preserve">  Passed through Illinois State Board of Education:</t>
  </si>
  <si>
    <t xml:space="preserve">   Title I - Low Income</t>
  </si>
  <si>
    <t xml:space="preserve">      Total Title I - Low Income</t>
  </si>
  <si>
    <t>17-4300</t>
  </si>
  <si>
    <t>18-4300</t>
  </si>
  <si>
    <t xml:space="preserve">    Title II - Teacher Quality</t>
  </si>
  <si>
    <t xml:space="preserve">       Total Title II - Teacher Quality</t>
  </si>
  <si>
    <t>17-4932</t>
  </si>
  <si>
    <t>18-4932</t>
  </si>
  <si>
    <t xml:space="preserve">    Title III - Lang Inst Prog-Limited Eng LIPLEP</t>
  </si>
  <si>
    <t>17-4909</t>
  </si>
  <si>
    <t xml:space="preserve">    Title III - Immigrant Education Program</t>
  </si>
  <si>
    <t>18-4909</t>
  </si>
  <si>
    <t>17-4905</t>
  </si>
  <si>
    <t>18-4905</t>
  </si>
  <si>
    <t xml:space="preserve">        Total Title III</t>
  </si>
  <si>
    <t xml:space="preserve">  Special Education Cluster (IDEA)</t>
  </si>
  <si>
    <t xml:space="preserve">    Passed through North Dupage Special Education Cooperative</t>
  </si>
  <si>
    <t xml:space="preserve">      IDEA Flow Through</t>
  </si>
  <si>
    <t>17-4620</t>
  </si>
  <si>
    <t>18-4620</t>
  </si>
  <si>
    <t xml:space="preserve">      Pre-School Flow Through</t>
  </si>
  <si>
    <t xml:space="preserve">       Total Special Education Cluster (IDEA)</t>
  </si>
  <si>
    <t xml:space="preserve">          Total U.S. Department of Education</t>
  </si>
  <si>
    <t>U.S. Department of Agriculture</t>
  </si>
  <si>
    <t>17-4210</t>
  </si>
  <si>
    <t>18-4210</t>
  </si>
  <si>
    <t>17-4220</t>
  </si>
  <si>
    <t>18-4220</t>
  </si>
  <si>
    <t xml:space="preserve">     Child Nutrition Cluster</t>
  </si>
  <si>
    <t xml:space="preserve">          Total Child Nutrition Cluster</t>
  </si>
  <si>
    <t xml:space="preserve">      Child and Adult Care Food Program</t>
  </si>
  <si>
    <t xml:space="preserve">            Total U.S. Department of Agriculture</t>
  </si>
  <si>
    <t>U.S. Department of Health and Human Services</t>
  </si>
  <si>
    <t xml:space="preserve">  Passed through Illinois Department of Healthcare and Family Services:</t>
  </si>
  <si>
    <t xml:space="preserve">   Medicaid Administrative Outreach</t>
  </si>
  <si>
    <t xml:space="preserve">       Total U.S. Department of Health and Human Services</t>
  </si>
  <si>
    <t>17-4226</t>
  </si>
  <si>
    <t>18-4226</t>
  </si>
  <si>
    <t xml:space="preserve">    Title IVA Student Support and Academic Enrich</t>
  </si>
  <si>
    <t>18-4400</t>
  </si>
  <si>
    <t xml:space="preserve">    IDEA Room &amp; Board XC</t>
  </si>
  <si>
    <t>17-4625</t>
  </si>
  <si>
    <t>N/A</t>
  </si>
  <si>
    <t xml:space="preserve">      Total Child and Adult Care Food Program</t>
  </si>
  <si>
    <t>TOTAL FEDERAL AWARDS</t>
  </si>
  <si>
    <t>UNMODIFIED</t>
  </si>
  <si>
    <t>Child Nutrition Cluster</t>
  </si>
  <si>
    <t>10.553, 10.555</t>
  </si>
  <si>
    <r>
      <t xml:space="preserve">       National School Lunch </t>
    </r>
    <r>
      <rPr>
        <b/>
        <sz val="8"/>
        <rFont val="Calibri"/>
        <family val="2"/>
        <scheme val="minor"/>
      </rPr>
      <t>(M)</t>
    </r>
  </si>
  <si>
    <r>
      <t xml:space="preserve">       School Breakfast Program</t>
    </r>
    <r>
      <rPr>
        <b/>
        <sz val="8"/>
        <rFont val="Calibri"/>
        <family val="2"/>
        <scheme val="minor"/>
      </rPr>
      <t xml:space="preserve"> (M)</t>
    </r>
  </si>
  <si>
    <r>
      <t xml:space="preserve">       Commodities (non-cash)</t>
    </r>
    <r>
      <rPr>
        <b/>
        <sz val="8"/>
        <rFont val="Calibri"/>
        <family val="2"/>
        <scheme val="minor"/>
      </rPr>
      <t xml:space="preserve"> (M)</t>
    </r>
  </si>
  <si>
    <r>
      <t xml:space="preserve">       DOD Fruits &amp; Veg Commodities (non-cash) </t>
    </r>
    <r>
      <rPr>
        <b/>
        <sz val="8"/>
        <rFont val="Calibri"/>
        <family val="2"/>
        <scheme val="minor"/>
      </rPr>
      <t>(M)</t>
    </r>
  </si>
  <si>
    <t>Preparation of financial statements.</t>
  </si>
  <si>
    <t>Management relies on its audit firm to prepare full financial statements in accordance with GASB Statement 34.</t>
  </si>
  <si>
    <t>Material adjusting journal entries were made to finalize the year end financial statements.</t>
  </si>
  <si>
    <t>Users of unaudited financial statements are not viewing statements in accordance with GASB Statement 34.</t>
  </si>
  <si>
    <t>Closing procedures do not include steps to accumulate and record GASB Statement 34 adjustments.</t>
  </si>
  <si>
    <t>Management should implement procedures to record GASB Statement 34 adjustments.</t>
  </si>
  <si>
    <t>Management disagrees with the recommendation.</t>
  </si>
  <si>
    <t>All Federal Programs</t>
  </si>
  <si>
    <t>Preparation of financial statements.  See financial statement finding #2018-001.</t>
  </si>
  <si>
    <t>NONE</t>
  </si>
  <si>
    <t>2017-001</t>
  </si>
  <si>
    <t>Repeated as 2018-001</t>
  </si>
  <si>
    <t>2017-002</t>
  </si>
  <si>
    <t>Repeated as 2018-002</t>
  </si>
  <si>
    <r>
      <t xml:space="preserve">The accompanying Schedule of Expenditures of Federal Awards includes the federal grant activity of </t>
    </r>
    <r>
      <rPr>
        <b/>
        <sz val="9"/>
        <rFont val="Calibri"/>
        <family val="2"/>
        <scheme val="minor"/>
      </rPr>
      <t>Bensenville SD 2</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</si>
  <si>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Bensenville SD 2</t>
    </r>
    <r>
      <rPr>
        <sz val="9"/>
        <rFont val="Calibri"/>
        <family val="2"/>
        <scheme val="minor"/>
      </rPr>
      <t xml:space="preserve"> provided federal awards to subrecipients as follows:</t>
    </r>
  </si>
  <si>
    <t>x</t>
  </si>
  <si>
    <t>n/a</t>
  </si>
  <si>
    <t>066-003328</t>
  </si>
  <si>
    <t>2006 Debt certificate</t>
  </si>
  <si>
    <t>2010 Taxable GO Bond</t>
  </si>
  <si>
    <t>2010B GO Refunding Bond</t>
  </si>
  <si>
    <t>2010C Taxable GO Bond</t>
  </si>
  <si>
    <t>2013A Refunding School Bonds</t>
  </si>
  <si>
    <t>2013B Debt Certificates</t>
  </si>
  <si>
    <t>2016 Taxable GO Bond (ARS) (QZAB)</t>
  </si>
  <si>
    <t>Debt Certificates</t>
  </si>
  <si>
    <t>Alternative Revenue Bonds</t>
  </si>
  <si>
    <t>Services provided to NDSEC</t>
  </si>
  <si>
    <t>Educational Benefits Cooperative</t>
  </si>
  <si>
    <t>Collective Liability Insurance Cooperative</t>
  </si>
  <si>
    <t xml:space="preserve">See Below </t>
  </si>
  <si>
    <t>North Dupage Special Education Cooperative</t>
  </si>
  <si>
    <t>Participation in nationwide purchasing cooperatives</t>
  </si>
  <si>
    <t xml:space="preserve">See below </t>
  </si>
  <si>
    <t>Legal services - Bensenville area governments share cost of defending property tax appeals</t>
  </si>
  <si>
    <t xml:space="preserve">Transportation - Fention #100 serves 3 morning routes and occasionally shares buses </t>
  </si>
  <si>
    <t>Acct#</t>
  </si>
  <si>
    <t>Fundraising</t>
  </si>
  <si>
    <t>Community relations</t>
  </si>
  <si>
    <t>Purchases from other Illinois Government Units</t>
  </si>
  <si>
    <t>Service Fees</t>
  </si>
  <si>
    <t>Salary - CFO</t>
  </si>
  <si>
    <t>IMRF/SS</t>
  </si>
  <si>
    <t>CFO and Community relations benefits</t>
  </si>
  <si>
    <t>Ed-Genl Admin Supp Srvcs-Purch Srvcs</t>
  </si>
  <si>
    <t>10-2300-300</t>
  </si>
  <si>
    <t>Canna and Canna Ltd.</t>
  </si>
  <si>
    <t>O&amp;M-Plant Srvcs-Purch Srvcs</t>
  </si>
  <si>
    <t>20-2540-300</t>
  </si>
  <si>
    <t>Chicago Office Technology Group</t>
  </si>
  <si>
    <t>Tort-Genl Admin Supp Srvcs-Purch Srvcs</t>
  </si>
  <si>
    <t>80-2300-300</t>
  </si>
  <si>
    <t>CLIC-ISDLAF PLUS</t>
  </si>
  <si>
    <t>Transp-Pupil-Purch Srvcs</t>
  </si>
  <si>
    <t>40-2550-300</t>
  </si>
  <si>
    <t>Fenton High School District 100</t>
  </si>
  <si>
    <t>GCA Services Group</t>
  </si>
  <si>
    <t>Groot Industries Inc</t>
  </si>
  <si>
    <t>Ed-Instruction-Purch Srvcs</t>
  </si>
  <si>
    <t>10-1000-300</t>
  </si>
  <si>
    <t>Houseman Speech and Language LLC</t>
  </si>
  <si>
    <t>Lightower Fiber Networks II LLC</t>
  </si>
  <si>
    <t>Mulcahy Pauritsch Salvador &amp; Co LTD</t>
  </si>
  <si>
    <t>myON LLC</t>
  </si>
  <si>
    <t>Santander Leasing LLC</t>
  </si>
  <si>
    <t>Septran Inc</t>
  </si>
  <si>
    <t>Ed-Food Services-Purch Srvcs</t>
  </si>
  <si>
    <t>10-2560-300</t>
  </si>
  <si>
    <t>Sodexo Inc &amp; Affiliates</t>
  </si>
  <si>
    <t>Village Of Bensenville (WP)</t>
  </si>
  <si>
    <t>Xerox Corporation</t>
  </si>
  <si>
    <t>#20 - see findings 2018-01 and 2018-02</t>
  </si>
  <si>
    <t>Mueller &amp; Co., LLP</t>
  </si>
  <si>
    <t>Bensenville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</si>
</sst>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2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61" fillId="0" borderId="22" xfId="3" applyNumberFormat="1" applyFont="1" applyBorder="1" applyAlignment="1" applyProtection="1">
      <alignment horizontal="left" vertical="center" wrapText="1"/>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0" fontId="62" fillId="0" borderId="0" xfId="3" applyFont="1" applyAlignment="1" applyProtection="1">
      <alignment textRotation="180" wrapText="1"/>
    </xf>
    <xf numFmtId="0" fontId="54" fillId="0" borderId="0" xfId="3" applyFont="1" applyBorder="1" applyAlignment="1" applyProtection="1">
      <alignment horizontal="center"/>
      <protection locked="0"/>
    </xf>
    <xf numFmtId="0" fontId="54" fillId="0" borderId="0" xfId="3" applyFont="1" applyAlignment="1" applyProtection="1">
      <alignment horizontal="center"/>
      <protection locked="0"/>
    </xf>
    <xf numFmtId="0" fontId="54" fillId="0" borderId="78" xfId="3" applyFont="1" applyBorder="1" applyAlignment="1" applyProtection="1">
      <alignment horizontal="center"/>
      <protection locked="0"/>
    </xf>
    <xf numFmtId="0" fontId="54" fillId="0" borderId="0" xfId="3" applyFont="1" applyBorder="1" applyAlignment="1" applyProtection="1">
      <alignment wrapText="1"/>
      <protection locked="0"/>
    </xf>
    <xf numFmtId="179" fontId="54" fillId="0" borderId="0" xfId="3" applyNumberFormat="1" applyFont="1" applyBorder="1" applyAlignment="1" applyProtection="1">
      <alignment horizontal="center" vertical="top"/>
      <protection locked="0"/>
    </xf>
    <xf numFmtId="0" fontId="54" fillId="0" borderId="0" xfId="3" applyFont="1" applyBorder="1" applyAlignment="1" applyProtection="1">
      <alignment horizontal="center" vertical="top"/>
      <protection locked="0"/>
    </xf>
    <xf numFmtId="3" fontId="59"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63" fillId="0" borderId="0" xfId="0" applyFont="1" applyAlignment="1">
      <alignment horizontal="center"/>
    </xf>
    <xf numFmtId="43" fontId="54" fillId="0" borderId="0" xfId="1" applyFont="1"/>
    <xf numFmtId="43" fontId="63" fillId="0" borderId="0" xfId="1" applyFont="1" applyAlignment="1">
      <alignment horizontal="center"/>
    </xf>
    <xf numFmtId="0" fontId="54" fillId="0" borderId="0" xfId="0" applyFont="1" applyAlignment="1">
      <alignment horizontal="center"/>
    </xf>
    <xf numFmtId="0" fontId="7" fillId="0" borderId="0" xfId="0" quotePrefix="1" applyNumberFormat="1" applyFont="1" applyProtection="1">
      <protection locked="0"/>
    </xf>
    <xf numFmtId="181" fontId="7" fillId="0" borderId="0" xfId="0" applyNumberFormat="1" applyFont="1" applyProtection="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9" t="s">
        <v>425</v>
      </c>
      <c r="J1" s="2050"/>
      <c r="K1" s="2050"/>
      <c r="L1" s="2050"/>
      <c r="M1" s="2050"/>
      <c r="N1" s="2050"/>
      <c r="O1" s="2050"/>
      <c r="P1" s="2050"/>
      <c r="Q1" s="2050"/>
      <c r="R1" s="2050"/>
      <c r="S1" s="2050"/>
    </row>
    <row r="2" spans="1:28" ht="12" customHeight="1" x14ac:dyDescent="0.2">
      <c r="A2" s="47" t="s">
        <v>1684</v>
      </c>
      <c r="D2" s="48"/>
      <c r="I2" s="2051" t="s">
        <v>1036</v>
      </c>
      <c r="J2" s="2050"/>
      <c r="K2" s="2050"/>
      <c r="L2" s="2050"/>
      <c r="M2" s="2050"/>
      <c r="N2" s="2050"/>
      <c r="O2" s="2050"/>
      <c r="P2" s="2050"/>
      <c r="Q2" s="2050"/>
      <c r="R2" s="2050"/>
      <c r="S2" s="2050"/>
    </row>
    <row r="3" spans="1:28" ht="12" customHeight="1" x14ac:dyDescent="0.2">
      <c r="A3" s="155" t="s">
        <v>1685</v>
      </c>
      <c r="B3" s="156"/>
      <c r="C3" s="156"/>
      <c r="D3" s="157"/>
      <c r="I3" s="2051" t="s">
        <v>54</v>
      </c>
      <c r="J3" s="2050"/>
      <c r="K3" s="2050"/>
      <c r="L3" s="2050"/>
      <c r="M3" s="2050"/>
      <c r="N3" s="2050"/>
      <c r="O3" s="2050"/>
      <c r="P3" s="2050"/>
      <c r="Q3" s="2050"/>
      <c r="R3" s="2050"/>
      <c r="S3" s="2050"/>
    </row>
    <row r="4" spans="1:28" ht="12" customHeight="1" x14ac:dyDescent="0.2">
      <c r="A4" s="37"/>
      <c r="I4" s="2051" t="s">
        <v>545</v>
      </c>
      <c r="J4" s="2050"/>
      <c r="K4" s="2050"/>
      <c r="L4" s="2050"/>
      <c r="M4" s="2050"/>
      <c r="N4" s="2050"/>
      <c r="O4" s="2050"/>
      <c r="P4" s="2050"/>
      <c r="Q4" s="2050"/>
      <c r="R4" s="2050"/>
      <c r="S4" s="2050"/>
    </row>
    <row r="5" spans="1:28" ht="14.1" customHeight="1" x14ac:dyDescent="0.2">
      <c r="B5" s="104" t="s">
        <v>2074</v>
      </c>
      <c r="C5" s="26" t="s">
        <v>966</v>
      </c>
      <c r="D5" s="84"/>
      <c r="E5" s="84"/>
      <c r="H5" s="38"/>
      <c r="I5" s="2058" t="s">
        <v>701</v>
      </c>
      <c r="J5" s="2003"/>
      <c r="K5" s="2003"/>
      <c r="L5" s="2003"/>
      <c r="M5" s="2003"/>
      <c r="N5" s="2003"/>
      <c r="O5" s="2003"/>
      <c r="P5" s="2003"/>
      <c r="Q5" s="2003"/>
      <c r="R5" s="2003"/>
      <c r="S5" s="2003"/>
    </row>
    <row r="6" spans="1:28" ht="14.1" customHeight="1" x14ac:dyDescent="0.2">
      <c r="B6" s="104"/>
      <c r="C6" s="26" t="s">
        <v>967</v>
      </c>
      <c r="D6" s="84"/>
      <c r="E6" s="84"/>
      <c r="I6" s="2057" t="s">
        <v>938</v>
      </c>
      <c r="J6" s="2003"/>
      <c r="K6" s="2003"/>
      <c r="L6" s="2003"/>
      <c r="M6" s="2003"/>
      <c r="N6" s="2003"/>
      <c r="O6" s="2003"/>
      <c r="P6" s="2003"/>
      <c r="Q6" s="2003"/>
      <c r="R6" s="2003"/>
      <c r="S6" s="2003"/>
    </row>
    <row r="7" spans="1:28" ht="12.2" customHeight="1" x14ac:dyDescent="0.2">
      <c r="I7" s="2052">
        <v>43281</v>
      </c>
      <c r="J7" s="2053"/>
      <c r="K7" s="2053"/>
      <c r="L7" s="2053"/>
      <c r="M7" s="2053"/>
      <c r="N7" s="2053"/>
      <c r="O7" s="2053"/>
      <c r="P7" s="2053"/>
      <c r="Q7" s="2053"/>
      <c r="R7" s="2053"/>
      <c r="S7" s="20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4" t="s">
        <v>695</v>
      </c>
      <c r="J9" s="2055"/>
      <c r="K9" s="2055"/>
      <c r="L9" s="2055"/>
      <c r="M9" s="2055"/>
      <c r="N9" s="2055"/>
      <c r="O9" s="2055"/>
      <c r="P9" s="2055"/>
      <c r="Q9" s="2055"/>
      <c r="R9" s="2055"/>
      <c r="S9" s="2056"/>
      <c r="T9" s="1999" t="s">
        <v>554</v>
      </c>
      <c r="U9" s="2000"/>
      <c r="V9" s="2000"/>
      <c r="W9" s="2000"/>
      <c r="X9" s="2000"/>
      <c r="Y9" s="2000"/>
      <c r="Z9" s="2000"/>
      <c r="AA9" s="2001"/>
    </row>
    <row r="10" spans="1:28" ht="13.5" customHeight="1" x14ac:dyDescent="0.2">
      <c r="A10" s="2008" t="s">
        <v>696</v>
      </c>
      <c r="B10" s="2009"/>
      <c r="C10" s="2009"/>
      <c r="D10" s="2009"/>
      <c r="E10" s="2009"/>
      <c r="F10" s="2009"/>
      <c r="G10" s="2009"/>
      <c r="H10" s="2010"/>
      <c r="I10" s="29"/>
      <c r="J10" s="30"/>
      <c r="K10" s="28"/>
      <c r="R10" s="30"/>
      <c r="S10" s="30"/>
      <c r="T10" s="2002"/>
      <c r="U10" s="2003"/>
      <c r="V10" s="2003"/>
      <c r="W10" s="2003"/>
      <c r="X10" s="2003"/>
      <c r="Y10" s="2003"/>
      <c r="Z10" s="2003"/>
      <c r="AA10" s="2004"/>
    </row>
    <row r="11" spans="1:28" ht="14.25" customHeight="1" x14ac:dyDescent="0.2">
      <c r="A11" s="2011" t="s">
        <v>1012</v>
      </c>
      <c r="B11" s="2012"/>
      <c r="C11" s="2012"/>
      <c r="D11" s="2012"/>
      <c r="E11" s="2012"/>
      <c r="F11" s="2012"/>
      <c r="G11" s="2012"/>
      <c r="H11" s="2013"/>
      <c r="I11" s="27"/>
      <c r="J11" s="74"/>
      <c r="K11" s="27"/>
      <c r="O11" s="148" t="s">
        <v>2074</v>
      </c>
      <c r="P11" s="100" t="s">
        <v>210</v>
      </c>
      <c r="Q11" s="30"/>
      <c r="R11" s="28"/>
      <c r="S11" s="27"/>
      <c r="T11" s="2005"/>
      <c r="U11" s="2006"/>
      <c r="V11" s="2006"/>
      <c r="W11" s="2006"/>
      <c r="X11" s="2006"/>
      <c r="Y11" s="2006"/>
      <c r="Z11" s="2006"/>
      <c r="AA11" s="200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9">
        <v>19022002002</v>
      </c>
      <c r="B13" s="2020"/>
      <c r="C13" s="2020"/>
      <c r="D13" s="2020"/>
      <c r="E13" s="2020"/>
      <c r="F13" s="2020"/>
      <c r="G13" s="2020"/>
      <c r="H13" s="2021"/>
      <c r="I13" s="31"/>
      <c r="J13" s="30"/>
      <c r="K13" s="28"/>
      <c r="L13" s="30"/>
      <c r="M13" s="30"/>
      <c r="N13" s="30"/>
      <c r="O13" s="30"/>
      <c r="P13" s="30"/>
      <c r="Q13" s="30"/>
      <c r="R13" s="30"/>
      <c r="S13" s="30"/>
      <c r="T13" s="2024" t="s">
        <v>2083</v>
      </c>
      <c r="U13" s="2025"/>
      <c r="V13" s="2025"/>
      <c r="W13" s="2025"/>
      <c r="X13" s="2025"/>
      <c r="Y13" s="2026"/>
      <c r="Z13" s="2026"/>
      <c r="AA13" s="202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7" t="s">
        <v>2075</v>
      </c>
      <c r="B15" s="2022"/>
      <c r="C15" s="2022"/>
      <c r="D15" s="2022"/>
      <c r="E15" s="2022"/>
      <c r="F15" s="2022"/>
      <c r="G15" s="2022"/>
      <c r="H15" s="2023"/>
      <c r="T15" s="1985" t="s">
        <v>2084</v>
      </c>
      <c r="U15" s="1986"/>
      <c r="V15" s="1986"/>
      <c r="W15" s="1986"/>
      <c r="X15" s="1986"/>
      <c r="Y15" s="2028"/>
      <c r="Z15" s="2028"/>
      <c r="AA15" s="202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7" t="s">
        <v>2219</v>
      </c>
      <c r="B17" s="2047"/>
      <c r="C17" s="2047"/>
      <c r="D17" s="2047"/>
      <c r="E17" s="2047"/>
      <c r="F17" s="2047"/>
      <c r="G17" s="2047"/>
      <c r="H17" s="2048"/>
      <c r="T17" s="2034" t="s">
        <v>2085</v>
      </c>
      <c r="U17" s="2035"/>
      <c r="V17" s="2035"/>
      <c r="W17" s="2035"/>
      <c r="X17" s="2035"/>
      <c r="Y17" s="2035"/>
      <c r="Z17" s="2035"/>
      <c r="AA17" s="2036"/>
    </row>
    <row r="18" spans="1:27" ht="13.5" customHeight="1" x14ac:dyDescent="0.2">
      <c r="A18" s="85" t="s">
        <v>551</v>
      </c>
      <c r="B18" s="76"/>
      <c r="C18" s="72"/>
      <c r="D18" s="76"/>
      <c r="E18" s="76"/>
      <c r="F18" s="76"/>
      <c r="G18" s="76"/>
      <c r="H18" s="56"/>
      <c r="I18" s="2044" t="s">
        <v>697</v>
      </c>
      <c r="J18" s="2045"/>
      <c r="K18" s="2045"/>
      <c r="L18" s="2045"/>
      <c r="M18" s="2045"/>
      <c r="N18" s="2045"/>
      <c r="O18" s="2045"/>
      <c r="P18" s="2045"/>
      <c r="Q18" s="2045"/>
      <c r="R18" s="2045"/>
      <c r="S18" s="2046"/>
      <c r="T18" s="85" t="s">
        <v>735</v>
      </c>
      <c r="U18" s="51"/>
      <c r="V18" s="72"/>
      <c r="W18" s="50"/>
      <c r="X18" s="85" t="s">
        <v>284</v>
      </c>
      <c r="Y18" s="81"/>
      <c r="Z18" s="159" t="s">
        <v>698</v>
      </c>
      <c r="AA18" s="46"/>
    </row>
    <row r="19" spans="1:27" ht="13.5" customHeight="1" x14ac:dyDescent="0.2">
      <c r="A19" s="2017" t="s">
        <v>2076</v>
      </c>
      <c r="B19" s="2018"/>
      <c r="C19" s="2018"/>
      <c r="D19" s="2018"/>
      <c r="E19" s="2018"/>
      <c r="F19" s="2018"/>
      <c r="G19" s="2018"/>
      <c r="H19" s="2016"/>
      <c r="I19" s="30"/>
      <c r="J19" s="99"/>
      <c r="K19" s="40"/>
      <c r="L19" s="38"/>
      <c r="M19" s="112" t="s">
        <v>333</v>
      </c>
      <c r="P19" s="27"/>
      <c r="Q19" s="27"/>
      <c r="R19" s="27"/>
      <c r="S19" s="31"/>
      <c r="T19" s="2017" t="s">
        <v>2086</v>
      </c>
      <c r="U19" s="2015"/>
      <c r="V19" s="2015"/>
      <c r="W19" s="2016"/>
      <c r="X19" s="2032" t="s">
        <v>2087</v>
      </c>
      <c r="Y19" s="2033"/>
      <c r="Z19" s="2030">
        <v>60462</v>
      </c>
      <c r="AA19" s="203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4" t="s">
        <v>2077</v>
      </c>
      <c r="B21" s="2015"/>
      <c r="C21" s="2015"/>
      <c r="D21" s="2015"/>
      <c r="E21" s="2015"/>
      <c r="F21" s="2015"/>
      <c r="G21" s="2015"/>
      <c r="H21" s="2016"/>
      <c r="I21" s="2040" t="s">
        <v>699</v>
      </c>
      <c r="J21" s="2003"/>
      <c r="K21" s="2003"/>
      <c r="L21" s="2003"/>
      <c r="M21" s="2003"/>
      <c r="N21" s="2003"/>
      <c r="O21" s="2003"/>
      <c r="P21" s="2003"/>
      <c r="Q21" s="2003"/>
      <c r="R21" s="2003"/>
      <c r="S21" s="2004"/>
      <c r="T21" s="1982" t="s">
        <v>2088</v>
      </c>
      <c r="U21" s="1983"/>
      <c r="V21" s="1983"/>
      <c r="W21" s="1983"/>
      <c r="X21" s="1996" t="s">
        <v>2089</v>
      </c>
      <c r="Y21" s="1997"/>
      <c r="Z21" s="1997"/>
      <c r="AA21" s="1998"/>
    </row>
    <row r="22" spans="1:27" ht="13.5" customHeight="1" x14ac:dyDescent="0.2">
      <c r="A22" s="87" t="s">
        <v>552</v>
      </c>
      <c r="B22" s="59"/>
      <c r="C22" s="59"/>
      <c r="D22" s="59"/>
      <c r="E22" s="59"/>
      <c r="F22" s="59"/>
      <c r="G22" s="59"/>
      <c r="H22" s="60"/>
      <c r="I22" s="2041" t="s">
        <v>1504</v>
      </c>
      <c r="J22" s="2042"/>
      <c r="K22" s="2042"/>
      <c r="L22" s="2042"/>
      <c r="M22" s="2042"/>
      <c r="N22" s="2042"/>
      <c r="O22" s="2042"/>
      <c r="P22" s="2042"/>
      <c r="Q22" s="2042"/>
      <c r="R22" s="2042"/>
      <c r="S22" s="2043"/>
      <c r="T22" s="85" t="s">
        <v>1596</v>
      </c>
      <c r="U22" s="51"/>
      <c r="V22" s="72"/>
      <c r="W22" s="51"/>
      <c r="X22" s="160" t="s">
        <v>1385</v>
      </c>
      <c r="Z22" s="45"/>
      <c r="AA22" s="46"/>
    </row>
    <row r="23" spans="1:27" ht="13.5" customHeight="1" x14ac:dyDescent="0.2">
      <c r="A23" s="2037" t="s">
        <v>2078</v>
      </c>
      <c r="B23" s="2038"/>
      <c r="C23" s="2038"/>
      <c r="D23" s="2038"/>
      <c r="E23" s="2038"/>
      <c r="F23" s="2038"/>
      <c r="G23" s="2038"/>
      <c r="H23" s="2039"/>
      <c r="T23" s="1977" t="s">
        <v>2163</v>
      </c>
      <c r="U23" s="1978"/>
      <c r="V23" s="1978"/>
      <c r="W23" s="1978"/>
      <c r="X23" s="1993">
        <v>43434</v>
      </c>
      <c r="Y23" s="1994"/>
      <c r="Z23" s="1994"/>
      <c r="AA23" s="1995"/>
    </row>
    <row r="24" spans="1:27" ht="14.1" customHeight="1" x14ac:dyDescent="0.2">
      <c r="A24" s="88" t="s">
        <v>698</v>
      </c>
      <c r="B24" s="49"/>
      <c r="C24" s="49"/>
      <c r="D24" s="49"/>
      <c r="E24" s="49"/>
      <c r="F24" s="49"/>
      <c r="G24" s="49"/>
      <c r="H24" s="61"/>
      <c r="J24" s="2079">
        <f>IF(B5="x",IF(AUDITCHECK!D29="AFR form Incomplete.","",IF(AUDITCHECK!D29="Deficit reduction plan is required.","School District must complete a deficit reduction plan in the 2018-2019 Budget",)),"")</f>
        <v>0</v>
      </c>
      <c r="K24" s="2079"/>
      <c r="L24" s="2079"/>
      <c r="M24" s="2079"/>
      <c r="N24" s="2079"/>
      <c r="O24" s="2079"/>
      <c r="P24" s="2079"/>
      <c r="Q24" s="2079"/>
      <c r="R24" s="2079"/>
      <c r="S24" s="2080"/>
      <c r="T24" s="105" t="s">
        <v>552</v>
      </c>
      <c r="U24" s="106"/>
      <c r="V24" s="106"/>
      <c r="W24" s="106"/>
      <c r="X24" s="107"/>
      <c r="Y24" s="107"/>
      <c r="Z24" s="107"/>
      <c r="AA24" s="108"/>
    </row>
    <row r="25" spans="1:27" ht="14.1" customHeight="1" x14ac:dyDescent="0.2">
      <c r="A25" s="2014">
        <v>60106</v>
      </c>
      <c r="B25" s="2015"/>
      <c r="C25" s="2015"/>
      <c r="D25" s="2015"/>
      <c r="E25" s="2015"/>
      <c r="F25" s="2015"/>
      <c r="G25" s="2015"/>
      <c r="H25" s="2016"/>
      <c r="I25" s="113"/>
      <c r="J25" s="2081"/>
      <c r="K25" s="2081"/>
      <c r="L25" s="2081"/>
      <c r="M25" s="2081"/>
      <c r="N25" s="2081"/>
      <c r="O25" s="2081"/>
      <c r="P25" s="2081"/>
      <c r="Q25" s="2081"/>
      <c r="R25" s="2081"/>
      <c r="S25" s="2082"/>
      <c r="T25" s="1974" t="s">
        <v>2090</v>
      </c>
      <c r="U25" s="1975"/>
      <c r="V25" s="1975"/>
      <c r="W25" s="1975"/>
      <c r="X25" s="1975"/>
      <c r="Y25" s="1975"/>
      <c r="Z25" s="1975"/>
      <c r="AA25" s="19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2" t="s">
        <v>1591</v>
      </c>
      <c r="J27" s="2045"/>
      <c r="K27" s="2045"/>
      <c r="L27" s="2045"/>
      <c r="M27" s="2045"/>
      <c r="N27" s="2045"/>
      <c r="O27" s="2045"/>
      <c r="P27" s="2045"/>
      <c r="Q27" s="2045"/>
      <c r="R27" s="2045"/>
      <c r="S27" s="204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8"/>
      <c r="Q35" s="2015"/>
      <c r="R35" s="201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7" t="s">
        <v>2079</v>
      </c>
      <c r="B38" s="2047"/>
      <c r="C38" s="2047"/>
      <c r="D38" s="2047"/>
      <c r="E38" s="2047"/>
      <c r="F38" s="2015"/>
      <c r="G38" s="2015"/>
      <c r="H38" s="2016"/>
      <c r="I38" s="2066"/>
      <c r="J38" s="1986"/>
      <c r="K38" s="1986"/>
      <c r="L38" s="1986"/>
      <c r="M38" s="1986"/>
      <c r="N38" s="1986"/>
      <c r="O38" s="1986"/>
      <c r="P38" s="1987"/>
      <c r="Q38" s="1987"/>
      <c r="R38" s="1987"/>
      <c r="S38" s="1988"/>
      <c r="T38" s="1985"/>
      <c r="U38" s="1986"/>
      <c r="V38" s="1986"/>
      <c r="W38" s="1986"/>
      <c r="X38" s="1987"/>
      <c r="Y38" s="1987"/>
      <c r="Z38" s="1987"/>
      <c r="AA38" s="1988"/>
    </row>
    <row r="39" spans="1:27" ht="12" customHeight="1" x14ac:dyDescent="0.2">
      <c r="A39" s="2070" t="s">
        <v>552</v>
      </c>
      <c r="B39" s="2071"/>
      <c r="C39" s="72"/>
      <c r="D39" s="69"/>
      <c r="E39" s="69"/>
      <c r="F39" s="79"/>
      <c r="G39" s="69"/>
      <c r="H39" s="56"/>
      <c r="I39" s="2070" t="s">
        <v>552</v>
      </c>
      <c r="J39" s="2071"/>
      <c r="K39" s="2071"/>
      <c r="L39" s="2071"/>
      <c r="M39" s="2071"/>
      <c r="N39" s="67"/>
      <c r="O39" s="72"/>
      <c r="P39" s="72"/>
      <c r="Q39" s="78"/>
      <c r="R39" s="72"/>
      <c r="S39" s="56"/>
      <c r="T39" s="72" t="s">
        <v>552</v>
      </c>
      <c r="U39" s="51"/>
      <c r="V39" s="72"/>
      <c r="W39" s="50"/>
      <c r="X39" s="78"/>
      <c r="Y39" s="45"/>
      <c r="Z39" s="45"/>
      <c r="AA39" s="46"/>
    </row>
    <row r="40" spans="1:27" ht="13.5" customHeight="1" x14ac:dyDescent="0.2">
      <c r="A40" s="2073" t="s">
        <v>2080</v>
      </c>
      <c r="B40" s="2074"/>
      <c r="C40" s="2075"/>
      <c r="D40" s="2075"/>
      <c r="E40" s="2075"/>
      <c r="F40" s="2076"/>
      <c r="G40" s="2076"/>
      <c r="H40" s="2077"/>
      <c r="I40" s="1989"/>
      <c r="J40" s="1991"/>
      <c r="K40" s="1991"/>
      <c r="L40" s="1991"/>
      <c r="M40" s="1991"/>
      <c r="N40" s="1991"/>
      <c r="O40" s="1991"/>
      <c r="P40" s="1991"/>
      <c r="Q40" s="1991"/>
      <c r="R40" s="1991"/>
      <c r="S40" s="1992"/>
      <c r="T40" s="1989"/>
      <c r="U40" s="1990"/>
      <c r="V40" s="1991"/>
      <c r="W40" s="1991"/>
      <c r="X40" s="1991"/>
      <c r="Y40" s="1991"/>
      <c r="Z40" s="1991"/>
      <c r="AA40" s="199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3" t="s">
        <v>2081</v>
      </c>
      <c r="B42" s="2064"/>
      <c r="C42" s="2065"/>
      <c r="D42" s="2078" t="s">
        <v>2082</v>
      </c>
      <c r="E42" s="2064"/>
      <c r="F42" s="2064"/>
      <c r="G42" s="2064"/>
      <c r="H42" s="2065"/>
      <c r="I42" s="1984"/>
      <c r="J42" s="1980"/>
      <c r="K42" s="1980"/>
      <c r="L42" s="1980"/>
      <c r="M42" s="1980"/>
      <c r="N42" s="1980"/>
      <c r="O42" s="1981"/>
      <c r="P42" s="1979"/>
      <c r="Q42" s="1980"/>
      <c r="R42" s="1980"/>
      <c r="S42" s="1981"/>
      <c r="T42" s="1984"/>
      <c r="U42" s="1980"/>
      <c r="V42" s="1980"/>
      <c r="W42" s="1981"/>
      <c r="X42" s="1979"/>
      <c r="Y42" s="1980"/>
      <c r="Z42" s="1980"/>
      <c r="AA42" s="198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7"/>
      <c r="B44" s="2068"/>
      <c r="C44" s="2068"/>
      <c r="D44" s="2068"/>
      <c r="E44" s="2068"/>
      <c r="F44" s="2068"/>
      <c r="G44" s="2068"/>
      <c r="H44" s="2069"/>
      <c r="I44" s="2059"/>
      <c r="J44" s="2061"/>
      <c r="K44" s="2061"/>
      <c r="L44" s="2061"/>
      <c r="M44" s="2061"/>
      <c r="N44" s="2061"/>
      <c r="O44" s="2061"/>
      <c r="P44" s="2061"/>
      <c r="Q44" s="2061"/>
      <c r="R44" s="2061"/>
      <c r="S44" s="2062"/>
      <c r="T44" s="2059"/>
      <c r="U44" s="2060"/>
      <c r="V44" s="2060"/>
      <c r="W44" s="2060"/>
      <c r="X44" s="2060"/>
      <c r="Y44" s="2060"/>
      <c r="Z44" s="2061"/>
      <c r="AA44" s="206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6" t="s">
        <v>1902</v>
      </c>
      <c r="B2" s="1549" t="s">
        <v>2034</v>
      </c>
      <c r="C2" s="715" t="s">
        <v>1907</v>
      </c>
      <c r="D2" s="715" t="s">
        <v>1908</v>
      </c>
      <c r="E2" s="715" t="s">
        <v>1909</v>
      </c>
      <c r="F2" s="715" t="s">
        <v>1910</v>
      </c>
    </row>
    <row r="3" spans="1:6" ht="12" customHeight="1" x14ac:dyDescent="0.2">
      <c r="A3" s="2217"/>
      <c r="B3" s="1546"/>
      <c r="C3" s="1547"/>
      <c r="D3" s="1548" t="s">
        <v>274</v>
      </c>
      <c r="E3" s="1547"/>
      <c r="F3" s="1548" t="s">
        <v>275</v>
      </c>
    </row>
    <row r="4" spans="1:6" ht="13.7" customHeight="1" x14ac:dyDescent="0.2">
      <c r="A4" s="716" t="s">
        <v>1217</v>
      </c>
      <c r="B4" s="1770">
        <f>'Revenues 9-14'!C5</f>
        <v>19251047</v>
      </c>
      <c r="C4" s="1545">
        <v>9902593</v>
      </c>
      <c r="D4" s="1773">
        <f>B4-C4</f>
        <v>9348454</v>
      </c>
      <c r="E4" s="1545">
        <v>19295493</v>
      </c>
      <c r="F4" s="1773">
        <f>E4-C4</f>
        <v>9392900</v>
      </c>
    </row>
    <row r="5" spans="1:6" ht="13.7" customHeight="1" x14ac:dyDescent="0.2">
      <c r="A5" s="716" t="s">
        <v>925</v>
      </c>
      <c r="B5" s="1771">
        <f>'Revenues 9-14'!D5</f>
        <v>3454833</v>
      </c>
      <c r="C5" s="585">
        <v>1784217</v>
      </c>
      <c r="D5" s="1774">
        <f t="shared" ref="D5:D18" si="0">B5-C5</f>
        <v>1670616</v>
      </c>
      <c r="E5" s="585">
        <v>3476593</v>
      </c>
      <c r="F5" s="1774">
        <f>E5-C5</f>
        <v>1692376</v>
      </c>
    </row>
    <row r="6" spans="1:6" ht="13.7" customHeight="1" x14ac:dyDescent="0.2">
      <c r="A6" s="716" t="s">
        <v>431</v>
      </c>
      <c r="B6" s="1771">
        <f>'Revenues 9-14'!E5</f>
        <v>277463</v>
      </c>
      <c r="C6" s="585">
        <v>153228</v>
      </c>
      <c r="D6" s="1774">
        <f t="shared" si="0"/>
        <v>124235</v>
      </c>
      <c r="E6" s="585">
        <v>298583</v>
      </c>
      <c r="F6" s="1774">
        <f t="shared" ref="F6:F18" si="1">E6-C6</f>
        <v>145355</v>
      </c>
    </row>
    <row r="7" spans="1:6" ht="13.7" customHeight="1" x14ac:dyDescent="0.2">
      <c r="A7" s="716" t="s">
        <v>157</v>
      </c>
      <c r="B7" s="1771">
        <f>'Revenues 9-14'!F5</f>
        <v>578592</v>
      </c>
      <c r="C7" s="585">
        <v>333774</v>
      </c>
      <c r="D7" s="1774">
        <f t="shared" si="0"/>
        <v>244818</v>
      </c>
      <c r="E7" s="585">
        <v>650365</v>
      </c>
      <c r="F7" s="1774">
        <f t="shared" si="1"/>
        <v>316591</v>
      </c>
    </row>
    <row r="8" spans="1:6" ht="13.7" customHeight="1" x14ac:dyDescent="0.2">
      <c r="A8" s="716" t="s">
        <v>1241</v>
      </c>
      <c r="B8" s="1771">
        <f>'Revenues 9-14'!G5</f>
        <v>283364</v>
      </c>
      <c r="C8" s="585">
        <v>148813</v>
      </c>
      <c r="D8" s="1774">
        <f t="shared" si="0"/>
        <v>134551</v>
      </c>
      <c r="E8" s="585">
        <v>289938</v>
      </c>
      <c r="F8" s="1774">
        <f t="shared" si="1"/>
        <v>141125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8652</v>
      </c>
      <c r="C10" s="585">
        <v>4094</v>
      </c>
      <c r="D10" s="1774">
        <f t="shared" si="0"/>
        <v>4558</v>
      </c>
      <c r="E10" s="585">
        <v>7980</v>
      </c>
      <c r="F10" s="1774">
        <f t="shared" si="1"/>
        <v>3886</v>
      </c>
    </row>
    <row r="11" spans="1:6" x14ac:dyDescent="0.2">
      <c r="A11" s="716" t="s">
        <v>429</v>
      </c>
      <c r="B11" s="1771">
        <f>'Revenues 9-14'!J5</f>
        <v>205813</v>
      </c>
      <c r="C11" s="585">
        <v>117723</v>
      </c>
      <c r="D11" s="1774">
        <f t="shared" si="0"/>
        <v>88090</v>
      </c>
      <c r="E11" s="585">
        <v>229423</v>
      </c>
      <c r="F11" s="1774">
        <f t="shared" si="1"/>
        <v>111700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2505256</v>
      </c>
      <c r="C14" s="585">
        <v>1297550</v>
      </c>
      <c r="D14" s="1774">
        <f t="shared" si="0"/>
        <v>1207706</v>
      </c>
      <c r="E14" s="585">
        <v>2528311</v>
      </c>
      <c r="F14" s="1774">
        <f t="shared" si="1"/>
        <v>1230761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400532</v>
      </c>
      <c r="C16" s="585">
        <v>231044</v>
      </c>
      <c r="D16" s="1774">
        <f t="shared" si="0"/>
        <v>169488</v>
      </c>
      <c r="E16" s="585">
        <v>450202</v>
      </c>
      <c r="F16" s="1774">
        <f t="shared" si="1"/>
        <v>219158</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26965552</v>
      </c>
      <c r="C19" s="1772">
        <f>SUM(C4:C18)</f>
        <v>13973036</v>
      </c>
      <c r="D19" s="1772">
        <f>SUM(D4:D18)</f>
        <v>12992516</v>
      </c>
      <c r="E19" s="1772">
        <f>SUM(E4:E18)</f>
        <v>27226888</v>
      </c>
      <c r="F19" s="1772">
        <f>SUM(F4:F18)</f>
        <v>13253852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3"/>
      <c r="C1" s="722"/>
    </row>
    <row r="2" spans="1:7" ht="33.75" x14ac:dyDescent="0.2">
      <c r="A2" s="2231" t="s">
        <v>1902</v>
      </c>
      <c r="B2" s="2232"/>
      <c r="C2" s="1907" t="s">
        <v>2035</v>
      </c>
      <c r="D2" s="724" t="s">
        <v>2042</v>
      </c>
      <c r="E2" s="724" t="s">
        <v>2043</v>
      </c>
      <c r="F2" s="1907" t="s">
        <v>2036</v>
      </c>
    </row>
    <row r="3" spans="1:7" ht="15.75" customHeight="1" x14ac:dyDescent="0.2">
      <c r="A3" s="2235" t="s">
        <v>1176</v>
      </c>
      <c r="B3" s="2236"/>
      <c r="C3" s="2224"/>
      <c r="D3" s="2225"/>
      <c r="E3" s="2225"/>
      <c r="F3" s="2226"/>
    </row>
    <row r="4" spans="1:7" ht="12.75" customHeight="1" thickBot="1" x14ac:dyDescent="0.25">
      <c r="A4" s="2233" t="s">
        <v>651</v>
      </c>
      <c r="B4" s="2234"/>
      <c r="C4" s="581"/>
      <c r="D4" s="581"/>
      <c r="E4" s="581"/>
      <c r="F4" s="1776">
        <f>SUM(C4+D4)-E4</f>
        <v>0</v>
      </c>
    </row>
    <row r="5" spans="1:7" ht="15.75" customHeight="1" thickTop="1" x14ac:dyDescent="0.2">
      <c r="A5" s="2218" t="s">
        <v>1172</v>
      </c>
      <c r="B5" s="2219"/>
      <c r="C5" s="2227"/>
      <c r="D5" s="2228"/>
      <c r="E5" s="2228"/>
      <c r="F5" s="222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0" t="s">
        <v>652</v>
      </c>
      <c r="B15" s="2221"/>
      <c r="C15" s="1776">
        <f>SUM(C6:C14)</f>
        <v>0</v>
      </c>
      <c r="D15" s="1776">
        <f>SUM(D6:D14)</f>
        <v>0</v>
      </c>
      <c r="E15" s="1776">
        <f>SUM(E6:E14)</f>
        <v>0</v>
      </c>
      <c r="F15" s="1776">
        <f>SUM(F6:F14)</f>
        <v>0</v>
      </c>
      <c r="G15" s="552"/>
    </row>
    <row r="16" spans="1:7" s="202" customFormat="1" ht="15.75" customHeight="1" thickTop="1" x14ac:dyDescent="0.2">
      <c r="A16" s="2230" t="s">
        <v>1173</v>
      </c>
      <c r="B16" s="2219"/>
      <c r="C16" s="2227"/>
      <c r="D16" s="2228"/>
      <c r="E16" s="2228"/>
      <c r="F16" s="2229"/>
    </row>
    <row r="17" spans="1:11" ht="12.75" customHeight="1" thickBot="1" x14ac:dyDescent="0.25">
      <c r="A17" s="2243" t="s">
        <v>66</v>
      </c>
      <c r="B17" s="2244"/>
      <c r="C17" s="727"/>
      <c r="D17" s="585"/>
      <c r="E17" s="727"/>
      <c r="F17" s="1776">
        <f>SUM(C17+D17)-E17</f>
        <v>0</v>
      </c>
    </row>
    <row r="18" spans="1:11" ht="12.75" customHeight="1" thickTop="1" thickBot="1" x14ac:dyDescent="0.25">
      <c r="A18" s="2243" t="s">
        <v>6</v>
      </c>
      <c r="B18" s="2244"/>
      <c r="C18" s="727"/>
      <c r="D18" s="585"/>
      <c r="E18" s="727"/>
      <c r="F18" s="1776">
        <f>SUM(C18+D18)-E18</f>
        <v>0</v>
      </c>
    </row>
    <row r="19" spans="1:11" ht="12.75" customHeight="1" thickTop="1" thickBot="1" x14ac:dyDescent="0.25">
      <c r="A19" s="2243" t="s">
        <v>406</v>
      </c>
      <c r="B19" s="2244"/>
      <c r="C19" s="727"/>
      <c r="D19" s="585"/>
      <c r="E19" s="727"/>
      <c r="F19" s="1776">
        <f>SUM(C19+D19)-E19</f>
        <v>0</v>
      </c>
    </row>
    <row r="20" spans="1:11" ht="12.75" customHeight="1" thickTop="1" thickBot="1" x14ac:dyDescent="0.25">
      <c r="A20" s="2243" t="s">
        <v>468</v>
      </c>
      <c r="B20" s="2244"/>
      <c r="C20" s="727"/>
      <c r="D20" s="585"/>
      <c r="E20" s="727"/>
      <c r="F20" s="1776">
        <f>SUM(C20+D20)-E20</f>
        <v>0</v>
      </c>
    </row>
    <row r="21" spans="1:11" ht="14.25" thickTop="1" thickBot="1" x14ac:dyDescent="0.25">
      <c r="A21" s="2220" t="s">
        <v>653</v>
      </c>
      <c r="B21" s="2221"/>
      <c r="C21" s="1776">
        <f>SUM(C17:C20)</f>
        <v>0</v>
      </c>
      <c r="D21" s="1776">
        <f>SUM(D17:D20)</f>
        <v>0</v>
      </c>
      <c r="E21" s="1776">
        <f>SUM(E17:E20)</f>
        <v>0</v>
      </c>
      <c r="F21" s="1776">
        <f>SUM(F17:F20)</f>
        <v>0</v>
      </c>
      <c r="G21" s="552"/>
    </row>
    <row r="22" spans="1:11" ht="15.75" customHeight="1" thickTop="1" x14ac:dyDescent="0.2">
      <c r="A22" s="2245" t="s">
        <v>1174</v>
      </c>
      <c r="B22" s="2219"/>
      <c r="C22" s="2227"/>
      <c r="D22" s="2228"/>
      <c r="E22" s="2228"/>
      <c r="F22" s="2229"/>
    </row>
    <row r="23" spans="1:11" ht="13.5" thickBot="1" x14ac:dyDescent="0.25">
      <c r="A23" s="2233" t="s">
        <v>654</v>
      </c>
      <c r="B23" s="2234"/>
      <c r="C23" s="581"/>
      <c r="D23" s="581"/>
      <c r="E23" s="581"/>
      <c r="F23" s="1776">
        <f>SUM(C23+D23)-E23</f>
        <v>0</v>
      </c>
      <c r="G23" s="552"/>
    </row>
    <row r="24" spans="1:11" ht="15.75" customHeight="1" thickTop="1" x14ac:dyDescent="0.2">
      <c r="A24" s="2245" t="s">
        <v>1175</v>
      </c>
      <c r="B24" s="2219"/>
      <c r="C24" s="2227"/>
      <c r="D24" s="2228"/>
      <c r="E24" s="2228"/>
      <c r="F24" s="2229"/>
    </row>
    <row r="25" spans="1:11" ht="13.5" thickBot="1" x14ac:dyDescent="0.25">
      <c r="A25" s="2233" t="s">
        <v>655</v>
      </c>
      <c r="B25" s="2234"/>
      <c r="C25" s="581"/>
      <c r="D25" s="581"/>
      <c r="E25" s="581"/>
      <c r="F25" s="1776">
        <f>SUM(C25+D25)-E25</f>
        <v>0</v>
      </c>
      <c r="G25" s="552"/>
    </row>
    <row r="26" spans="1:11" ht="15.75" customHeight="1" thickTop="1" x14ac:dyDescent="0.2">
      <c r="A26" s="2218" t="s">
        <v>678</v>
      </c>
      <c r="B26" s="2219"/>
      <c r="C26" s="728"/>
      <c r="D26" s="728"/>
      <c r="E26" s="728"/>
      <c r="F26" s="729"/>
    </row>
    <row r="27" spans="1:11" ht="13.5" thickBot="1" x14ac:dyDescent="0.25">
      <c r="A27" s="2220" t="s">
        <v>1130</v>
      </c>
      <c r="B27" s="2221"/>
      <c r="C27" s="585"/>
      <c r="D27" s="585"/>
      <c r="E27" s="585"/>
      <c r="F27" s="1776">
        <f>SUM(C27+D27)-E27</f>
        <v>0</v>
      </c>
      <c r="G27" s="552"/>
    </row>
    <row r="28" spans="1:11" ht="7.5" customHeight="1" thickTop="1" x14ac:dyDescent="0.2">
      <c r="A28" s="594"/>
    </row>
    <row r="29" spans="1:11" ht="23.25" customHeight="1" x14ac:dyDescent="0.2">
      <c r="A29" s="2246" t="s">
        <v>603</v>
      </c>
      <c r="B29" s="2223"/>
      <c r="C29" s="730"/>
      <c r="D29" s="730"/>
      <c r="E29" s="730"/>
      <c r="F29" s="730"/>
      <c r="G29" s="730"/>
      <c r="H29" s="730"/>
      <c r="I29" s="730"/>
      <c r="J29" s="730"/>
    </row>
    <row r="30" spans="1:11" ht="33.75" x14ac:dyDescent="0.2">
      <c r="A30" s="1550" t="s">
        <v>1131</v>
      </c>
      <c r="B30" s="731" t="s">
        <v>1186</v>
      </c>
      <c r="C30" s="1908" t="s">
        <v>604</v>
      </c>
      <c r="D30" s="1908" t="s">
        <v>1772</v>
      </c>
      <c r="E30" s="1908" t="s">
        <v>2037</v>
      </c>
      <c r="F30" s="1908" t="s">
        <v>2038</v>
      </c>
      <c r="G30" s="1908" t="s">
        <v>2041</v>
      </c>
      <c r="H30" s="1908" t="s">
        <v>2039</v>
      </c>
      <c r="I30" s="1908" t="s">
        <v>2040</v>
      </c>
      <c r="J30" s="1909" t="s">
        <v>2</v>
      </c>
      <c r="K30" s="732"/>
    </row>
    <row r="31" spans="1:11" ht="12" customHeight="1" x14ac:dyDescent="0.2">
      <c r="A31" s="733" t="s">
        <v>2164</v>
      </c>
      <c r="B31" s="734">
        <v>38763</v>
      </c>
      <c r="C31" s="735">
        <v>9100000</v>
      </c>
      <c r="D31" s="736">
        <v>7</v>
      </c>
      <c r="E31" s="735">
        <v>350000</v>
      </c>
      <c r="F31" s="735"/>
      <c r="G31" s="735"/>
      <c r="H31" s="735">
        <v>350000</v>
      </c>
      <c r="I31" s="1777">
        <f>((E31+F31)-H31)+G31</f>
        <v>0</v>
      </c>
      <c r="J31" s="735"/>
      <c r="K31" s="737"/>
    </row>
    <row r="32" spans="1:11" ht="12" customHeight="1" x14ac:dyDescent="0.2">
      <c r="A32" s="733" t="s">
        <v>2165</v>
      </c>
      <c r="B32" s="734">
        <v>40372</v>
      </c>
      <c r="C32" s="735">
        <v>13055000</v>
      </c>
      <c r="D32" s="736">
        <v>6</v>
      </c>
      <c r="E32" s="735">
        <v>13055000</v>
      </c>
      <c r="F32" s="735"/>
      <c r="G32" s="735"/>
      <c r="H32" s="735"/>
      <c r="I32" s="1777">
        <f>((E32+F32)-H32)+G32</f>
        <v>13055000</v>
      </c>
      <c r="J32" s="735">
        <f>13055000-2943480</f>
        <v>10111520</v>
      </c>
      <c r="K32" s="737"/>
    </row>
    <row r="33" spans="1:11" ht="12" customHeight="1" x14ac:dyDescent="0.2">
      <c r="A33" s="733" t="s">
        <v>2166</v>
      </c>
      <c r="B33" s="734">
        <v>40372</v>
      </c>
      <c r="C33" s="735">
        <v>900000</v>
      </c>
      <c r="D33" s="736">
        <v>3</v>
      </c>
      <c r="E33" s="735">
        <v>900000</v>
      </c>
      <c r="F33" s="735"/>
      <c r="G33" s="735"/>
      <c r="H33" s="735"/>
      <c r="I33" s="1777">
        <f t="shared" ref="I33:I48" si="1">((E33+F33)-H33)+G33</f>
        <v>900000</v>
      </c>
      <c r="J33" s="735">
        <v>900000</v>
      </c>
      <c r="K33" s="737"/>
    </row>
    <row r="34" spans="1:11" ht="12" customHeight="1" x14ac:dyDescent="0.2">
      <c r="A34" s="733" t="s">
        <v>2167</v>
      </c>
      <c r="B34" s="734">
        <v>40497</v>
      </c>
      <c r="C34" s="735">
        <v>15420000</v>
      </c>
      <c r="D34" s="736">
        <v>6</v>
      </c>
      <c r="E34" s="735">
        <v>15420000</v>
      </c>
      <c r="F34" s="735"/>
      <c r="G34" s="735"/>
      <c r="H34" s="735"/>
      <c r="I34" s="1777">
        <f t="shared" si="1"/>
        <v>15420000</v>
      </c>
      <c r="J34" s="735">
        <v>15420000</v>
      </c>
      <c r="K34" s="738"/>
    </row>
    <row r="35" spans="1:11" ht="12" customHeight="1" x14ac:dyDescent="0.2">
      <c r="A35" s="733" t="s">
        <v>2168</v>
      </c>
      <c r="B35" s="734">
        <v>41583</v>
      </c>
      <c r="C35" s="739">
        <v>2100000</v>
      </c>
      <c r="D35" s="736">
        <v>3</v>
      </c>
      <c r="E35" s="739">
        <v>1700000</v>
      </c>
      <c r="F35" s="739"/>
      <c r="G35" s="739"/>
      <c r="H35" s="739">
        <v>200000</v>
      </c>
      <c r="I35" s="1777">
        <f t="shared" si="1"/>
        <v>1500000</v>
      </c>
      <c r="J35" s="739">
        <f>1500000-250000</f>
        <v>1250000</v>
      </c>
      <c r="K35" s="738"/>
    </row>
    <row r="36" spans="1:11" ht="12" customHeight="1" x14ac:dyDescent="0.2">
      <c r="A36" s="733" t="s">
        <v>2169</v>
      </c>
      <c r="B36" s="734">
        <v>41583</v>
      </c>
      <c r="C36" s="735">
        <v>5285000</v>
      </c>
      <c r="D36" s="736">
        <v>7</v>
      </c>
      <c r="E36" s="735">
        <v>3255000</v>
      </c>
      <c r="F36" s="735"/>
      <c r="G36" s="735"/>
      <c r="H36" s="735">
        <v>1055000</v>
      </c>
      <c r="I36" s="1777">
        <f t="shared" si="1"/>
        <v>2200000</v>
      </c>
      <c r="J36" s="735">
        <f>2200000-1100000</f>
        <v>1100000</v>
      </c>
      <c r="K36" s="740"/>
    </row>
    <row r="37" spans="1:11" ht="12" customHeight="1" x14ac:dyDescent="0.2">
      <c r="A37" s="733" t="s">
        <v>2170</v>
      </c>
      <c r="B37" s="734">
        <v>42655</v>
      </c>
      <c r="C37" s="467">
        <v>2646000</v>
      </c>
      <c r="D37" s="741">
        <v>8</v>
      </c>
      <c r="E37" s="467">
        <v>2646000</v>
      </c>
      <c r="F37" s="467"/>
      <c r="G37" s="467"/>
      <c r="H37" s="467"/>
      <c r="I37" s="1777">
        <f t="shared" si="1"/>
        <v>2646000</v>
      </c>
      <c r="J37" s="467">
        <v>2646000</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48506000</v>
      </c>
      <c r="D49" s="746"/>
      <c r="E49" s="1777">
        <f t="shared" ref="E49:J49" si="2">SUM(E31:E48)</f>
        <v>37326000</v>
      </c>
      <c r="F49" s="1777">
        <f t="shared" si="2"/>
        <v>0</v>
      </c>
      <c r="G49" s="1777">
        <f t="shared" si="2"/>
        <v>0</v>
      </c>
      <c r="H49" s="1777">
        <f t="shared" si="2"/>
        <v>1605000</v>
      </c>
      <c r="I49" s="1777">
        <f t="shared" si="2"/>
        <v>35721000</v>
      </c>
      <c r="J49" s="1777">
        <f t="shared" si="2"/>
        <v>31427520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7" t="s">
        <v>605</v>
      </c>
      <c r="C52" s="2238"/>
      <c r="D52" s="2238"/>
      <c r="E52" s="750" t="s">
        <v>900</v>
      </c>
      <c r="F52" s="2239" t="s">
        <v>2171</v>
      </c>
      <c r="G52" s="2240"/>
      <c r="H52" s="737"/>
      <c r="I52" s="737"/>
      <c r="J52" s="747"/>
    </row>
    <row r="53" spans="1:11" ht="11.25" customHeight="1" x14ac:dyDescent="0.2">
      <c r="A53" s="751" t="s">
        <v>969</v>
      </c>
      <c r="B53" s="752" t="s">
        <v>1008</v>
      </c>
      <c r="C53" s="747"/>
      <c r="D53" s="738"/>
      <c r="E53" s="750" t="s">
        <v>518</v>
      </c>
      <c r="F53" s="2241" t="s">
        <v>2172</v>
      </c>
      <c r="G53" s="2242"/>
      <c r="H53" s="737"/>
      <c r="I53" s="737"/>
      <c r="J53" s="747"/>
    </row>
    <row r="54" spans="1:11" ht="11.25" customHeight="1" x14ac:dyDescent="0.2">
      <c r="A54" s="753" t="s">
        <v>970</v>
      </c>
      <c r="B54" s="748" t="s">
        <v>1009</v>
      </c>
      <c r="C54" s="747"/>
      <c r="D54" s="738"/>
      <c r="E54" s="750" t="s">
        <v>519</v>
      </c>
      <c r="F54" s="2241"/>
      <c r="G54" s="224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1" t="s">
        <v>911</v>
      </c>
      <c r="B1" s="2272"/>
      <c r="C1" s="2272"/>
      <c r="D1" s="2272"/>
      <c r="E1" s="2272"/>
      <c r="F1" s="2272"/>
      <c r="G1" s="2273"/>
      <c r="H1" s="1551"/>
      <c r="I1" s="761"/>
      <c r="J1" s="433"/>
    </row>
    <row r="2" spans="1:11" ht="26.25" x14ac:dyDescent="0.2">
      <c r="A2" s="2250" t="s">
        <v>1776</v>
      </c>
      <c r="B2" s="2251"/>
      <c r="C2" s="2251"/>
      <c r="D2" s="2251"/>
      <c r="E2" s="2252"/>
      <c r="F2" s="762" t="s">
        <v>960</v>
      </c>
      <c r="G2" s="763" t="s">
        <v>1773</v>
      </c>
      <c r="H2" s="763" t="s">
        <v>430</v>
      </c>
      <c r="I2" s="763" t="s">
        <v>1220</v>
      </c>
      <c r="J2" s="763" t="s">
        <v>1916</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38"/>
      <c r="F4" s="767"/>
      <c r="G4" s="768"/>
      <c r="H4" s="769"/>
      <c r="I4" s="768"/>
      <c r="J4" s="770"/>
      <c r="K4" s="770"/>
    </row>
    <row r="5" spans="1:11" x14ac:dyDescent="0.2">
      <c r="A5" s="2274" t="s">
        <v>1129</v>
      </c>
      <c r="B5" s="2247"/>
      <c r="C5" s="2247"/>
      <c r="D5" s="2247"/>
      <c r="E5" s="2275"/>
      <c r="F5" s="771" t="s">
        <v>903</v>
      </c>
      <c r="G5" s="772"/>
      <c r="H5" s="765">
        <v>2505256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4" t="s">
        <v>1917</v>
      </c>
      <c r="B10" s="2247"/>
      <c r="C10" s="2247"/>
      <c r="D10" s="2247"/>
      <c r="E10" s="2276"/>
      <c r="F10" s="784" t="s">
        <v>917</v>
      </c>
      <c r="G10" s="783"/>
      <c r="H10" s="785"/>
      <c r="I10" s="765"/>
      <c r="J10" s="766"/>
      <c r="K10" s="766"/>
    </row>
    <row r="11" spans="1:11" x14ac:dyDescent="0.2">
      <c r="A11" s="2274" t="s">
        <v>162</v>
      </c>
      <c r="B11" s="2247"/>
      <c r="C11" s="2247"/>
      <c r="D11" s="2247"/>
      <c r="E11" s="2275"/>
      <c r="F11" s="771" t="s">
        <v>907</v>
      </c>
      <c r="G11" s="772"/>
      <c r="H11" s="765"/>
      <c r="I11" s="765"/>
      <c r="J11" s="766"/>
      <c r="K11" s="774"/>
    </row>
    <row r="12" spans="1:11" ht="13.5" thickBot="1" x14ac:dyDescent="0.25">
      <c r="A12" s="2264" t="s">
        <v>961</v>
      </c>
      <c r="B12" s="2265"/>
      <c r="C12" s="2265"/>
      <c r="D12" s="2265"/>
      <c r="E12" s="2266"/>
      <c r="F12" s="1778"/>
      <c r="G12" s="1779">
        <f>SUM(G5:G11)</f>
        <v>0</v>
      </c>
      <c r="H12" s="1779">
        <f>SUM(H5:H11)</f>
        <v>2505256</v>
      </c>
      <c r="I12" s="1779">
        <f>SUM(I5:I11)</f>
        <v>0</v>
      </c>
      <c r="J12" s="1779">
        <f>SUM(J5:J11)</f>
        <v>0</v>
      </c>
      <c r="K12" s="1779">
        <f>SUM(K5:K11)</f>
        <v>0</v>
      </c>
    </row>
    <row r="13" spans="1:11" ht="13.5" thickTop="1" x14ac:dyDescent="0.2">
      <c r="A13" s="2258" t="s">
        <v>388</v>
      </c>
      <c r="B13" s="2259"/>
      <c r="C13" s="2259"/>
      <c r="D13" s="2259"/>
      <c r="E13" s="2260"/>
      <c r="F13" s="786"/>
      <c r="G13" s="787"/>
      <c r="H13" s="788"/>
      <c r="I13" s="789"/>
      <c r="J13" s="789"/>
      <c r="K13" s="789"/>
    </row>
    <row r="14" spans="1:11" x14ac:dyDescent="0.2">
      <c r="A14" s="2280" t="s">
        <v>476</v>
      </c>
      <c r="B14" s="2280"/>
      <c r="C14" s="2280"/>
      <c r="D14" s="2280"/>
      <c r="E14" s="2281"/>
      <c r="F14" s="790" t="s">
        <v>909</v>
      </c>
      <c r="G14" s="783"/>
      <c r="H14" s="765">
        <v>2505256</v>
      </c>
      <c r="I14" s="772"/>
      <c r="J14" s="774"/>
      <c r="K14" s="766"/>
    </row>
    <row r="15" spans="1:11" x14ac:dyDescent="0.2">
      <c r="A15" s="2247" t="s">
        <v>4</v>
      </c>
      <c r="B15" s="2247"/>
      <c r="C15" s="2247"/>
      <c r="D15" s="2247"/>
      <c r="E15" s="2275"/>
      <c r="F15" s="790" t="s">
        <v>910</v>
      </c>
      <c r="G15" s="772"/>
      <c r="H15" s="765"/>
      <c r="I15" s="765"/>
      <c r="J15" s="766"/>
      <c r="K15" s="766"/>
    </row>
    <row r="16" spans="1:11" x14ac:dyDescent="0.2">
      <c r="A16" s="2247" t="s">
        <v>316</v>
      </c>
      <c r="B16" s="2247"/>
      <c r="C16" s="2247"/>
      <c r="D16" s="2247"/>
      <c r="E16" s="2275"/>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61" t="s">
        <v>386</v>
      </c>
      <c r="B18" s="2262"/>
      <c r="C18" s="2262"/>
      <c r="D18" s="2262"/>
      <c r="E18" s="2263"/>
      <c r="F18" s="790" t="s">
        <v>989</v>
      </c>
      <c r="G18" s="783"/>
      <c r="H18" s="783"/>
      <c r="I18" s="783"/>
      <c r="J18" s="766"/>
      <c r="K18" s="796"/>
    </row>
    <row r="19" spans="1:11" ht="21.75" customHeight="1" x14ac:dyDescent="0.2">
      <c r="A19" s="2282" t="s">
        <v>1913</v>
      </c>
      <c r="B19" s="2282"/>
      <c r="C19" s="2282"/>
      <c r="D19" s="2282"/>
      <c r="E19" s="2283"/>
      <c r="F19" s="790" t="s">
        <v>990</v>
      </c>
      <c r="G19" s="783"/>
      <c r="H19" s="783"/>
      <c r="I19" s="783"/>
      <c r="J19" s="766"/>
      <c r="K19" s="796"/>
    </row>
    <row r="20" spans="1:11" x14ac:dyDescent="0.2">
      <c r="A20" s="2261" t="s">
        <v>1918</v>
      </c>
      <c r="B20" s="2262"/>
      <c r="C20" s="2262"/>
      <c r="D20" s="2262"/>
      <c r="E20" s="2263"/>
      <c r="F20" s="790" t="s">
        <v>991</v>
      </c>
      <c r="G20" s="783"/>
      <c r="H20" s="783"/>
      <c r="I20" s="783"/>
      <c r="J20" s="766"/>
      <c r="K20" s="796"/>
    </row>
    <row r="21" spans="1:11" ht="13.5" thickBot="1" x14ac:dyDescent="0.25">
      <c r="A21" s="2267" t="s">
        <v>659</v>
      </c>
      <c r="B21" s="2267"/>
      <c r="C21" s="2267"/>
      <c r="D21" s="2267"/>
      <c r="E21" s="2267"/>
      <c r="F21" s="1780"/>
      <c r="G21" s="793"/>
      <c r="H21" s="797"/>
      <c r="I21" s="797"/>
      <c r="J21" s="1781">
        <f>SUM(J18:J20)</f>
        <v>0</v>
      </c>
      <c r="K21" s="794"/>
    </row>
    <row r="22" spans="1:11" ht="13.5" thickTop="1" x14ac:dyDescent="0.2">
      <c r="A22" s="2247" t="s">
        <v>1919</v>
      </c>
      <c r="B22" s="2247"/>
      <c r="C22" s="2247"/>
      <c r="D22" s="2247"/>
      <c r="E22" s="2275"/>
      <c r="F22" s="790" t="s">
        <v>917</v>
      </c>
      <c r="G22" s="783"/>
      <c r="H22" s="765"/>
      <c r="I22" s="765"/>
      <c r="J22" s="798"/>
      <c r="K22" s="766"/>
    </row>
    <row r="23" spans="1:11" ht="13.5" thickBot="1" x14ac:dyDescent="0.25">
      <c r="A23" s="2268" t="s">
        <v>962</v>
      </c>
      <c r="B23" s="2267"/>
      <c r="C23" s="2267"/>
      <c r="D23" s="2267"/>
      <c r="E23" s="2267"/>
      <c r="F23" s="1782"/>
      <c r="G23" s="1779">
        <f>SUM(G14:G16,G21,G22)</f>
        <v>0</v>
      </c>
      <c r="H23" s="1779">
        <f>SUM(H14:H16,H21,H22)</f>
        <v>2505256</v>
      </c>
      <c r="I23" s="1779">
        <f>SUM(I14:I16,I21,I22)</f>
        <v>0</v>
      </c>
      <c r="J23" s="1779">
        <f>SUM(J14:J16,J21,J22)</f>
        <v>0</v>
      </c>
      <c r="K23" s="1779">
        <f>SUM(K14:K16,K21,K22)</f>
        <v>0</v>
      </c>
    </row>
    <row r="24" spans="1:11" ht="14.25" thickTop="1" thickBot="1" x14ac:dyDescent="0.25">
      <c r="A24" s="2268" t="s">
        <v>2023</v>
      </c>
      <c r="B24" s="2267"/>
      <c r="C24" s="2267"/>
      <c r="D24" s="2267"/>
      <c r="E24" s="226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2033</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7"/>
      <c r="I31" s="2278"/>
      <c r="J31" s="2278"/>
      <c r="K31" s="2278"/>
    </row>
    <row r="32" spans="1:11" x14ac:dyDescent="0.2">
      <c r="A32" s="810"/>
      <c r="B32" s="237"/>
      <c r="C32" s="237"/>
      <c r="D32" s="237"/>
      <c r="E32" s="806"/>
      <c r="F32" s="812" t="s">
        <v>561</v>
      </c>
      <c r="G32" s="765"/>
      <c r="H32" s="2279"/>
      <c r="I32" s="2278"/>
      <c r="J32" s="2278"/>
      <c r="K32" s="2278"/>
    </row>
    <row r="33" spans="1:11" ht="1.5" customHeight="1" x14ac:dyDescent="0.2">
      <c r="A33" s="813" t="s">
        <v>1231</v>
      </c>
      <c r="B33" s="364"/>
      <c r="C33" s="364"/>
      <c r="D33" s="364"/>
      <c r="E33" s="364"/>
      <c r="F33" s="364"/>
      <c r="G33" s="814"/>
      <c r="H33" s="2279"/>
      <c r="I33" s="2278"/>
      <c r="J33" s="2278"/>
      <c r="K33" s="2278"/>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2032</v>
      </c>
      <c r="B1" s="2287"/>
      <c r="C1" s="2288"/>
      <c r="D1" s="827"/>
      <c r="E1" s="828"/>
      <c r="F1" s="828"/>
      <c r="G1" s="829"/>
      <c r="H1" s="830"/>
      <c r="I1" s="831"/>
      <c r="J1" s="2284"/>
      <c r="K1" s="2285"/>
      <c r="L1" s="228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535904</v>
      </c>
      <c r="D5" s="842"/>
      <c r="E5" s="842"/>
      <c r="F5" s="1781">
        <f>(C5+D5)-E5</f>
        <v>535904</v>
      </c>
      <c r="G5" s="838"/>
      <c r="H5" s="843"/>
      <c r="I5" s="843"/>
      <c r="J5" s="843"/>
      <c r="K5" s="794"/>
      <c r="L5" s="1790">
        <f>F5-K5</f>
        <v>535904</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80769062</v>
      </c>
      <c r="D8" s="845">
        <v>5458882</v>
      </c>
      <c r="E8" s="845"/>
      <c r="F8" s="1781">
        <f>(C8+D8)-E8</f>
        <v>86227944</v>
      </c>
      <c r="G8" s="844">
        <v>50</v>
      </c>
      <c r="H8" s="766">
        <v>12129513</v>
      </c>
      <c r="I8" s="766">
        <v>1669968</v>
      </c>
      <c r="J8" s="766"/>
      <c r="K8" s="1790">
        <f>(H8+I8)-J8</f>
        <v>13799481</v>
      </c>
      <c r="L8" s="1790">
        <f>F8-K8</f>
        <v>72428463</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1022487</v>
      </c>
      <c r="D10" s="847">
        <v>172037</v>
      </c>
      <c r="E10" s="847"/>
      <c r="F10" s="1785">
        <f>(C10+D10)-E10</f>
        <v>1194524</v>
      </c>
      <c r="G10" s="844">
        <v>20</v>
      </c>
      <c r="H10" s="848">
        <v>752633</v>
      </c>
      <c r="I10" s="848">
        <v>55425</v>
      </c>
      <c r="J10" s="848"/>
      <c r="K10" s="1790">
        <f>(H10+I10)-J10</f>
        <v>808058</v>
      </c>
      <c r="L10" s="1790">
        <f>F10-K10</f>
        <v>386466</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8466448</v>
      </c>
      <c r="D12" s="845">
        <v>425360</v>
      </c>
      <c r="E12" s="845">
        <v>2308496</v>
      </c>
      <c r="F12" s="1781">
        <f>(C12+D12)-E12</f>
        <v>6583312</v>
      </c>
      <c r="G12" s="844">
        <v>10</v>
      </c>
      <c r="H12" s="766">
        <v>6217328</v>
      </c>
      <c r="I12" s="766">
        <v>359786</v>
      </c>
      <c r="J12" s="766">
        <v>2308496</v>
      </c>
      <c r="K12" s="1790">
        <f>(H12+I12)-J12</f>
        <v>4268618</v>
      </c>
      <c r="L12" s="1790">
        <f>F12-K12</f>
        <v>2314694</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4054913</v>
      </c>
      <c r="D15" s="845"/>
      <c r="E15" s="845">
        <v>4054913</v>
      </c>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94848814</v>
      </c>
      <c r="D16" s="1781">
        <f>SUM(D3,D5:D6,D8:D10,D12:D15)</f>
        <v>6056279</v>
      </c>
      <c r="E16" s="1781">
        <f>SUM(E3,E5:E6,E8:E10,E12:E15)</f>
        <v>6363409</v>
      </c>
      <c r="F16" s="1781">
        <f>SUM(F3,F5:F6,F8:F10,F12:F15)</f>
        <v>94541684</v>
      </c>
      <c r="G16" s="844"/>
      <c r="H16" s="1781">
        <f>SUM(H3,H6,H8:H10,H12:H14,)</f>
        <v>19099474</v>
      </c>
      <c r="I16" s="1781">
        <f>SUM(I3,I6,I8:I10,I12:I14,)</f>
        <v>2085179</v>
      </c>
      <c r="J16" s="1781">
        <f>SUM(J3,J6,J8:J10,J12:J14,)</f>
        <v>2308496</v>
      </c>
      <c r="K16" s="1781">
        <f>(H16+I16)-J16</f>
        <v>18876157</v>
      </c>
      <c r="L16" s="1781">
        <f>F16-K16</f>
        <v>75665527</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27337</v>
      </c>
      <c r="G17" s="838">
        <v>10</v>
      </c>
      <c r="H17" s="770"/>
      <c r="I17" s="1790">
        <f>F17/G17</f>
        <v>2733.7</v>
      </c>
      <c r="J17" s="770"/>
      <c r="K17" s="796"/>
      <c r="L17" s="796"/>
    </row>
    <row r="18" spans="1:12" ht="14.25" thickTop="1" thickBot="1" x14ac:dyDescent="0.25">
      <c r="A18" s="1788" t="s">
        <v>706</v>
      </c>
      <c r="B18" s="1789"/>
      <c r="C18" s="772"/>
      <c r="D18" s="772"/>
      <c r="E18" s="772"/>
      <c r="F18" s="851"/>
      <c r="G18" s="852"/>
      <c r="H18" s="774"/>
      <c r="I18" s="1781">
        <f>SUM(I16,I17)</f>
        <v>2087912.7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2" t="s">
        <v>1699</v>
      </c>
      <c r="B1" s="2293"/>
      <c r="C1" s="2293"/>
      <c r="D1" s="2293"/>
      <c r="E1" s="2293"/>
      <c r="F1" s="2294"/>
      <c r="G1" s="856"/>
    </row>
    <row r="2" spans="1:7" ht="15" customHeight="1" thickBot="1" x14ac:dyDescent="0.25">
      <c r="A2" s="2295" t="s">
        <v>498</v>
      </c>
      <c r="B2" s="2296"/>
      <c r="C2" s="2296"/>
      <c r="D2" s="2296"/>
      <c r="E2" s="2296"/>
      <c r="F2" s="229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8"/>
      <c r="B5" s="2299"/>
      <c r="C5" s="2299"/>
      <c r="D5" s="2299"/>
      <c r="E5" s="2299"/>
      <c r="F5" s="2299"/>
    </row>
    <row r="6" spans="1:7" ht="13.5" customHeight="1" thickBot="1" x14ac:dyDescent="0.25">
      <c r="A6" s="2289" t="s">
        <v>1166</v>
      </c>
      <c r="B6" s="2290"/>
      <c r="C6" s="2290"/>
      <c r="D6" s="2290"/>
      <c r="E6" s="2290"/>
      <c r="F6" s="229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26092733</v>
      </c>
      <c r="G8" s="866"/>
    </row>
    <row r="9" spans="1:7" x14ac:dyDescent="0.2">
      <c r="A9" s="870" t="s">
        <v>480</v>
      </c>
      <c r="B9" s="871" t="s">
        <v>1986</v>
      </c>
      <c r="C9" s="872"/>
      <c r="D9" s="870" t="s">
        <v>522</v>
      </c>
      <c r="E9" s="869"/>
      <c r="F9" s="1933">
        <f>'Expenditures 15-22'!K151</f>
        <v>3646544</v>
      </c>
      <c r="G9" s="873"/>
    </row>
    <row r="10" spans="1:7" x14ac:dyDescent="0.2">
      <c r="A10" s="870" t="s">
        <v>520</v>
      </c>
      <c r="B10" s="871" t="s">
        <v>1987</v>
      </c>
      <c r="C10" s="872"/>
      <c r="D10" s="870" t="s">
        <v>522</v>
      </c>
      <c r="E10" s="869"/>
      <c r="F10" s="1933">
        <f>'Expenditures 15-22'!K174</f>
        <v>3049319</v>
      </c>
      <c r="G10" s="873"/>
    </row>
    <row r="11" spans="1:7" x14ac:dyDescent="0.2">
      <c r="A11" s="870" t="s">
        <v>481</v>
      </c>
      <c r="B11" s="871" t="s">
        <v>1988</v>
      </c>
      <c r="C11" s="872"/>
      <c r="D11" s="870" t="s">
        <v>522</v>
      </c>
      <c r="E11" s="869"/>
      <c r="F11" s="1933">
        <f>'Expenditures 15-22'!K210</f>
        <v>1141005</v>
      </c>
      <c r="G11" s="873"/>
    </row>
    <row r="12" spans="1:7" x14ac:dyDescent="0.2">
      <c r="A12" s="870" t="s">
        <v>482</v>
      </c>
      <c r="B12" s="871" t="s">
        <v>1989</v>
      </c>
      <c r="C12" s="872"/>
      <c r="D12" s="870" t="s">
        <v>522</v>
      </c>
      <c r="E12" s="869"/>
      <c r="F12" s="1933">
        <f>'Expenditures 15-22'!K295</f>
        <v>676275</v>
      </c>
      <c r="G12" s="873"/>
    </row>
    <row r="13" spans="1:7" x14ac:dyDescent="0.2">
      <c r="A13" s="870" t="s">
        <v>108</v>
      </c>
      <c r="B13" s="871" t="s">
        <v>1990</v>
      </c>
      <c r="C13" s="872"/>
      <c r="D13" s="870" t="s">
        <v>522</v>
      </c>
      <c r="E13" s="869"/>
      <c r="F13" s="1933">
        <f>'Expenditures 15-22'!K342</f>
        <v>225442</v>
      </c>
      <c r="G13" s="874"/>
    </row>
    <row r="14" spans="1:7" ht="12" customHeight="1" thickBot="1" x14ac:dyDescent="0.25">
      <c r="A14" s="1791"/>
      <c r="B14" s="1792"/>
      <c r="C14" s="1793"/>
      <c r="D14" s="1794" t="s">
        <v>522</v>
      </c>
      <c r="E14" s="1795" t="s">
        <v>1015</v>
      </c>
      <c r="F14" s="1796">
        <f>SUM(F8:F13)</f>
        <v>34831318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421279</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172181</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10136</v>
      </c>
      <c r="G51" s="866"/>
    </row>
    <row r="52" spans="1:7" x14ac:dyDescent="0.2">
      <c r="A52" s="870" t="s">
        <v>479</v>
      </c>
      <c r="B52" s="870" t="s">
        <v>1550</v>
      </c>
      <c r="C52" s="890" t="str">
        <f>'Expenditures 15-22'!B75</f>
        <v>3000</v>
      </c>
      <c r="D52" s="889" t="s">
        <v>469</v>
      </c>
      <c r="E52" s="869"/>
      <c r="F52" s="1937">
        <f>'Expenditures 15-22'!K75-SUM('Expenditures 15-22'!G75,'Expenditures 15-22'!I75)</f>
        <v>363258</v>
      </c>
      <c r="G52" s="866"/>
    </row>
    <row r="53" spans="1:7" x14ac:dyDescent="0.2">
      <c r="A53" s="870" t="s">
        <v>479</v>
      </c>
      <c r="B53" s="870" t="s">
        <v>1551</v>
      </c>
      <c r="C53" s="890">
        <f>'Expenditures 15-22'!B102</f>
        <v>4000</v>
      </c>
      <c r="D53" s="889" t="str">
        <f>'Expenditures 15-22'!A102</f>
        <v>Total Payments to Other Govt Units</v>
      </c>
      <c r="E53" s="869"/>
      <c r="F53" s="1937">
        <f>'Expenditures 15-22'!K102</f>
        <v>1693160</v>
      </c>
      <c r="G53" s="866"/>
    </row>
    <row r="54" spans="1:7" x14ac:dyDescent="0.2">
      <c r="A54" s="870" t="s">
        <v>479</v>
      </c>
      <c r="B54" s="870" t="s">
        <v>1552</v>
      </c>
      <c r="C54" s="890" t="s">
        <v>1039</v>
      </c>
      <c r="D54" s="886" t="s">
        <v>1157</v>
      </c>
      <c r="E54" s="869"/>
      <c r="F54" s="1937">
        <f>'Expenditures 15-22'!G114</f>
        <v>375049</v>
      </c>
      <c r="G54" s="866"/>
    </row>
    <row r="55" spans="1:7" x14ac:dyDescent="0.2">
      <c r="A55" s="870" t="s">
        <v>479</v>
      </c>
      <c r="B55" s="870" t="s">
        <v>1553</v>
      </c>
      <c r="C55" s="890" t="s">
        <v>1039</v>
      </c>
      <c r="D55" s="886" t="s">
        <v>309</v>
      </c>
      <c r="E55" s="869"/>
      <c r="F55" s="1937">
        <f>'Expenditures 15-22'!I114</f>
        <v>26462</v>
      </c>
      <c r="G55" s="866"/>
    </row>
    <row r="56" spans="1:7" x14ac:dyDescent="0.2">
      <c r="A56" s="870" t="s">
        <v>480</v>
      </c>
      <c r="B56" s="870" t="s">
        <v>1554</v>
      </c>
      <c r="C56" s="887" t="str">
        <f>'Expenditures 15-22'!B130</f>
        <v>3000</v>
      </c>
      <c r="D56" s="893" t="s">
        <v>469</v>
      </c>
      <c r="E56" s="869"/>
      <c r="F56" s="1937">
        <f>'Expenditures 15-22'!K130-SUM('Expenditures 15-22'!G130+'Expenditures 15-22'!I130)</f>
        <v>676</v>
      </c>
      <c r="G56" s="866"/>
    </row>
    <row r="57" spans="1:7" x14ac:dyDescent="0.2">
      <c r="A57" s="870" t="s">
        <v>480</v>
      </c>
      <c r="B57" s="870" t="s">
        <v>1991</v>
      </c>
      <c r="C57" s="890">
        <f>'Expenditures 15-22'!B139</f>
        <v>4000</v>
      </c>
      <c r="D57" s="888" t="str">
        <f>'Expenditures 15-22'!A139</f>
        <v>Total Payments to Other Govt Units</v>
      </c>
      <c r="E57" s="869"/>
      <c r="F57" s="1937">
        <f>'Expenditures 15-22'!K139</f>
        <v>0</v>
      </c>
      <c r="G57" s="866"/>
    </row>
    <row r="58" spans="1:7" x14ac:dyDescent="0.2">
      <c r="A58" s="870" t="s">
        <v>480</v>
      </c>
      <c r="B58" s="870" t="s">
        <v>1992</v>
      </c>
      <c r="C58" s="887" t="s">
        <v>1039</v>
      </c>
      <c r="D58" s="886" t="s">
        <v>1157</v>
      </c>
      <c r="E58" s="869"/>
      <c r="F58" s="1939">
        <f>'Expenditures 15-22'!G151</f>
        <v>1620327</v>
      </c>
      <c r="G58" s="866"/>
    </row>
    <row r="59" spans="1:7" x14ac:dyDescent="0.2">
      <c r="A59" s="894" t="s">
        <v>480</v>
      </c>
      <c r="B59" s="857" t="s">
        <v>1993</v>
      </c>
      <c r="C59" s="895" t="s">
        <v>1039</v>
      </c>
      <c r="D59" s="857" t="s">
        <v>309</v>
      </c>
      <c r="F59" s="1940">
        <f>'Expenditures 15-22'!I151</f>
        <v>875</v>
      </c>
      <c r="G59" s="866"/>
    </row>
    <row r="60" spans="1:7" x14ac:dyDescent="0.2">
      <c r="A60" s="894" t="s">
        <v>520</v>
      </c>
      <c r="B60" s="857" t="s">
        <v>1994</v>
      </c>
      <c r="C60" s="895">
        <v>4000</v>
      </c>
      <c r="D60" s="857" t="s">
        <v>330</v>
      </c>
      <c r="F60" s="1938">
        <f>'Expenditures 15-22'!K160</f>
        <v>0</v>
      </c>
      <c r="G60" s="866"/>
    </row>
    <row r="61" spans="1:7" x14ac:dyDescent="0.2">
      <c r="A61" s="896" t="s">
        <v>520</v>
      </c>
      <c r="B61" s="896" t="s">
        <v>1995</v>
      </c>
      <c r="C61" s="897" t="str">
        <f>'Expenditures 15-22'!B170</f>
        <v>5300</v>
      </c>
      <c r="D61" s="898" t="s">
        <v>329</v>
      </c>
      <c r="E61" s="880"/>
      <c r="F61" s="1937">
        <f>'Expenditures 15-22'!K170</f>
        <v>1605000</v>
      </c>
      <c r="G61" s="866"/>
    </row>
    <row r="62" spans="1:7" x14ac:dyDescent="0.2">
      <c r="A62" s="870" t="s">
        <v>481</v>
      </c>
      <c r="B62" s="870" t="s">
        <v>1996</v>
      </c>
      <c r="C62" s="887">
        <f>'Expenditures 15-22'!B185</f>
        <v>3000</v>
      </c>
      <c r="D62" s="877" t="s">
        <v>469</v>
      </c>
      <c r="E62" s="869"/>
      <c r="F62" s="1937">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1998</v>
      </c>
      <c r="C64" s="897" t="str">
        <f>'Expenditures 15-22'!B206</f>
        <v>5300</v>
      </c>
      <c r="D64" s="893" t="s">
        <v>329</v>
      </c>
      <c r="E64" s="869"/>
      <c r="F64" s="1937">
        <f>'Expenditures 15-22'!K206</f>
        <v>0</v>
      </c>
      <c r="G64" s="866"/>
    </row>
    <row r="65" spans="1:8" x14ac:dyDescent="0.2">
      <c r="A65" s="870" t="s">
        <v>481</v>
      </c>
      <c r="B65" s="870" t="s">
        <v>1999</v>
      </c>
      <c r="C65" s="887" t="s">
        <v>1039</v>
      </c>
      <c r="D65" s="886" t="s">
        <v>1157</v>
      </c>
      <c r="E65" s="869"/>
      <c r="F65" s="1937">
        <f>'Expenditures 15-22'!G210</f>
        <v>16078</v>
      </c>
      <c r="G65" s="866"/>
    </row>
    <row r="66" spans="1:8" x14ac:dyDescent="0.2">
      <c r="A66" s="870" t="s">
        <v>481</v>
      </c>
      <c r="B66" s="870" t="s">
        <v>2000</v>
      </c>
      <c r="C66" s="887" t="s">
        <v>1039</v>
      </c>
      <c r="D66" s="886" t="s">
        <v>309</v>
      </c>
      <c r="E66" s="869"/>
      <c r="F66" s="1937">
        <f>'Expenditures 15-22'!I210</f>
        <v>0</v>
      </c>
      <c r="G66" s="866"/>
    </row>
    <row r="67" spans="1:8" x14ac:dyDescent="0.2">
      <c r="A67" s="870" t="s">
        <v>482</v>
      </c>
      <c r="B67" s="870" t="s">
        <v>2001</v>
      </c>
      <c r="C67" s="887" t="str">
        <f>'Expenditures 15-22'!B216</f>
        <v>1125</v>
      </c>
      <c r="D67" s="893" t="str">
        <f>'Expenditures 15-22'!A216</f>
        <v>Pre-K Programs</v>
      </c>
      <c r="E67" s="869"/>
      <c r="F67" s="1937">
        <f>'Expenditures 15-22'!K216</f>
        <v>11929</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2003</v>
      </c>
      <c r="C70" s="887">
        <f>'Expenditures 15-22'!B221</f>
        <v>1300</v>
      </c>
      <c r="D70" s="888" t="str">
        <f>'Expenditures 15-22'!A221</f>
        <v>Adult/Continuing Education Programs</v>
      </c>
      <c r="E70" s="869"/>
      <c r="F70" s="1937">
        <f>'Expenditures 15-22'!K221</f>
        <v>0</v>
      </c>
      <c r="G70" s="866"/>
    </row>
    <row r="71" spans="1:8" x14ac:dyDescent="0.2">
      <c r="A71" s="870" t="s">
        <v>482</v>
      </c>
      <c r="B71" s="870" t="s">
        <v>2004</v>
      </c>
      <c r="C71" s="887">
        <f>'Expenditures 15-22'!B224</f>
        <v>1600</v>
      </c>
      <c r="D71" s="888" t="str">
        <f>'Expenditures 15-22'!A224</f>
        <v>Summer School Programs</v>
      </c>
      <c r="E71" s="869"/>
      <c r="F71" s="1937">
        <f>'Expenditures 15-22'!K224</f>
        <v>1509</v>
      </c>
      <c r="G71" s="866"/>
    </row>
    <row r="72" spans="1:8" x14ac:dyDescent="0.2">
      <c r="A72" s="870" t="s">
        <v>482</v>
      </c>
      <c r="B72" s="870" t="s">
        <v>2005</v>
      </c>
      <c r="C72" s="887">
        <f>'Expenditures 15-22'!B280</f>
        <v>3000</v>
      </c>
      <c r="D72" s="877" t="s">
        <v>469</v>
      </c>
      <c r="E72" s="869"/>
      <c r="F72" s="1937">
        <f>'Expenditures 15-22'!K280</f>
        <v>28379</v>
      </c>
      <c r="G72" s="866"/>
    </row>
    <row r="73" spans="1:8" x14ac:dyDescent="0.2">
      <c r="A73" s="870" t="s">
        <v>482</v>
      </c>
      <c r="B73" s="870" t="s">
        <v>2006</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2007</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6346298</v>
      </c>
      <c r="G76" s="866"/>
    </row>
    <row r="77" spans="1:8" s="894" customFormat="1" ht="12" customHeight="1" thickTop="1" thickBot="1" x14ac:dyDescent="0.25">
      <c r="A77" s="1800"/>
      <c r="B77" s="1797"/>
      <c r="C77" s="1793"/>
      <c r="D77" s="1798" t="s">
        <v>2009</v>
      </c>
      <c r="E77" s="1795"/>
      <c r="F77" s="1801">
        <f>(F14-F76)</f>
        <v>28485020</v>
      </c>
      <c r="G77" s="870"/>
    </row>
    <row r="78" spans="1:8" s="894" customFormat="1" ht="12" customHeight="1" thickTop="1" x14ac:dyDescent="0.2">
      <c r="A78" s="1802"/>
      <c r="B78" s="1797"/>
      <c r="C78" s="1793"/>
      <c r="D78" s="1798" t="s">
        <v>2056</v>
      </c>
      <c r="E78" s="1795"/>
      <c r="F78" s="899">
        <v>2110.5</v>
      </c>
      <c r="G78" s="900"/>
      <c r="H78" s="870"/>
    </row>
    <row r="79" spans="1:8" s="894" customFormat="1" ht="12" customHeight="1" thickBot="1" x14ac:dyDescent="0.25">
      <c r="A79" s="1803"/>
      <c r="B79" s="1797"/>
      <c r="C79" s="1793"/>
      <c r="D79" s="1798" t="s">
        <v>2010</v>
      </c>
      <c r="E79" s="1795" t="s">
        <v>1015</v>
      </c>
      <c r="F79" s="1804">
        <f>IF(F78&gt;0,F77/F78," Complete Line 78")</f>
        <v>13496.811182184316</v>
      </c>
      <c r="G79" s="870"/>
    </row>
    <row r="80" spans="1:8" s="894" customFormat="1" ht="8.25" customHeight="1" thickTop="1" x14ac:dyDescent="0.2">
      <c r="A80" s="901"/>
      <c r="B80" s="870"/>
      <c r="C80" s="872"/>
      <c r="D80" s="902"/>
      <c r="E80" s="869"/>
      <c r="F80" s="903"/>
      <c r="G80" s="870"/>
    </row>
    <row r="81" spans="1:7" s="894" customFormat="1" ht="12" thickBot="1" x14ac:dyDescent="0.25">
      <c r="A81" s="2289" t="s">
        <v>1167</v>
      </c>
      <c r="B81" s="2290"/>
      <c r="C81" s="2290"/>
      <c r="D81" s="2290"/>
      <c r="E81" s="2290"/>
      <c r="F81" s="229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22434</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157919</v>
      </c>
      <c r="G94" s="913"/>
    </row>
    <row r="95" spans="1:7" x14ac:dyDescent="0.2">
      <c r="A95" s="909" t="s">
        <v>142</v>
      </c>
      <c r="B95" s="909" t="s">
        <v>177</v>
      </c>
      <c r="C95" s="911">
        <v>1700</v>
      </c>
      <c r="D95" s="919" t="str">
        <f>'Revenues 9-14'!A82</f>
        <v>Total District/School Activity Income</v>
      </c>
      <c r="E95" s="907"/>
      <c r="F95" s="1810">
        <f>SUM('Revenues 9-14'!C82,'Revenues 9-14'!D82)</f>
        <v>16884</v>
      </c>
      <c r="G95" s="913"/>
    </row>
    <row r="96" spans="1:7" x14ac:dyDescent="0.2">
      <c r="A96" s="909" t="s">
        <v>479</v>
      </c>
      <c r="B96" s="909" t="s">
        <v>178</v>
      </c>
      <c r="C96" s="911">
        <f>'Revenues 9-14'!B84</f>
        <v>1811</v>
      </c>
      <c r="D96" s="912" t="str">
        <f>'Revenues 9-14'!A84</f>
        <v>Rentals - Regular Textbooks</v>
      </c>
      <c r="E96" s="907"/>
      <c r="F96" s="1810">
        <f>'Revenues 9-14'!C84</f>
        <v>28637</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30000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164462</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536926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381810</v>
      </c>
      <c r="G107" s="913"/>
    </row>
    <row r="108" spans="1:7" x14ac:dyDescent="0.2">
      <c r="A108" s="909" t="s">
        <v>479</v>
      </c>
      <c r="B108" s="909" t="s">
        <v>844</v>
      </c>
      <c r="C108" s="921">
        <f>'Revenues 9-14'!B145</f>
        <v>3360</v>
      </c>
      <c r="D108" s="912" t="str">
        <f>'Revenues 9-14'!A145</f>
        <v>State Free Lunch &amp; Breakfast</v>
      </c>
      <c r="E108" s="907"/>
      <c r="F108" s="1810">
        <f>'Revenues 9-14'!C145</f>
        <v>11486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578142</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2891</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837649</v>
      </c>
      <c r="G129" s="931"/>
    </row>
    <row r="130" spans="1:7" x14ac:dyDescent="0.2">
      <c r="A130" s="928" t="s">
        <v>689</v>
      </c>
      <c r="B130" s="928" t="s">
        <v>804</v>
      </c>
      <c r="C130" s="933">
        <v>4300</v>
      </c>
      <c r="D130" s="934" t="str">
        <f>'Revenues 9-14'!A211</f>
        <v>Total Title I</v>
      </c>
      <c r="E130" s="907"/>
      <c r="F130" s="1810">
        <f>SUM('Revenues 9-14'!C211,'Revenues 9-14'!D211,'Revenues 9-14'!F211,'Revenues 9-14'!G211)</f>
        <v>387514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2604</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473528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3245</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4490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76016</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61809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45676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143420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2055</v>
      </c>
      <c r="C175" s="1944">
        <v>3100</v>
      </c>
      <c r="D175" s="1945" t="s">
        <v>2058</v>
      </c>
      <c r="E175" s="907"/>
      <c r="F175" s="1929"/>
      <c r="G175" s="928"/>
    </row>
    <row r="176" spans="1:7" x14ac:dyDescent="0.2">
      <c r="A176" s="1942" t="s">
        <v>685</v>
      </c>
      <c r="B176" s="1943" t="s">
        <v>2055</v>
      </c>
      <c r="C176" s="1944">
        <v>3300</v>
      </c>
      <c r="D176" s="1945" t="s">
        <v>2059</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3967542</v>
      </c>
    </row>
    <row r="179" spans="1:7" ht="12" customHeight="1" x14ac:dyDescent="0.2">
      <c r="A179" s="1791"/>
      <c r="B179" s="1805"/>
      <c r="C179" s="1806"/>
      <c r="D179" s="1807" t="s">
        <v>2012</v>
      </c>
      <c r="E179" s="1808"/>
      <c r="F179" s="1810">
        <f>'PCTC-OEPP 27-28'!F77-F178</f>
        <v>24517478</v>
      </c>
    </row>
    <row r="180" spans="1:7" ht="12" customHeight="1" x14ac:dyDescent="0.2">
      <c r="A180" s="1791"/>
      <c r="B180" s="1805"/>
      <c r="C180" s="1806"/>
      <c r="D180" s="1807" t="s">
        <v>1921</v>
      </c>
      <c r="E180" s="1808"/>
      <c r="F180" s="1810">
        <f>'Cap Outlay Deprec 26'!I18</f>
        <v>2087912.7</v>
      </c>
    </row>
    <row r="181" spans="1:7" ht="12" customHeight="1" x14ac:dyDescent="0.2">
      <c r="A181" s="1791"/>
      <c r="B181" s="1805"/>
      <c r="C181" s="1806"/>
      <c r="D181" s="1807" t="s">
        <v>2013</v>
      </c>
      <c r="E181" s="1808"/>
      <c r="F181" s="1810">
        <f>F179+F180</f>
        <v>26605390.699999999</v>
      </c>
    </row>
    <row r="182" spans="1:7" ht="12" customHeight="1" x14ac:dyDescent="0.2">
      <c r="A182" s="1791"/>
      <c r="B182" s="1811"/>
      <c r="C182" s="1806"/>
      <c r="D182" s="1807" t="str">
        <f>D78</f>
        <v>9 Month ADA from District Average Daily Attendance/Prior General State Aid Inquiry 2017-2018</v>
      </c>
      <c r="E182" s="1808"/>
      <c r="F182" s="1812">
        <f>'PCTC-OEPP 27-28'!F78</f>
        <v>2110.5</v>
      </c>
      <c r="G182" s="931"/>
    </row>
    <row r="183" spans="1:7" ht="12" customHeight="1" thickBot="1" x14ac:dyDescent="0.25">
      <c r="A183" s="1791"/>
      <c r="B183" s="1811"/>
      <c r="C183" s="1806"/>
      <c r="D183" s="1807" t="s">
        <v>2014</v>
      </c>
      <c r="E183" s="1808" t="s">
        <v>1626</v>
      </c>
      <c r="F183" s="1813">
        <f>F181/F182</f>
        <v>12606.202653399669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9" activePane="bottomLeft" state="frozen"/>
      <selection pane="bottomLeft" activeCell="B29" sqref="B29"/>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3" t="s">
        <v>1922</v>
      </c>
      <c r="B4" s="2304"/>
      <c r="C4" s="2304"/>
      <c r="D4" s="2304"/>
      <c r="E4" s="2304"/>
      <c r="F4" s="2304"/>
      <c r="G4" s="2305"/>
    </row>
    <row r="5" spans="1:7" x14ac:dyDescent="0.25">
      <c r="A5" s="2306"/>
      <c r="B5" s="2307"/>
      <c r="C5" s="2307"/>
      <c r="D5" s="2307"/>
      <c r="E5" s="2307"/>
      <c r="F5" s="2307"/>
      <c r="G5" s="2308"/>
    </row>
    <row r="6" spans="1:7" ht="18.75" x14ac:dyDescent="0.25">
      <c r="A6" s="1555" t="s">
        <v>1923</v>
      </c>
      <c r="B6" s="1556"/>
      <c r="C6" s="1556"/>
      <c r="D6" s="1556"/>
      <c r="E6" s="1556"/>
      <c r="F6" s="1556"/>
      <c r="G6" s="1557"/>
    </row>
    <row r="7" spans="1:7" ht="30.75" customHeight="1" x14ac:dyDescent="0.25">
      <c r="A7" s="2309" t="s">
        <v>2072</v>
      </c>
      <c r="B7" s="2310"/>
      <c r="C7" s="2310"/>
      <c r="D7" s="2310"/>
      <c r="E7" s="2310"/>
      <c r="F7" s="2310"/>
      <c r="G7" s="2311"/>
    </row>
    <row r="8" spans="1:7" ht="15.75" customHeight="1" x14ac:dyDescent="0.25">
      <c r="A8" s="2312" t="s">
        <v>2021</v>
      </c>
      <c r="B8" s="2313"/>
      <c r="C8" s="2313"/>
      <c r="D8" s="2313"/>
      <c r="E8" s="2313"/>
      <c r="F8" s="2313"/>
      <c r="G8" s="2314"/>
    </row>
    <row r="9" spans="1:7" ht="35.25" customHeight="1" x14ac:dyDescent="0.25">
      <c r="A9" s="2309" t="s">
        <v>2020</v>
      </c>
      <c r="B9" s="2310"/>
      <c r="C9" s="2310"/>
      <c r="D9" s="2310"/>
      <c r="E9" s="2310"/>
      <c r="F9" s="2310"/>
      <c r="G9" s="2311"/>
    </row>
    <row r="10" spans="1:7" ht="15" customHeight="1" x14ac:dyDescent="0.25">
      <c r="A10" s="1558" t="s">
        <v>1924</v>
      </c>
      <c r="B10" s="1559"/>
      <c r="C10" s="1559"/>
      <c r="D10" s="1559"/>
      <c r="E10" s="1559"/>
      <c r="F10" s="1559"/>
      <c r="G10" s="1560"/>
    </row>
    <row r="11" spans="1:7" ht="17.25" customHeight="1" x14ac:dyDescent="0.25">
      <c r="A11" s="2309" t="s">
        <v>1938</v>
      </c>
      <c r="B11" s="2310"/>
      <c r="C11" s="2310"/>
      <c r="D11" s="2310"/>
      <c r="E11" s="2310"/>
      <c r="F11" s="2310"/>
      <c r="G11" s="2311"/>
    </row>
    <row r="12" spans="1:7" ht="15" customHeight="1" x14ac:dyDescent="0.25">
      <c r="A12" s="1558" t="s">
        <v>1929</v>
      </c>
      <c r="B12" s="1559"/>
      <c r="C12" s="1559"/>
      <c r="D12" s="1559"/>
      <c r="E12" s="1559"/>
      <c r="F12" s="1559"/>
      <c r="G12" s="1560"/>
    </row>
    <row r="13" spans="1:7" ht="32.25" customHeight="1" x14ac:dyDescent="0.25">
      <c r="A13" s="2300" t="s">
        <v>1930</v>
      </c>
      <c r="B13" s="2301"/>
      <c r="C13" s="2301"/>
      <c r="D13" s="2301"/>
      <c r="E13" s="2301"/>
      <c r="F13" s="2301"/>
      <c r="G13" s="2302"/>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72" t="s">
        <v>2190</v>
      </c>
      <c r="B17" s="1972" t="s">
        <v>2191</v>
      </c>
      <c r="C17" s="1972" t="s">
        <v>2192</v>
      </c>
      <c r="D17" s="1973">
        <v>89865</v>
      </c>
      <c r="E17" s="1561">
        <f t="shared" ref="E17:E141" si="1">IF(D17&lt;=25000,D17,IF(D17&gt;25000,25000,0))</f>
        <v>25000</v>
      </c>
      <c r="F17" s="1814">
        <f t="shared" si="0"/>
        <v>25000</v>
      </c>
      <c r="G17" s="1815">
        <f>IF(F17=0,0,D17-F17)</f>
        <v>64865</v>
      </c>
      <c r="H17" s="1668"/>
    </row>
    <row r="18" spans="1:8" x14ac:dyDescent="0.25">
      <c r="A18" s="1972" t="s">
        <v>2193</v>
      </c>
      <c r="B18" s="1972" t="s">
        <v>2194</v>
      </c>
      <c r="C18" s="1972" t="s">
        <v>2195</v>
      </c>
      <c r="D18" s="1973">
        <v>35032</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10032</v>
      </c>
    </row>
    <row r="19" spans="1:8" x14ac:dyDescent="0.25">
      <c r="A19" s="1972" t="s">
        <v>2196</v>
      </c>
      <c r="B19" s="1972" t="s">
        <v>2197</v>
      </c>
      <c r="C19" s="1972" t="s">
        <v>2198</v>
      </c>
      <c r="D19" s="1973">
        <v>216509</v>
      </c>
      <c r="E19" s="1561">
        <f t="shared" si="2"/>
        <v>25000</v>
      </c>
      <c r="F19" s="1814">
        <f t="shared" si="3"/>
        <v>25000</v>
      </c>
      <c r="G19" s="1815">
        <f t="shared" si="4"/>
        <v>191509</v>
      </c>
    </row>
    <row r="20" spans="1:8" x14ac:dyDescent="0.25">
      <c r="A20" s="1972" t="s">
        <v>2199</v>
      </c>
      <c r="B20" s="1972" t="s">
        <v>2200</v>
      </c>
      <c r="C20" s="1972" t="s">
        <v>2201</v>
      </c>
      <c r="D20" s="1973">
        <v>42766</v>
      </c>
      <c r="E20" s="1561">
        <f t="shared" si="2"/>
        <v>25000</v>
      </c>
      <c r="F20" s="1814">
        <f t="shared" si="3"/>
        <v>25000</v>
      </c>
      <c r="G20" s="1815">
        <f t="shared" si="4"/>
        <v>17766</v>
      </c>
    </row>
    <row r="21" spans="1:8" x14ac:dyDescent="0.25">
      <c r="A21" s="1972" t="s">
        <v>2193</v>
      </c>
      <c r="B21" s="1972" t="s">
        <v>2194</v>
      </c>
      <c r="C21" s="1972" t="s">
        <v>2202</v>
      </c>
      <c r="D21" s="1973">
        <v>1020162</v>
      </c>
      <c r="E21" s="1561">
        <f t="shared" si="2"/>
        <v>25000</v>
      </c>
      <c r="F21" s="1814">
        <f t="shared" si="3"/>
        <v>25000</v>
      </c>
      <c r="G21" s="1815">
        <f t="shared" si="4"/>
        <v>995162</v>
      </c>
    </row>
    <row r="22" spans="1:8" x14ac:dyDescent="0.25">
      <c r="A22" s="1972" t="s">
        <v>2193</v>
      </c>
      <c r="B22" s="1972" t="s">
        <v>2194</v>
      </c>
      <c r="C22" s="1972" t="s">
        <v>2203</v>
      </c>
      <c r="D22" s="1973">
        <v>36988</v>
      </c>
      <c r="E22" s="1561">
        <f t="shared" si="2"/>
        <v>25000</v>
      </c>
      <c r="F22" s="1814">
        <f t="shared" si="3"/>
        <v>25000</v>
      </c>
      <c r="G22" s="1815">
        <f t="shared" si="4"/>
        <v>11988</v>
      </c>
    </row>
    <row r="23" spans="1:8" x14ac:dyDescent="0.25">
      <c r="A23" s="1972" t="s">
        <v>2204</v>
      </c>
      <c r="B23" s="1972" t="s">
        <v>2205</v>
      </c>
      <c r="C23" s="1972" t="s">
        <v>2206</v>
      </c>
      <c r="D23" s="1973">
        <v>61475</v>
      </c>
      <c r="E23" s="1561">
        <f t="shared" si="2"/>
        <v>25000</v>
      </c>
      <c r="F23" s="1814">
        <f t="shared" si="3"/>
        <v>25000</v>
      </c>
      <c r="G23" s="1815">
        <f t="shared" si="4"/>
        <v>36475</v>
      </c>
    </row>
    <row r="24" spans="1:8" x14ac:dyDescent="0.25">
      <c r="A24" s="1972" t="s">
        <v>2193</v>
      </c>
      <c r="B24" s="1972" t="s">
        <v>2194</v>
      </c>
      <c r="C24" s="1972" t="s">
        <v>2207</v>
      </c>
      <c r="D24" s="1973">
        <v>67242</v>
      </c>
      <c r="E24" s="1561">
        <f t="shared" si="2"/>
        <v>25000</v>
      </c>
      <c r="F24" s="1814">
        <f t="shared" si="3"/>
        <v>25000</v>
      </c>
      <c r="G24" s="1815">
        <f t="shared" si="4"/>
        <v>42242</v>
      </c>
    </row>
    <row r="25" spans="1:8" x14ac:dyDescent="0.25">
      <c r="A25" s="1972" t="s">
        <v>2190</v>
      </c>
      <c r="B25" s="1972" t="s">
        <v>2191</v>
      </c>
      <c r="C25" s="1972" t="s">
        <v>2208</v>
      </c>
      <c r="D25" s="1973">
        <v>25500</v>
      </c>
      <c r="E25" s="1561">
        <f t="shared" si="2"/>
        <v>25000</v>
      </c>
      <c r="F25" s="1814">
        <f t="shared" si="3"/>
        <v>25000</v>
      </c>
      <c r="G25" s="1815">
        <f t="shared" si="4"/>
        <v>500</v>
      </c>
    </row>
    <row r="26" spans="1:8" x14ac:dyDescent="0.25">
      <c r="A26" s="1972" t="s">
        <v>2204</v>
      </c>
      <c r="B26" s="1972" t="s">
        <v>2205</v>
      </c>
      <c r="C26" s="1972" t="s">
        <v>2209</v>
      </c>
      <c r="D26" s="1973">
        <v>41042</v>
      </c>
      <c r="E26" s="1561">
        <f t="shared" si="2"/>
        <v>25000</v>
      </c>
      <c r="F26" s="1814">
        <f t="shared" si="3"/>
        <v>25000</v>
      </c>
      <c r="G26" s="1815">
        <f t="shared" si="4"/>
        <v>16042</v>
      </c>
    </row>
    <row r="27" spans="1:8" x14ac:dyDescent="0.25">
      <c r="A27" s="1972" t="s">
        <v>2199</v>
      </c>
      <c r="B27" s="1972" t="s">
        <v>2200</v>
      </c>
      <c r="C27" s="1972" t="s">
        <v>2210</v>
      </c>
      <c r="D27" s="1973">
        <v>33676</v>
      </c>
      <c r="E27" s="1561">
        <f t="shared" si="2"/>
        <v>25000</v>
      </c>
      <c r="F27" s="1814">
        <f t="shared" si="3"/>
        <v>25000</v>
      </c>
      <c r="G27" s="1815">
        <f t="shared" si="4"/>
        <v>8676</v>
      </c>
    </row>
    <row r="28" spans="1:8" x14ac:dyDescent="0.25">
      <c r="A28" s="1972" t="s">
        <v>2199</v>
      </c>
      <c r="B28" s="1972" t="s">
        <v>2200</v>
      </c>
      <c r="C28" s="1972" t="s">
        <v>2211</v>
      </c>
      <c r="D28" s="1973">
        <v>300491</v>
      </c>
      <c r="E28" s="1561">
        <f t="shared" si="2"/>
        <v>25000</v>
      </c>
      <c r="F28" s="1814">
        <f t="shared" si="3"/>
        <v>25000</v>
      </c>
      <c r="G28" s="1815">
        <f t="shared" si="4"/>
        <v>275491</v>
      </c>
    </row>
    <row r="29" spans="1:8" x14ac:dyDescent="0.25">
      <c r="A29" s="1972" t="s">
        <v>2212</v>
      </c>
      <c r="B29" s="1972" t="s">
        <v>2213</v>
      </c>
      <c r="C29" s="1972" t="s">
        <v>2214</v>
      </c>
      <c r="D29" s="1973">
        <v>719494</v>
      </c>
      <c r="E29" s="1561">
        <f t="shared" si="2"/>
        <v>25000</v>
      </c>
      <c r="F29" s="1814">
        <f t="shared" si="3"/>
        <v>25000</v>
      </c>
      <c r="G29" s="1815">
        <f t="shared" si="4"/>
        <v>694494</v>
      </c>
    </row>
    <row r="30" spans="1:8" x14ac:dyDescent="0.25">
      <c r="A30" s="1972" t="s">
        <v>2193</v>
      </c>
      <c r="B30" s="1972" t="s">
        <v>2194</v>
      </c>
      <c r="C30" s="1972" t="s">
        <v>2215</v>
      </c>
      <c r="D30" s="1973">
        <v>62264</v>
      </c>
      <c r="E30" s="1561">
        <f t="shared" si="2"/>
        <v>25000</v>
      </c>
      <c r="F30" s="1814">
        <f t="shared" si="3"/>
        <v>25000</v>
      </c>
      <c r="G30" s="1815">
        <f t="shared" si="4"/>
        <v>37264</v>
      </c>
    </row>
    <row r="31" spans="1:8" x14ac:dyDescent="0.25">
      <c r="A31" s="1972" t="s">
        <v>2193</v>
      </c>
      <c r="B31" s="1972" t="s">
        <v>2194</v>
      </c>
      <c r="C31" s="1972" t="s">
        <v>2216</v>
      </c>
      <c r="D31" s="1973">
        <v>26730</v>
      </c>
      <c r="E31" s="1561">
        <f t="shared" si="2"/>
        <v>25000</v>
      </c>
      <c r="F31" s="1814">
        <f t="shared" si="3"/>
        <v>25000</v>
      </c>
      <c r="G31" s="1815">
        <f t="shared" si="4"/>
        <v>1730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2779236</v>
      </c>
      <c r="E141" s="1562">
        <f t="shared" si="1"/>
        <v>25000</v>
      </c>
      <c r="F141" s="1816">
        <f>SUM(F17:F140)</f>
        <v>375000</v>
      </c>
      <c r="G141" s="1817">
        <f>SUM(G17:G140)</f>
        <v>2404236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5" t="s">
        <v>1778</v>
      </c>
      <c r="B5" s="2316"/>
      <c r="C5" s="2316"/>
      <c r="D5" s="2316"/>
      <c r="E5" s="2316"/>
      <c r="F5" s="2316"/>
      <c r="G5" s="231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766434</v>
      </c>
      <c r="F10" s="975"/>
      <c r="G10" s="976"/>
      <c r="H10" s="162"/>
      <c r="I10" s="162"/>
    </row>
    <row r="11" spans="1:9" s="669" customFormat="1" ht="22.5" customHeight="1" x14ac:dyDescent="0.2">
      <c r="A11" s="2320" t="s">
        <v>1942</v>
      </c>
      <c r="B11" s="2321"/>
      <c r="C11" s="2321"/>
      <c r="D11" s="2322"/>
      <c r="E11" s="978">
        <f>82196+1886</f>
        <v>84082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17654067</v>
      </c>
      <c r="F19" s="1821"/>
      <c r="G19" s="1823">
        <f>'Expenditures 15-22'!K33-SUM('Expenditures 15-22'!G33,'Expenditures 15-22'!I33)+'Expenditures 15-22'!D229</f>
        <v>17654067</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719495</v>
      </c>
      <c r="F21" s="1824"/>
      <c r="G21" s="1827">
        <f>'Expenditures 15-22'!K42-SUM('Expenditures 15-22'!G42,'Expenditures 15-22'!I42)+'Expenditures 15-22'!K120-SUM('Expenditures 15-22'!G120,'Expenditures 15-22'!I120)+'Expenditures 15-22'!K180-SUM('Expenditures 15-22'!G180,'Expenditures 15-22'!I180)+'Expenditures 15-22'!D238</f>
        <v>719495</v>
      </c>
      <c r="H21" s="988"/>
      <c r="I21" s="162"/>
    </row>
    <row r="22" spans="1:9" s="669" customFormat="1" ht="12" customHeight="1" x14ac:dyDescent="0.2">
      <c r="A22" s="995" t="s">
        <v>585</v>
      </c>
      <c r="B22" s="996"/>
      <c r="C22" s="994">
        <v>2200</v>
      </c>
      <c r="D22" s="1824"/>
      <c r="E22" s="1826">
        <f>'Expenditures 15-22'!K47-SUM('Expenditures 15-22'!G47,'Expenditures 15-22'!I47)+'Expenditures 15-22'!D243</f>
        <v>1338687</v>
      </c>
      <c r="F22" s="1824"/>
      <c r="G22" s="1827">
        <f>'Expenditures 15-22'!K47-SUM('Expenditures 15-22'!G47,'Expenditures 15-22'!I47)+'Expenditures 15-22'!D243</f>
        <v>1338687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950696</v>
      </c>
      <c r="F23" s="1824"/>
      <c r="G23" s="1826">
        <f>'Expenditures 15-22'!K53-SUM('Expenditures 15-22'!G53,'Expenditures 15-22'!I53)+'Expenditures 15-22'!D257+'Expenditures 15-22'!K330-SUM('Expenditures 15-22'!G330,'Expenditures 15-22'!I330)</f>
        <v>950696</v>
      </c>
      <c r="H23" s="988"/>
      <c r="I23" s="162"/>
    </row>
    <row r="24" spans="1:9" s="669" customFormat="1" ht="12" customHeight="1" x14ac:dyDescent="0.2">
      <c r="A24" s="995" t="s">
        <v>587</v>
      </c>
      <c r="B24" s="996"/>
      <c r="C24" s="994">
        <v>2400</v>
      </c>
      <c r="D24" s="1824"/>
      <c r="E24" s="1826">
        <f>'Expenditures 15-22'!K57-SUM('Expenditures 15-22'!G57,'Expenditures 15-22'!I57)+'Expenditures 15-22'!D261</f>
        <v>1568408</v>
      </c>
      <c r="F24" s="1824"/>
      <c r="G24" s="1827">
        <f>'Expenditures 15-22'!K57-SUM('Expenditures 15-22'!G57,'Expenditures 15-22'!I57)+'Expenditures 15-22'!D261</f>
        <v>1568408</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247163</v>
      </c>
      <c r="E26" s="1826">
        <f>'Expenditures 15-22'!K122-SUM('Expenditures 15-22'!G122,'Expenditures 15-22'!I122)+E7</f>
        <v>26800</v>
      </c>
      <c r="F26" s="1826">
        <f>'Expenditures 15-22'!K59-SUM('Expenditures 15-22'!G59,'Expenditures 15-22'!I59)+'Expenditures 15-22'!D263-E7</f>
        <v>247163</v>
      </c>
      <c r="G26" s="1827">
        <f>'Expenditures 15-22'!K122-SUM('Expenditures 15-22'!G122,'Expenditures 15-22'!I122)+E7</f>
        <v>26800</v>
      </c>
      <c r="H26" s="988"/>
      <c r="I26" s="162"/>
    </row>
    <row r="27" spans="1:9" s="669" customFormat="1" ht="12" customHeight="1" x14ac:dyDescent="0.2">
      <c r="A27" s="995" t="s">
        <v>483</v>
      </c>
      <c r="B27" s="998"/>
      <c r="C27" s="994">
        <v>2520</v>
      </c>
      <c r="D27" s="1826">
        <f>'Expenditures 15-22'!K60-SUM('Expenditures 15-22'!G60,'Expenditures 15-22'!I60)+'Expenditures 15-22'!D264-E8</f>
        <v>270611</v>
      </c>
      <c r="E27" s="1826">
        <f>E8</f>
        <v>0</v>
      </c>
      <c r="F27" s="1826">
        <f>'Expenditures 15-22'!K60-SUM('Expenditures 15-22'!G60,'Expenditures 15-22'!I60)+'Expenditures 15-22'!D264-E8</f>
        <v>270611</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1997866</v>
      </c>
      <c r="F28" s="1828">
        <f>'Expenditures 15-22'!K61-SUM('Expenditures 15-22'!G61,'Expenditures 15-22'!I61)+'Expenditures 15-22'!K124-SUM('Expenditures 15-22'!G124,'Expenditures 15-22'!I124)+'Expenditures 15-22'!D266-E9</f>
        <v>1997866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1209262</v>
      </c>
      <c r="F29" s="1824"/>
      <c r="G29" s="1827">
        <f>'Expenditures 15-22'!K62-SUM('Expenditures 15-22'!G62,'Expenditures 15-22'!I62)+'Expenditures 15-22'!K125-SUM('Expenditures 15-22'!G125,'Expenditures 15-22'!I125)+'Expenditures 15-22'!K182-SUM('Expenditures 15-22'!G182,'Expenditures 15-22'!I182)+'Expenditures 15-22'!D267</f>
        <v>1209262</v>
      </c>
      <c r="H29" s="986"/>
    </row>
    <row r="30" spans="1:9" ht="12" customHeight="1" x14ac:dyDescent="0.2">
      <c r="A30" s="995" t="s">
        <v>102</v>
      </c>
      <c r="B30" s="998"/>
      <c r="C30" s="994">
        <v>2560</v>
      </c>
      <c r="D30" s="1824"/>
      <c r="E30" s="1826">
        <f>'Expenditures 15-22'!K63-SUM('Expenditures 15-22'!G63,'Expenditures 15-22'!I63)+'Expenditures 15-22'!D268-E10</f>
        <v>186233</v>
      </c>
      <c r="F30" s="1824"/>
      <c r="G30" s="1826">
        <f>'Expenditures 15-22'!K63-SUM('Expenditures 15-22'!G63,'Expenditures 15-22'!I63)+'Expenditures 15-22'!D268-E10</f>
        <v>186233</v>
      </c>
    </row>
    <row r="31" spans="1:9" ht="12" customHeight="1" x14ac:dyDescent="0.2">
      <c r="A31" s="995" t="s">
        <v>103</v>
      </c>
      <c r="B31" s="998"/>
      <c r="C31" s="994">
        <v>2570</v>
      </c>
      <c r="D31" s="1826">
        <f>'Expenditures 15-22'!K64-SUM('Expenditures 15-22'!G64,'Expenditures 15-22'!I64)+'Expenditures 15-22'!D269-E12</f>
        <v>21630</v>
      </c>
      <c r="E31" s="1826">
        <f>E12</f>
        <v>0</v>
      </c>
      <c r="F31" s="1826">
        <f>'Expenditures 15-22'!K64-SUM('Expenditures 15-22'!G64,'Expenditures 15-22'!I64)+'Expenditures 15-22'!D269-E12</f>
        <v>21630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17043</v>
      </c>
      <c r="E36" s="1826">
        <f>E13</f>
        <v>0</v>
      </c>
      <c r="F36" s="1826">
        <f>'Expenditures 15-22'!K70-SUM('Expenditures 15-22'!G70,'Expenditures 15-22'!I70)+'Expenditures 15-22'!D275-E13</f>
        <v>17043</v>
      </c>
      <c r="G36" s="1826">
        <f>E13</f>
        <v>0</v>
      </c>
    </row>
    <row r="37" spans="1:7" ht="12" customHeight="1" x14ac:dyDescent="0.2">
      <c r="A37" s="995" t="s">
        <v>424</v>
      </c>
      <c r="B37" s="998"/>
      <c r="C37" s="994">
        <v>2660</v>
      </c>
      <c r="D37" s="1826">
        <f>'Expenditures 15-22'!K71-SUM('Expenditures 15-22'!G71,'Expenditures 15-22'!I71)+'Expenditures 15-22'!D276-E14</f>
        <v>603791</v>
      </c>
      <c r="E37" s="1826">
        <f>E14</f>
        <v>0</v>
      </c>
      <c r="F37" s="1826">
        <f>'Expenditures 15-22'!K71-SUM('Expenditures 15-22'!G71,'Expenditures 15-22'!I71)+'Expenditures 15-22'!D276-E14</f>
        <v>603791</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79549</v>
      </c>
      <c r="F38" s="1824"/>
      <c r="G38" s="1826">
        <f>'Expenditures 15-22'!K73-SUM('Expenditures 15-22'!G73,'Expenditures 15-22'!I73)+'Expenditures 15-22'!K128-SUM('Expenditures 15-22'!G128,'Expenditures 15-22'!I128)+'Expenditures 15-22'!K183-SUM('Expenditures 15-22'!G183,'Expenditures 15-22'!I183)+'Expenditures 15-22'!D278</f>
        <v>79549</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392313</v>
      </c>
      <c r="F39" s="1824"/>
      <c r="G39" s="1826">
        <f>'Expenditures 15-22'!K75-SUM('Expenditures 15-22'!G75,'Expenditures 15-22'!I75)+'Expenditures 15-22'!K130-SUM('Expenditures 15-22'!G130,'Expenditures 15-22'!I130)+'Expenditures 15-22'!K185-SUM('Expenditures 15-22'!G185,'Expenditures 15-22'!I185)+'Expenditures 15-22'!D280</f>
        <v>392313</v>
      </c>
    </row>
    <row r="40" spans="1:7" ht="12" customHeight="1" x14ac:dyDescent="0.2">
      <c r="A40" s="991" t="s">
        <v>1927</v>
      </c>
      <c r="B40" s="992"/>
      <c r="C40" s="994"/>
      <c r="D40" s="1824"/>
      <c r="E40" s="1828">
        <f>-'Contracts Paid in CY 29'!G141</f>
        <v>-2404236</v>
      </c>
      <c r="F40" s="1824"/>
      <c r="G40" s="1828">
        <f>-'Contracts Paid in CY 29'!G141</f>
        <v>-2404236</v>
      </c>
    </row>
    <row r="41" spans="1:7" ht="12" customHeight="1" x14ac:dyDescent="0.2">
      <c r="A41" s="999" t="s">
        <v>158</v>
      </c>
      <c r="B41" s="1000"/>
      <c r="C41" s="1001"/>
      <c r="D41" s="1828">
        <f>SUM(D19:D39)</f>
        <v>1160238</v>
      </c>
      <c r="E41" s="1828">
        <f>SUM(E19:E40)</f>
        <v>23719140</v>
      </c>
      <c r="F41" s="1828">
        <f>SUM(F19:F39)</f>
        <v>3158104</v>
      </c>
      <c r="G41" s="1828">
        <f>SUM(G19:G40)</f>
        <v>21721274</v>
      </c>
    </row>
    <row r="42" spans="1:7" x14ac:dyDescent="0.2">
      <c r="A42" s="988"/>
      <c r="B42" s="162"/>
      <c r="C42" s="1002"/>
      <c r="D42" s="2318" t="s">
        <v>543</v>
      </c>
      <c r="E42" s="2319"/>
      <c r="F42" s="1003" t="s">
        <v>544</v>
      </c>
      <c r="G42" s="1004"/>
    </row>
    <row r="43" spans="1:7" ht="12" customHeight="1" x14ac:dyDescent="0.2">
      <c r="A43" s="988"/>
      <c r="B43" s="162"/>
      <c r="C43" s="1002"/>
      <c r="D43" s="1829" t="s">
        <v>493</v>
      </c>
      <c r="E43" s="1830">
        <f>D41</f>
        <v>1160238</v>
      </c>
      <c r="F43" s="1829" t="s">
        <v>495</v>
      </c>
      <c r="G43" s="1830">
        <f>F41</f>
        <v>3158104</v>
      </c>
    </row>
    <row r="44" spans="1:7" ht="12" customHeight="1" x14ac:dyDescent="0.2">
      <c r="A44" s="988"/>
      <c r="B44" s="162"/>
      <c r="C44" s="1002"/>
      <c r="D44" s="1829" t="s">
        <v>494</v>
      </c>
      <c r="E44" s="1830">
        <f>E41</f>
        <v>23719140</v>
      </c>
      <c r="F44" s="1829" t="s">
        <v>494</v>
      </c>
      <c r="G44" s="1830">
        <f>G41</f>
        <v>21721274</v>
      </c>
    </row>
    <row r="45" spans="1:7" ht="12" customHeight="1" x14ac:dyDescent="0.2">
      <c r="A45" s="988"/>
      <c r="B45" s="162"/>
      <c r="C45" s="162"/>
      <c r="D45" s="1831" t="s">
        <v>1063</v>
      </c>
      <c r="E45" s="1832">
        <f>(E43/E44)</f>
        <v>4.8915685813229318E-2</v>
      </c>
      <c r="F45" s="1831" t="s">
        <v>1063</v>
      </c>
      <c r="G45" s="1832">
        <f>(G43/G44)</f>
        <v>0.14539220857855759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6" t="s">
        <v>1446</v>
      </c>
      <c r="B1" s="2326"/>
      <c r="C1" s="2326"/>
      <c r="D1" s="2326"/>
      <c r="E1" s="2326"/>
      <c r="F1" s="2326"/>
    </row>
    <row r="2" spans="1:10" x14ac:dyDescent="0.2">
      <c r="A2" s="1910" t="s">
        <v>2045</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7" t="s">
        <v>1627</v>
      </c>
      <c r="B5" s="2328"/>
      <c r="C5" s="2329"/>
      <c r="D5" s="2329"/>
      <c r="E5" s="2329"/>
      <c r="F5" s="2329"/>
    </row>
    <row r="6" spans="1:10" ht="12" customHeight="1" x14ac:dyDescent="0.25">
      <c r="A6" s="1873"/>
      <c r="B6" s="1874"/>
      <c r="C6" s="2330" t="str">
        <f>COVER!A17</f>
        <v>Bensenville SD 2</v>
      </c>
      <c r="D6" s="2330"/>
      <c r="E6" s="2330"/>
      <c r="F6" s="1875"/>
    </row>
    <row r="7" spans="1:10" ht="11.25" customHeight="1" thickBot="1" x14ac:dyDescent="0.3">
      <c r="A7" s="1873"/>
      <c r="B7" s="1874"/>
      <c r="C7" s="2331">
        <f>COVER!A13</f>
        <v>19022002002</v>
      </c>
      <c r="D7" s="2331"/>
      <c r="E7" s="2331"/>
      <c r="F7" s="1875"/>
    </row>
    <row r="8" spans="1:10" ht="25.5" customHeight="1" thickBot="1" x14ac:dyDescent="0.25">
      <c r="A8" s="1916" t="s">
        <v>2022</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2161</v>
      </c>
      <c r="D12" s="1888" t="s">
        <v>2161</v>
      </c>
      <c r="E12" s="1888" t="s">
        <v>2161</v>
      </c>
      <c r="F12" s="1890" t="s">
        <v>2173</v>
      </c>
      <c r="H12" s="1901">
        <f t="shared" ref="H12:H33" si="0">IF(C12="X",5,0)</f>
        <v>5</v>
      </c>
      <c r="I12" s="1901">
        <f t="shared" ref="I12:I33" si="1">IF(D12="X",5,0)</f>
        <v>5</v>
      </c>
      <c r="J12" s="1901">
        <f t="shared" ref="J12:J33" si="2">IF(E12="X",5,0)</f>
        <v>5</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2161</v>
      </c>
      <c r="D14" s="1888" t="s">
        <v>2161</v>
      </c>
      <c r="E14" s="1888" t="s">
        <v>2161</v>
      </c>
      <c r="F14" s="1890" t="s">
        <v>2174</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2161</v>
      </c>
      <c r="D19" s="1888" t="s">
        <v>2161</v>
      </c>
      <c r="E19" s="1888" t="s">
        <v>2161</v>
      </c>
      <c r="F19" s="1890" t="s">
        <v>2175</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2161</v>
      </c>
      <c r="D21" s="1888" t="s">
        <v>2161</v>
      </c>
      <c r="E21" s="1888" t="s">
        <v>2161</v>
      </c>
      <c r="F21" s="1890" t="s">
        <v>2176</v>
      </c>
      <c r="H21" s="1901">
        <f t="shared" si="0"/>
        <v>5</v>
      </c>
      <c r="I21" s="1901">
        <f t="shared" si="1"/>
        <v>5</v>
      </c>
      <c r="J21" s="1901">
        <f t="shared" si="2"/>
        <v>5</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2161</v>
      </c>
      <c r="D26" s="1888" t="s">
        <v>2161</v>
      </c>
      <c r="E26" s="1888" t="s">
        <v>2161</v>
      </c>
      <c r="F26" s="1890" t="s">
        <v>2177</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2161</v>
      </c>
      <c r="D28" s="1888" t="s">
        <v>2161</v>
      </c>
      <c r="E28" s="1888" t="s">
        <v>2161</v>
      </c>
      <c r="F28" s="1890" t="s">
        <v>2178</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2161</v>
      </c>
      <c r="D30" s="1888" t="s">
        <v>2161</v>
      </c>
      <c r="E30" s="1888" t="s">
        <v>2161</v>
      </c>
      <c r="F30" s="1890" t="s">
        <v>2179</v>
      </c>
      <c r="H30" s="1901">
        <f t="shared" si="0"/>
        <v>5</v>
      </c>
      <c r="I30" s="1901">
        <f t="shared" si="1"/>
        <v>5</v>
      </c>
      <c r="J30" s="1901">
        <f t="shared" si="2"/>
        <v>5</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35</v>
      </c>
      <c r="K34" s="1901">
        <f>SUM(H34:J34)</f>
        <v>105</v>
      </c>
    </row>
    <row r="35" spans="1:11" ht="12" customHeight="1" x14ac:dyDescent="0.2">
      <c r="A35" s="1894" t="s">
        <v>1459</v>
      </c>
      <c r="B35" s="1895"/>
      <c r="C35" s="2332"/>
      <c r="D35" s="2332"/>
      <c r="E35" s="2332"/>
      <c r="F35" s="2333"/>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37"/>
      <c r="B38" s="2338"/>
      <c r="C38" s="2338"/>
      <c r="D38" s="2338"/>
      <c r="E38" s="2338"/>
      <c r="F38" s="2339"/>
    </row>
    <row r="39" spans="1:11" ht="4.5" hidden="1" customHeight="1" x14ac:dyDescent="0.2">
      <c r="A39" s="1896"/>
      <c r="B39" s="1896"/>
      <c r="C39" s="1896"/>
      <c r="D39" s="1896"/>
      <c r="E39" s="1896"/>
      <c r="F39" s="1896"/>
    </row>
    <row r="40" spans="1:11" s="1893" customFormat="1" ht="12" customHeight="1" x14ac:dyDescent="0.25">
      <c r="A40" s="1897" t="s">
        <v>1458</v>
      </c>
      <c r="B40" s="1898"/>
      <c r="C40" s="2340"/>
      <c r="D40" s="2340"/>
      <c r="E40" s="2340"/>
      <c r="F40" s="2341"/>
      <c r="H40" s="1902"/>
      <c r="I40" s="1902"/>
      <c r="J40" s="1902"/>
      <c r="K40" s="1902"/>
    </row>
    <row r="41" spans="1:11" s="1893" customFormat="1" ht="12" customHeight="1" x14ac:dyDescent="0.25">
      <c r="A41" s="2342" t="s">
        <v>2180</v>
      </c>
      <c r="B41" s="2343"/>
      <c r="C41" s="2343"/>
      <c r="D41" s="2343"/>
      <c r="E41" s="2343"/>
      <c r="F41" s="2344"/>
      <c r="H41" s="1902"/>
      <c r="I41" s="1902"/>
      <c r="J41" s="1902"/>
      <c r="K41" s="1902"/>
    </row>
    <row r="42" spans="1:11" s="1893" customFormat="1" ht="12" customHeight="1" x14ac:dyDescent="0.25">
      <c r="A42" s="2342"/>
      <c r="B42" s="2343"/>
      <c r="C42" s="2343"/>
      <c r="D42" s="2343"/>
      <c r="E42" s="2343"/>
      <c r="F42" s="2344"/>
      <c r="H42" s="1902"/>
      <c r="I42" s="1902"/>
      <c r="J42" s="1902"/>
      <c r="K42" s="1902"/>
    </row>
    <row r="43" spans="1:11" s="1893" customFormat="1" ht="15" x14ac:dyDescent="0.25">
      <c r="A43" s="2334" t="s">
        <v>2181</v>
      </c>
      <c r="B43" s="2335"/>
      <c r="C43" s="2335"/>
      <c r="D43" s="2335"/>
      <c r="E43" s="2335"/>
      <c r="F43" s="2336"/>
      <c r="H43" s="1902"/>
      <c r="I43" s="1902"/>
      <c r="J43" s="1902"/>
      <c r="K43" s="1902"/>
    </row>
    <row r="44" spans="1:11" s="1893" customFormat="1" ht="12" hidden="1" customHeight="1" x14ac:dyDescent="0.25">
      <c r="A44" s="2334"/>
      <c r="B44" s="2335"/>
      <c r="C44" s="2335"/>
      <c r="D44" s="2335"/>
      <c r="E44" s="2335"/>
      <c r="F44" s="233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16" sqref="I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50" t="str">
        <f>COVER!A17</f>
        <v>Bensenville SD 2</v>
      </c>
      <c r="J6" s="2351"/>
      <c r="Q6" s="1685"/>
    </row>
    <row r="7" spans="1:17" x14ac:dyDescent="0.2">
      <c r="A7" s="2352" t="s">
        <v>924</v>
      </c>
      <c r="B7" s="2353"/>
      <c r="C7" s="2353"/>
      <c r="D7" s="2353"/>
      <c r="E7" s="2354"/>
      <c r="F7" s="1018"/>
      <c r="G7" s="1010"/>
      <c r="H7" s="1017" t="s">
        <v>390</v>
      </c>
      <c r="I7" s="2355">
        <f>COVER!A13</f>
        <v>19022002002</v>
      </c>
      <c r="J7" s="235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6" t="s">
        <v>502</v>
      </c>
      <c r="B11" s="2357"/>
      <c r="C11" s="235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452512</v>
      </c>
      <c r="F12" s="1040"/>
      <c r="G12" s="1833">
        <f t="shared" ref="G12:G18" si="0">SUM(E12:F12)</f>
        <v>452512</v>
      </c>
      <c r="H12" s="1041">
        <v>464838</v>
      </c>
      <c r="I12" s="1040"/>
      <c r="J12" s="1833">
        <f t="shared" ref="J12:J18" si="1">SUM(H12:I12)</f>
        <v>464838</v>
      </c>
    </row>
    <row r="13" spans="1:17" ht="15" customHeight="1" x14ac:dyDescent="0.2">
      <c r="A13" s="1036">
        <v>2</v>
      </c>
      <c r="B13" s="1037" t="s">
        <v>44</v>
      </c>
      <c r="C13" s="1038"/>
      <c r="D13" s="1039">
        <v>2330</v>
      </c>
      <c r="E13" s="1833">
        <f>'Expenditures 15-22'!K51</f>
        <v>38966</v>
      </c>
      <c r="F13" s="1040"/>
      <c r="G13" s="1833">
        <f t="shared" si="0"/>
        <v>38966</v>
      </c>
      <c r="H13" s="1041">
        <v>48707</v>
      </c>
      <c r="I13" s="1040"/>
      <c r="J13" s="1833">
        <f t="shared" si="1"/>
        <v>48707</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215605</v>
      </c>
      <c r="F15" s="1833">
        <f>'Expenditures 15-22'!K122</f>
        <v>26800</v>
      </c>
      <c r="G15" s="1833">
        <f t="shared" si="0"/>
        <v>242405</v>
      </c>
      <c r="H15" s="1041">
        <v>231438</v>
      </c>
      <c r="I15" s="1041">
        <v>26955</v>
      </c>
      <c r="J15" s="1833">
        <f t="shared" si="1"/>
        <v>258393</v>
      </c>
    </row>
    <row r="16" spans="1:17" ht="15" customHeight="1" x14ac:dyDescent="0.2">
      <c r="A16" s="1036">
        <v>5</v>
      </c>
      <c r="B16" s="1037" t="s">
        <v>103</v>
      </c>
      <c r="C16" s="1038"/>
      <c r="D16" s="1039">
        <v>2570</v>
      </c>
      <c r="E16" s="1833">
        <f>'Expenditures 15-22'!K64</f>
        <v>26932</v>
      </c>
      <c r="F16" s="1040"/>
      <c r="G16" s="1833">
        <f t="shared" si="0"/>
        <v>26932</v>
      </c>
      <c r="H16" s="1041">
        <v>27603</v>
      </c>
      <c r="I16" s="1040"/>
      <c r="J16" s="1833">
        <f t="shared" si="1"/>
        <v>27603</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9" t="s">
        <v>7</v>
      </c>
      <c r="C18" s="2360"/>
      <c r="D18" s="236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734015</v>
      </c>
      <c r="F19" s="1835">
        <f t="shared" si="2"/>
        <v>26800</v>
      </c>
      <c r="G19" s="1835">
        <f t="shared" si="2"/>
        <v>760815</v>
      </c>
      <c r="H19" s="1835">
        <f t="shared" si="2"/>
        <v>772586</v>
      </c>
      <c r="I19" s="1835">
        <f t="shared" si="2"/>
        <v>26955</v>
      </c>
      <c r="J19" s="1835">
        <f t="shared" si="2"/>
        <v>799541</v>
      </c>
    </row>
    <row r="20" spans="1:10" ht="13.5" thickTop="1" x14ac:dyDescent="0.2">
      <c r="A20" s="1036">
        <v>9</v>
      </c>
      <c r="B20" s="2362" t="s">
        <v>1703</v>
      </c>
      <c r="C20" s="2362"/>
      <c r="D20" s="2363"/>
      <c r="E20" s="1047"/>
      <c r="F20" s="1047"/>
      <c r="G20" s="1047"/>
      <c r="H20" s="1047"/>
      <c r="I20" s="1047"/>
      <c r="J20" s="1836">
        <f>IF(AND(G19&gt;0,J19&gt;0),(((J19-G19)/G19)),"Enter Budget Data")</f>
        <v>5.0900678877256626E-2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8"/>
      <c r="D26" s="2368"/>
      <c r="E26" s="1051"/>
      <c r="F26" s="2367"/>
      <c r="G26" s="2367"/>
    </row>
    <row r="27" spans="1:10" x14ac:dyDescent="0.2">
      <c r="B27" s="1048"/>
      <c r="C27" s="1052" t="s">
        <v>1093</v>
      </c>
      <c r="D27" s="1053"/>
      <c r="E27" s="1054"/>
      <c r="F27" s="2364" t="s">
        <v>1589</v>
      </c>
      <c r="G27" s="2364"/>
    </row>
    <row r="28" spans="1:10" ht="28.5" customHeight="1" x14ac:dyDescent="0.2">
      <c r="B28" s="1048"/>
      <c r="C28" s="2366"/>
      <c r="D28" s="2366"/>
      <c r="E28" s="1055"/>
      <c r="F28" s="2366"/>
      <c r="G28" s="2366"/>
    </row>
    <row r="29" spans="1:10" x14ac:dyDescent="0.2">
      <c r="B29" s="1048"/>
      <c r="C29" s="1056" t="s">
        <v>1642</v>
      </c>
      <c r="E29" s="1057"/>
      <c r="F29" s="2365" t="s">
        <v>1590</v>
      </c>
      <c r="G29" s="236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7" t="s">
        <v>134</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3"/>
    </row>
    <row r="36" spans="1:10" ht="13.5" customHeight="1" x14ac:dyDescent="0.2">
      <c r="B36" s="1062"/>
      <c r="C36" s="2349" t="s">
        <v>1941</v>
      </c>
      <c r="D36" s="2348"/>
      <c r="E36" s="2348"/>
      <c r="F36" s="2348"/>
      <c r="G36" s="2348"/>
      <c r="H36" s="2348"/>
      <c r="I36" s="2348"/>
      <c r="J36" s="1064"/>
    </row>
    <row r="37" spans="1:10" ht="22.5" customHeight="1" x14ac:dyDescent="0.2">
      <c r="C37" s="2348"/>
      <c r="D37" s="2348"/>
      <c r="E37" s="2348"/>
      <c r="F37" s="2348"/>
      <c r="G37" s="2348"/>
      <c r="H37" s="2348"/>
      <c r="I37" s="2348"/>
      <c r="J37" s="1064"/>
    </row>
    <row r="38" spans="1:10" ht="7.5" customHeight="1" x14ac:dyDescent="0.2">
      <c r="C38" s="1063"/>
      <c r="D38" s="1065"/>
      <c r="E38" s="1066"/>
      <c r="F38" s="1067"/>
      <c r="G38" s="1066"/>
    </row>
    <row r="39" spans="1:10" ht="13.5" customHeight="1" x14ac:dyDescent="0.2">
      <c r="B39" s="1062"/>
      <c r="C39" s="2345" t="s">
        <v>937</v>
      </c>
      <c r="D39" s="2346"/>
      <c r="E39" s="2346"/>
      <c r="F39" s="2346"/>
      <c r="G39" s="2346"/>
      <c r="H39" s="2346"/>
      <c r="I39" s="234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zoomScale="110" zoomScaleNormal="110" workbookViewId="0">
      <selection activeCell="C6" sqref="C6"/>
    </sheetView>
  </sheetViews>
  <sheetFormatPr defaultColWidth="9.140625" defaultRowHeight="12.75" x14ac:dyDescent="0.2"/>
  <cols>
    <col min="1" max="1" width="3" style="329" customWidth="1"/>
    <col min="2" max="2" width="16.28515625" style="329" customWidth="1"/>
    <col min="3" max="3" width="12.5703125" style="329" customWidth="1"/>
    <col min="4" max="4" width="23" style="329" customWidth="1"/>
    <col min="5" max="5" width="14" style="329" customWidth="1"/>
    <col min="6" max="6" width="40.140625" style="329" bestFit="1" customWidth="1"/>
    <col min="7" max="7" width="11" style="1969" bestFit="1" customWidth="1"/>
    <col min="8" max="16384" width="9.140625" style="329"/>
  </cols>
  <sheetData>
    <row r="2" spans="1:5" x14ac:dyDescent="0.2">
      <c r="A2" s="389" t="s">
        <v>276</v>
      </c>
    </row>
    <row r="3" spans="1:5" x14ac:dyDescent="0.2">
      <c r="A3" s="329" t="s">
        <v>277</v>
      </c>
    </row>
    <row r="4" spans="1:5" x14ac:dyDescent="0.2">
      <c r="B4" s="1968" t="s">
        <v>1137</v>
      </c>
      <c r="C4" s="1968" t="s">
        <v>2182</v>
      </c>
      <c r="D4" s="1968" t="s">
        <v>502</v>
      </c>
      <c r="E4" s="1970" t="s">
        <v>920</v>
      </c>
    </row>
    <row r="5" spans="1:5" x14ac:dyDescent="0.2">
      <c r="A5" s="329">
        <v>1</v>
      </c>
      <c r="B5" s="329" t="s">
        <v>66</v>
      </c>
      <c r="C5" s="1971">
        <v>1999</v>
      </c>
      <c r="D5" s="329" t="s">
        <v>2183</v>
      </c>
      <c r="E5" s="1969">
        <v>35724</v>
      </c>
    </row>
    <row r="6" spans="1:5" x14ac:dyDescent="0.2">
      <c r="A6" s="329">
        <v>2</v>
      </c>
      <c r="B6" s="329" t="s">
        <v>66</v>
      </c>
      <c r="C6" s="1971">
        <v>2900</v>
      </c>
      <c r="D6" s="329" t="s">
        <v>2184</v>
      </c>
      <c r="E6" s="1969">
        <v>73417</v>
      </c>
    </row>
    <row r="7" spans="1:5" x14ac:dyDescent="0.2">
      <c r="A7" s="329">
        <v>3</v>
      </c>
      <c r="B7" s="329" t="s">
        <v>66</v>
      </c>
      <c r="C7" s="1971">
        <v>4190</v>
      </c>
      <c r="D7" s="329" t="s">
        <v>2185</v>
      </c>
      <c r="E7" s="1969">
        <v>114137</v>
      </c>
    </row>
    <row r="8" spans="1:5" x14ac:dyDescent="0.2">
      <c r="A8" s="329">
        <v>4</v>
      </c>
      <c r="B8" s="329" t="s">
        <v>470</v>
      </c>
      <c r="C8" s="1971">
        <v>5400</v>
      </c>
      <c r="D8" s="329" t="s">
        <v>2186</v>
      </c>
      <c r="E8" s="1969">
        <v>5943</v>
      </c>
    </row>
    <row r="9" spans="1:5" x14ac:dyDescent="0.2">
      <c r="A9" s="329">
        <v>5</v>
      </c>
      <c r="B9" s="329" t="s">
        <v>157</v>
      </c>
      <c r="C9" s="1971">
        <v>2900</v>
      </c>
      <c r="D9" s="329" t="s">
        <v>2187</v>
      </c>
      <c r="E9" s="1969">
        <v>8933</v>
      </c>
    </row>
    <row r="10" spans="1:5" x14ac:dyDescent="0.2">
      <c r="A10" s="329">
        <v>6</v>
      </c>
      <c r="B10" s="329" t="s">
        <v>2188</v>
      </c>
      <c r="C10" s="1971">
        <v>2900</v>
      </c>
      <c r="D10" s="329" t="s">
        <v>2189</v>
      </c>
      <c r="E10" s="1969">
        <v>8672</v>
      </c>
    </row>
    <row r="11" spans="1:5" x14ac:dyDescent="0.2">
      <c r="C11" s="1971"/>
      <c r="E11" s="1969"/>
    </row>
    <row r="12" spans="1:5" x14ac:dyDescent="0.2">
      <c r="A12" s="1069"/>
      <c r="E12" s="1971"/>
    </row>
    <row r="13" spans="1:5" x14ac:dyDescent="0.2">
      <c r="A13" s="1069"/>
    </row>
    <row r="14" spans="1:5" x14ac:dyDescent="0.2">
      <c r="A14" s="1069"/>
    </row>
    <row r="15" spans="1:5" x14ac:dyDescent="0.2">
      <c r="A15" s="1069"/>
    </row>
    <row r="16" spans="1:5"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Bensenville SD 2</v>
      </c>
    </row>
    <row r="65" spans="2:2" x14ac:dyDescent="0.2">
      <c r="B65" s="1070">
        <f>COVER!A13</f>
        <v>19022002002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6" t="s">
        <v>1125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715</v>
      </c>
      <c r="B40" s="2083"/>
      <c r="C40" s="2083"/>
      <c r="D40" s="2083"/>
      <c r="E40" s="2083"/>
    </row>
    <row r="41" spans="1:5" x14ac:dyDescent="0.2">
      <c r="A41" s="2084" t="s">
        <v>1706</v>
      </c>
      <c r="B41" s="2084"/>
      <c r="C41" s="2084"/>
      <c r="D41" s="2084"/>
      <c r="E41" s="2084"/>
    </row>
    <row r="42" spans="1:5" ht="12.75" customHeight="1" x14ac:dyDescent="0.2">
      <c r="A42" s="2085" t="s">
        <v>1080</v>
      </c>
      <c r="B42" s="2085"/>
      <c r="C42" s="2085"/>
      <c r="D42" s="2085"/>
      <c r="E42" s="208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9" t="s">
        <v>1784</v>
      </c>
      <c r="B18" s="236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4"/>
      <c r="H2" s="1074"/>
    </row>
    <row r="3" spans="1:8" ht="57" customHeight="1" x14ac:dyDescent="0.2">
      <c r="A3" s="2383" t="s">
        <v>1786</v>
      </c>
      <c r="B3" s="2384"/>
      <c r="C3" s="2384"/>
      <c r="D3" s="2384"/>
      <c r="E3" s="2384"/>
      <c r="F3" s="2385"/>
      <c r="G3" s="1074"/>
      <c r="H3" s="1074"/>
    </row>
    <row r="4" spans="1:8" ht="14.25" customHeight="1" x14ac:dyDescent="0.2">
      <c r="A4" s="2389" t="s">
        <v>2053</v>
      </c>
      <c r="B4" s="2390"/>
      <c r="C4" s="2390"/>
      <c r="D4" s="2390"/>
      <c r="E4" s="2390"/>
      <c r="F4" s="2391"/>
      <c r="G4" s="1074"/>
      <c r="H4" s="1074"/>
    </row>
    <row r="5" spans="1:8" ht="14.25" customHeight="1" x14ac:dyDescent="0.2">
      <c r="A5" s="2392" t="s">
        <v>2054</v>
      </c>
      <c r="B5" s="2393"/>
      <c r="C5" s="2393"/>
      <c r="D5" s="2393"/>
      <c r="E5" s="2393"/>
      <c r="F5" s="2394"/>
      <c r="G5" s="1074"/>
      <c r="H5" s="1074"/>
    </row>
    <row r="6" spans="1:8" s="1075" customFormat="1" ht="41.25" customHeight="1" x14ac:dyDescent="0.2">
      <c r="A6" s="2386" t="s">
        <v>1792</v>
      </c>
      <c r="B6" s="2387"/>
      <c r="C6" s="2387"/>
      <c r="D6" s="2387"/>
      <c r="E6" s="2387"/>
      <c r="F6" s="238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28620648</v>
      </c>
      <c r="C8" s="1837">
        <f>'Acct Summary 7-8'!D8</f>
        <v>4112038</v>
      </c>
      <c r="D8" s="1837">
        <f>'Acct Summary 7-8'!F8</f>
        <v>1202778</v>
      </c>
      <c r="E8" s="1837">
        <f>'Acct Summary 7-8'!I8</f>
        <v>9849</v>
      </c>
      <c r="F8" s="1837">
        <f>SUM(B8:E8)</f>
        <v>33945313</v>
      </c>
    </row>
    <row r="9" spans="1:8" s="1079" customFormat="1" ht="14.25" customHeight="1" thickBot="1" x14ac:dyDescent="0.25">
      <c r="A9" s="1078" t="s">
        <v>1436</v>
      </c>
      <c r="B9" s="1838">
        <f>'Acct Summary 7-8'!C17</f>
        <v>26092733</v>
      </c>
      <c r="C9" s="1838">
        <f>'Acct Summary 7-8'!D17</f>
        <v>3646544</v>
      </c>
      <c r="D9" s="1838">
        <f>'Acct Summary 7-8'!F17</f>
        <v>1141005</v>
      </c>
      <c r="E9" s="1837"/>
      <c r="F9" s="1837">
        <f>SUM(B9:E9)</f>
        <v>30880282</v>
      </c>
    </row>
    <row r="10" spans="1:8" s="1079" customFormat="1" ht="14.25" thickTop="1" thickBot="1" x14ac:dyDescent="0.25">
      <c r="A10" s="1080" t="s">
        <v>1437</v>
      </c>
      <c r="B10" s="1839">
        <f>(B8-B9)</f>
        <v>2527915</v>
      </c>
      <c r="C10" s="1839">
        <f>(C8-C9)</f>
        <v>465494</v>
      </c>
      <c r="D10" s="1839">
        <f>(D8-D9)</f>
        <v>61773</v>
      </c>
      <c r="E10" s="1838">
        <f>(E8-E9)</f>
        <v>9849</v>
      </c>
      <c r="F10" s="1840">
        <f>SUM(F8-F9)</f>
        <v>3065031</v>
      </c>
    </row>
    <row r="11" spans="1:8" s="1079" customFormat="1" ht="14.25" thickTop="1" thickBot="1" x14ac:dyDescent="0.25">
      <c r="A11" s="1081" t="s">
        <v>1785</v>
      </c>
      <c r="B11" s="1841">
        <f>'Acct Summary 7-8'!C81</f>
        <v>15103355</v>
      </c>
      <c r="C11" s="1841">
        <f>'Acct Summary 7-8'!D81</f>
        <v>1602119</v>
      </c>
      <c r="D11" s="1841">
        <f>'Acct Summary 7-8'!F81</f>
        <v>1401880</v>
      </c>
      <c r="E11" s="1841">
        <f>'Acct Summary 7-8'!I81</f>
        <v>520990</v>
      </c>
      <c r="F11" s="1842">
        <f>SUM(B11:E11)</f>
        <v>18628344</v>
      </c>
    </row>
    <row r="12" spans="1:8" ht="16.5" customHeight="1" thickTop="1" x14ac:dyDescent="0.2">
      <c r="A12" s="1082"/>
      <c r="B12" s="1083"/>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4"/>
      <c r="B13" s="1085"/>
      <c r="C13" s="2374"/>
      <c r="D13" s="2375"/>
      <c r="E13" s="2375"/>
      <c r="F13" s="2376"/>
      <c r="H13" s="1074"/>
    </row>
    <row r="14" spans="1:8" ht="19.5" customHeight="1" x14ac:dyDescent="0.2">
      <c r="A14" s="1084"/>
      <c r="B14" s="1085"/>
      <c r="C14" s="2374"/>
      <c r="D14" s="2375"/>
      <c r="E14" s="2375"/>
      <c r="F14" s="2376"/>
      <c r="H14" s="1074"/>
    </row>
    <row r="15" spans="1:8" ht="17.25" customHeight="1" x14ac:dyDescent="0.2">
      <c r="A15" s="1084"/>
      <c r="B15" s="1085"/>
      <c r="C15" s="2377"/>
      <c r="D15" s="2378"/>
      <c r="E15" s="2378"/>
      <c r="F15" s="2379"/>
      <c r="H15" s="1074"/>
    </row>
    <row r="16" spans="1:8" s="310" customFormat="1" ht="51.75" hidden="1" customHeight="1" x14ac:dyDescent="0.2">
      <c r="A16" s="2373" t="s">
        <v>1787</v>
      </c>
      <c r="B16" s="2373"/>
      <c r="C16" s="2373"/>
      <c r="D16" s="2373"/>
      <c r="E16" s="237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95" t="s">
        <v>686</v>
      </c>
      <c r="B3" s="2396"/>
      <c r="C3" s="2396"/>
      <c r="D3" s="2397"/>
    </row>
    <row r="4" spans="1:4" x14ac:dyDescent="0.2">
      <c r="A4" s="1152" t="s">
        <v>1793</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6" t="s">
        <v>1584</v>
      </c>
      <c r="D7" s="2407"/>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0" t="s">
        <v>332</v>
      </c>
      <c r="D21" s="2411"/>
    </row>
    <row r="22" spans="1:10" ht="12.75" x14ac:dyDescent="0.2">
      <c r="A22" s="1139"/>
      <c r="B22" s="1140">
        <v>2</v>
      </c>
      <c r="C22" s="2408" t="s">
        <v>1605</v>
      </c>
      <c r="D22" s="240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2" t="s">
        <v>557</v>
      </c>
      <c r="D43" s="241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4" t="s">
        <v>817</v>
      </c>
      <c r="D56" s="240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04" t="s">
        <v>1797</v>
      </c>
      <c r="D70" s="240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19022002002</v>
      </c>
    </row>
    <row r="3" spans="1:2" x14ac:dyDescent="0.2">
      <c r="A3" t="s">
        <v>1013</v>
      </c>
      <c r="B3" s="138" t="str">
        <f>COVER!A15</f>
        <v>DUPAGE</v>
      </c>
    </row>
    <row r="4" spans="1:2" x14ac:dyDescent="0.2">
      <c r="A4" t="s">
        <v>1064</v>
      </c>
      <c r="B4" s="138" t="str">
        <f>COVER!A17</f>
        <v>Bensenville SD 2</v>
      </c>
    </row>
    <row r="5" spans="1:2" x14ac:dyDescent="0.2">
      <c r="A5" t="s">
        <v>728</v>
      </c>
      <c r="B5" s="138" t="str">
        <f>COVER!A38</f>
        <v>Dr. James Stelter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066-003328</v>
      </c>
    </row>
    <row r="16" spans="1:2" x14ac:dyDescent="0.2">
      <c r="A16" t="s">
        <v>442</v>
      </c>
      <c r="B16" s="138" t="str">
        <f>COVER!T13</f>
        <v>MUELLER &amp; CO., LLP</v>
      </c>
    </row>
    <row r="17" spans="1:2" x14ac:dyDescent="0.2">
      <c r="A17" t="s">
        <v>939</v>
      </c>
      <c r="B17" s="138" t="str">
        <f>COVER!T15</f>
        <v>EDWARD MCCORMICK</v>
      </c>
    </row>
    <row r="18" spans="1:2" x14ac:dyDescent="0.2">
      <c r="A18" t="s">
        <v>1212</v>
      </c>
      <c r="B18" s="138" t="str">
        <f>COVER!T17</f>
        <v>14300 S RAVANIA AVE, SUITE 200</v>
      </c>
    </row>
    <row r="19" spans="1:2" x14ac:dyDescent="0.2">
      <c r="A19" t="s">
        <v>941</v>
      </c>
      <c r="B19" s="138" t="str">
        <f>COVER!T25</f>
        <v>EMCCORMICK@MUELLERCPA.COM</v>
      </c>
    </row>
    <row r="20" spans="1:2" x14ac:dyDescent="0.2">
      <c r="A20" t="s">
        <v>942</v>
      </c>
      <c r="B20" s="138" t="str">
        <f>COVER!T19</f>
        <v>ORLAND PARK</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15103355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15103355</v>
      </c>
      <c r="D92" s="2" t="str">
        <f t="shared" si="0"/>
        <v>Error?</v>
      </c>
    </row>
    <row r="93" spans="1:4" x14ac:dyDescent="0.2">
      <c r="A93" s="5">
        <v>32</v>
      </c>
      <c r="B93" s="138">
        <f>'Assets-Liab 5-6'!C41</f>
        <v>15103355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1602119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1602119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4293480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4293480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1401880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1401880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195262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195262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535904</v>
      </c>
      <c r="D273" s="2" t="str">
        <f t="shared" si="3"/>
        <v>Error?</v>
      </c>
    </row>
    <row r="274" spans="1:4" x14ac:dyDescent="0.2">
      <c r="A274" s="5">
        <v>213</v>
      </c>
      <c r="B274" s="138">
        <f>'Assets-Liab 5-6'!M17</f>
        <v>86227944</v>
      </c>
      <c r="D274" s="2" t="str">
        <f t="shared" si="3"/>
        <v>Error?</v>
      </c>
    </row>
    <row r="275" spans="1:4" x14ac:dyDescent="0.2">
      <c r="A275" s="5">
        <v>214</v>
      </c>
      <c r="B275" s="138">
        <f>'Assets-Liab 5-6'!M18</f>
        <v>1194524</v>
      </c>
      <c r="D275" s="2" t="str">
        <f t="shared" si="3"/>
        <v>Error?</v>
      </c>
    </row>
    <row r="276" spans="1:4" x14ac:dyDescent="0.2">
      <c r="A276" s="5">
        <v>215</v>
      </c>
      <c r="B276" s="138">
        <f>'Assets-Liab 5-6'!M19</f>
        <v>6583312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94541684</v>
      </c>
      <c r="C279" s="2" t="s">
        <v>594</v>
      </c>
      <c r="D279" s="2" t="str">
        <f t="shared" si="3"/>
        <v>Error?</v>
      </c>
    </row>
    <row r="280" spans="1:4" x14ac:dyDescent="0.2">
      <c r="A280" s="5">
        <v>219</v>
      </c>
      <c r="B280" s="138">
        <f>'Assets-Liab 5-6'!M40</f>
        <v>94541684</v>
      </c>
      <c r="D280" s="2" t="str">
        <f t="shared" si="3"/>
        <v>Error?</v>
      </c>
    </row>
    <row r="281" spans="1:4" x14ac:dyDescent="0.2">
      <c r="A281" s="5">
        <v>220</v>
      </c>
      <c r="B281" s="138">
        <f>'Assets-Liab 5-6'!M41</f>
        <v>94541684</v>
      </c>
      <c r="C281" s="2" t="s">
        <v>594</v>
      </c>
      <c r="D281" s="2" t="str">
        <f t="shared" si="3"/>
        <v>Error?</v>
      </c>
    </row>
    <row r="282" spans="1:4" x14ac:dyDescent="0.2">
      <c r="A282" s="5">
        <v>221</v>
      </c>
      <c r="B282" s="138">
        <f>'Assets-Liab 5-6'!N21</f>
        <v>4293480</v>
      </c>
      <c r="D282" s="2" t="str">
        <f t="shared" si="3"/>
        <v>Error?</v>
      </c>
    </row>
    <row r="283" spans="1:4" x14ac:dyDescent="0.2">
      <c r="A283" s="5">
        <v>222</v>
      </c>
      <c r="B283" s="138">
        <f>'Assets-Liab 5-6'!N22</f>
        <v>31427520</v>
      </c>
      <c r="D283" s="2" t="str">
        <f t="shared" si="3"/>
        <v>Error?</v>
      </c>
    </row>
    <row r="284" spans="1:4" x14ac:dyDescent="0.2">
      <c r="A284" s="5">
        <v>223</v>
      </c>
      <c r="B284" s="138">
        <f>'Assets-Liab 5-6'!N23</f>
        <v>35721000</v>
      </c>
      <c r="C284" s="2" t="s">
        <v>594</v>
      </c>
      <c r="D284" s="2" t="str">
        <f t="shared" si="3"/>
        <v>Error?</v>
      </c>
    </row>
    <row r="285" spans="1:4" x14ac:dyDescent="0.2">
      <c r="A285" s="5">
        <v>224</v>
      </c>
      <c r="B285" s="138">
        <f>'Assets-Liab 5-6'!N36</f>
        <v>35721000</v>
      </c>
      <c r="D285" s="2" t="str">
        <f t="shared" si="3"/>
        <v>Error?</v>
      </c>
    </row>
    <row r="286" spans="1:4" x14ac:dyDescent="0.2">
      <c r="A286" s="10">
        <v>225</v>
      </c>
      <c r="D286" s="2" t="str">
        <f t="shared" si="3"/>
        <v>OK</v>
      </c>
    </row>
    <row r="287" spans="1:4" x14ac:dyDescent="0.2">
      <c r="A287" s="5">
        <v>226</v>
      </c>
      <c r="B287" s="138">
        <f>'Assets-Liab 5-6'!N37</f>
        <v>35721000</v>
      </c>
      <c r="C287" s="2" t="s">
        <v>594</v>
      </c>
      <c r="D287" s="2" t="str">
        <f t="shared" si="3"/>
        <v>Error?</v>
      </c>
    </row>
    <row r="288" spans="1:4" x14ac:dyDescent="0.2">
      <c r="A288" s="5">
        <v>227</v>
      </c>
      <c r="B288" s="138">
        <f>'Assets-Liab 5-6'!N41</f>
        <v>35721000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9774835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54054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136460</v>
      </c>
      <c r="D719" s="2" t="str">
        <f t="shared" si="10"/>
        <v>Error?</v>
      </c>
    </row>
    <row r="720" spans="1:4" x14ac:dyDescent="0.2">
      <c r="A720" s="5">
        <v>659</v>
      </c>
      <c r="B720" s="138">
        <f>'Expenditures 15-22'!C33</f>
        <v>12302093</v>
      </c>
      <c r="C720" s="2" t="s">
        <v>594</v>
      </c>
      <c r="D720" s="2" t="str">
        <f t="shared" si="10"/>
        <v>Error?</v>
      </c>
    </row>
    <row r="721" spans="1:4" x14ac:dyDescent="0.2">
      <c r="A721" s="5">
        <v>660</v>
      </c>
      <c r="B721" s="138">
        <f>'Expenditures 15-22'!C36</f>
        <v>367390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151079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518469</v>
      </c>
      <c r="C727" s="2" t="s">
        <v>594</v>
      </c>
      <c r="D727" s="2" t="str">
        <f t="shared" si="10"/>
        <v>Error?</v>
      </c>
    </row>
    <row r="728" spans="1:4" x14ac:dyDescent="0.2">
      <c r="A728" s="5">
        <v>667</v>
      </c>
      <c r="B728" s="138">
        <f>'Expenditures 15-22'!C44</f>
        <v>408595</v>
      </c>
      <c r="D728" s="2" t="str">
        <f t="shared" si="10"/>
        <v>Error?</v>
      </c>
    </row>
    <row r="729" spans="1:4" x14ac:dyDescent="0.2">
      <c r="A729" s="5">
        <v>668</v>
      </c>
      <c r="B729" s="138">
        <f>'Expenditures 15-22'!C45</f>
        <v>430327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838922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333362</v>
      </c>
      <c r="D733" s="2" t="str">
        <f t="shared" si="10"/>
        <v>Error?</v>
      </c>
    </row>
    <row r="734" spans="1:4" x14ac:dyDescent="0.2">
      <c r="A734" s="5">
        <v>673</v>
      </c>
      <c r="B734" s="138">
        <f>'Expenditures 15-22'!C53</f>
        <v>371771</v>
      </c>
      <c r="C734" s="2" t="s">
        <v>594</v>
      </c>
      <c r="D734" s="2" t="str">
        <f t="shared" si="10"/>
        <v>Error?</v>
      </c>
    </row>
    <row r="735" spans="1:4" x14ac:dyDescent="0.2">
      <c r="A735" s="5">
        <v>674</v>
      </c>
      <c r="B735" s="138">
        <f>'Expenditures 15-22'!C55</f>
        <v>1129016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1129016</v>
      </c>
      <c r="C737" s="2" t="s">
        <v>594</v>
      </c>
      <c r="D737" s="2" t="str">
        <f t="shared" si="10"/>
        <v>Error?</v>
      </c>
    </row>
    <row r="738" spans="1:4" x14ac:dyDescent="0.2">
      <c r="A738" s="5">
        <v>677</v>
      </c>
      <c r="B738" s="138">
        <f>'Expenditures 15-22'!C59</f>
        <v>172994</v>
      </c>
      <c r="D738" s="2" t="str">
        <f t="shared" si="10"/>
        <v>Error?</v>
      </c>
    </row>
    <row r="739" spans="1:4" x14ac:dyDescent="0.2">
      <c r="A739" s="5">
        <v>678</v>
      </c>
      <c r="B739" s="138">
        <f>'Expenditures 15-22'!C60</f>
        <v>178687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186233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537914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329145</v>
      </c>
      <c r="D751" s="2" t="str">
        <f t="shared" si="10"/>
        <v>Error?</v>
      </c>
    </row>
    <row r="752" spans="1:4" x14ac:dyDescent="0.2">
      <c r="A752" s="10">
        <v>691</v>
      </c>
      <c r="D752" s="2" t="str">
        <f t="shared" si="10"/>
        <v>OK</v>
      </c>
    </row>
    <row r="753" spans="1:4" x14ac:dyDescent="0.2">
      <c r="A753" s="5">
        <v>692</v>
      </c>
      <c r="B753" s="138">
        <f>'Expenditures 15-22'!C72</f>
        <v>329145</v>
      </c>
      <c r="C753" s="2" t="s">
        <v>594</v>
      </c>
      <c r="D753" s="2" t="str">
        <f t="shared" si="10"/>
        <v>Error?</v>
      </c>
    </row>
    <row r="754" spans="1:4" x14ac:dyDescent="0.2">
      <c r="A754" s="5">
        <v>693</v>
      </c>
      <c r="B754" s="138">
        <f>'Expenditures 15-22'!C73</f>
        <v>44285</v>
      </c>
      <c r="D754" s="2" t="str">
        <f t="shared" si="10"/>
        <v>Error?</v>
      </c>
    </row>
    <row r="755" spans="1:4" x14ac:dyDescent="0.2">
      <c r="A755" s="5">
        <v>694</v>
      </c>
      <c r="B755" s="138">
        <f>'Expenditures 15-22'!C74</f>
        <v>3769522</v>
      </c>
      <c r="C755" s="2" t="s">
        <v>594</v>
      </c>
      <c r="D755" s="2" t="str">
        <f t="shared" si="10"/>
        <v>Error?</v>
      </c>
    </row>
    <row r="756" spans="1:4" x14ac:dyDescent="0.2">
      <c r="A756" s="5">
        <v>695</v>
      </c>
      <c r="B756" s="138">
        <f>'Expenditures 15-22'!C75</f>
        <v>252329</v>
      </c>
      <c r="D756" s="2" t="str">
        <f t="shared" si="10"/>
        <v>Error?</v>
      </c>
    </row>
    <row r="757" spans="1:4" x14ac:dyDescent="0.2">
      <c r="A757" s="5">
        <v>696</v>
      </c>
      <c r="B757" s="138">
        <f>'Expenditures 15-22'!C114</f>
        <v>16323944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3024024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25903</v>
      </c>
      <c r="D777" s="2" t="str">
        <f t="shared" si="11"/>
        <v>Error?</v>
      </c>
    </row>
    <row r="778" spans="1:4" x14ac:dyDescent="0.2">
      <c r="A778" s="5">
        <v>717</v>
      </c>
      <c r="B778" s="138">
        <f>'Expenditures 15-22'!D33</f>
        <v>3734093</v>
      </c>
      <c r="C778" s="2" t="s">
        <v>594</v>
      </c>
      <c r="D778" s="2" t="str">
        <f t="shared" si="11"/>
        <v>Error?</v>
      </c>
    </row>
    <row r="779" spans="1:4" x14ac:dyDescent="0.2">
      <c r="A779" s="5">
        <v>718</v>
      </c>
      <c r="B779" s="138">
        <f>'Expenditures 15-22'!D36</f>
        <v>94569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31781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126350</v>
      </c>
      <c r="C785" s="2" t="s">
        <v>594</v>
      </c>
      <c r="D785" s="2" t="str">
        <f t="shared" si="11"/>
        <v>Error?</v>
      </c>
    </row>
    <row r="786" spans="1:4" x14ac:dyDescent="0.2">
      <c r="A786" s="5">
        <v>725</v>
      </c>
      <c r="B786" s="138">
        <f>'Expenditures 15-22'!D44</f>
        <v>110778</v>
      </c>
      <c r="D786" s="2" t="str">
        <f t="shared" si="11"/>
        <v>Error?</v>
      </c>
    </row>
    <row r="787" spans="1:4" x14ac:dyDescent="0.2">
      <c r="A787" s="5">
        <v>726</v>
      </c>
      <c r="B787" s="138">
        <f>'Expenditures 15-22'!D45</f>
        <v>107664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218442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81387</v>
      </c>
      <c r="D791" s="2" t="str">
        <f t="shared" si="11"/>
        <v>Error?</v>
      </c>
    </row>
    <row r="792" spans="1:4" x14ac:dyDescent="0.2">
      <c r="A792" s="5">
        <v>731</v>
      </c>
      <c r="B792" s="138">
        <f>'Expenditures 15-22'!D53</f>
        <v>134696</v>
      </c>
      <c r="C792" s="2" t="s">
        <v>594</v>
      </c>
      <c r="D792" s="2" t="str">
        <f t="shared" si="11"/>
        <v>Error?</v>
      </c>
    </row>
    <row r="793" spans="1:4" x14ac:dyDescent="0.2">
      <c r="A793" s="5">
        <v>732</v>
      </c>
      <c r="B793" s="138">
        <f>'Expenditures 15-22'!D55</f>
        <v>361069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361069</v>
      </c>
      <c r="C795" s="2" t="s">
        <v>594</v>
      </c>
      <c r="D795" s="2" t="str">
        <f t="shared" si="11"/>
        <v>Error?</v>
      </c>
    </row>
    <row r="796" spans="1:4" x14ac:dyDescent="0.2">
      <c r="A796" s="5">
        <v>735</v>
      </c>
      <c r="B796" s="138">
        <f>'Expenditures 15-22'!D59</f>
        <v>38617</v>
      </c>
      <c r="D796" s="2" t="str">
        <f t="shared" si="11"/>
        <v>Error?</v>
      </c>
    </row>
    <row r="797" spans="1:4" x14ac:dyDescent="0.2">
      <c r="A797" s="5">
        <v>736</v>
      </c>
      <c r="B797" s="138">
        <f>'Expenditures 15-22'!D60</f>
        <v>57019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95636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61432</v>
      </c>
      <c r="D809" s="2" t="str">
        <f t="shared" si="11"/>
        <v>Error?</v>
      </c>
    </row>
    <row r="810" spans="1:4" x14ac:dyDescent="0.2">
      <c r="A810" s="10">
        <v>749</v>
      </c>
      <c r="D810" s="2" t="str">
        <f t="shared" si="11"/>
        <v>OK</v>
      </c>
    </row>
    <row r="811" spans="1:4" x14ac:dyDescent="0.2">
      <c r="A811" s="5">
        <v>750</v>
      </c>
      <c r="B811" s="138">
        <f>'Expenditures 15-22'!D72</f>
        <v>61432</v>
      </c>
      <c r="C811" s="2" t="s">
        <v>594</v>
      </c>
      <c r="D811" s="2" t="str">
        <f t="shared" si="11"/>
        <v>Error?</v>
      </c>
    </row>
    <row r="812" spans="1:4" x14ac:dyDescent="0.2">
      <c r="A812" s="5">
        <v>751</v>
      </c>
      <c r="B812" s="138">
        <f>'Expenditures 15-22'!D73</f>
        <v>211</v>
      </c>
      <c r="D812" s="2" t="str">
        <f t="shared" si="11"/>
        <v>Error?</v>
      </c>
    </row>
    <row r="813" spans="1:4" x14ac:dyDescent="0.2">
      <c r="A813" s="5">
        <v>752</v>
      </c>
      <c r="B813" s="138">
        <f>'Expenditures 15-22'!D74</f>
        <v>997836</v>
      </c>
      <c r="C813" s="2" t="s">
        <v>594</v>
      </c>
      <c r="D813" s="2" t="str">
        <f t="shared" si="11"/>
        <v>Error?</v>
      </c>
    </row>
    <row r="814" spans="1:4" x14ac:dyDescent="0.2">
      <c r="A814" s="5">
        <v>753</v>
      </c>
      <c r="B814" s="138">
        <f>'Expenditures 15-22'!D75</f>
        <v>63105</v>
      </c>
      <c r="D814" s="2" t="str">
        <f t="shared" si="11"/>
        <v>Error?</v>
      </c>
    </row>
    <row r="815" spans="1:4" x14ac:dyDescent="0.2">
      <c r="A815" s="5">
        <v>754</v>
      </c>
      <c r="B815" s="138">
        <f>'Expenditures 15-22'!D114</f>
        <v>4795034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225623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711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4850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307348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41963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41963</v>
      </c>
      <c r="C843" s="2" t="s">
        <v>594</v>
      </c>
      <c r="D843" s="2" t="str">
        <f t="shared" si="12"/>
        <v>Error?</v>
      </c>
    </row>
    <row r="844" spans="1:4" x14ac:dyDescent="0.2">
      <c r="A844" s="5">
        <v>783</v>
      </c>
      <c r="B844" s="138">
        <f>'Expenditures 15-22'!E44</f>
        <v>128442</v>
      </c>
      <c r="D844" s="2" t="str">
        <f t="shared" si="12"/>
        <v>Error?</v>
      </c>
    </row>
    <row r="845" spans="1:4" x14ac:dyDescent="0.2">
      <c r="A845" s="5">
        <v>784</v>
      </c>
      <c r="B845" s="138">
        <f>'Expenditures 15-22'!E45</f>
        <v>592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129034</v>
      </c>
      <c r="C847" s="2" t="s">
        <v>594</v>
      </c>
      <c r="D847" s="2" t="str">
        <f t="shared" si="12"/>
        <v>Error?</v>
      </c>
    </row>
    <row r="848" spans="1:4" x14ac:dyDescent="0.2">
      <c r="A848" s="5">
        <v>787</v>
      </c>
      <c r="B848" s="138">
        <f>'Expenditures 15-22'!E49</f>
        <v>146212</v>
      </c>
      <c r="D848" s="2" t="str">
        <f t="shared" si="12"/>
        <v>Error?</v>
      </c>
    </row>
    <row r="849" spans="1:4" x14ac:dyDescent="0.2">
      <c r="A849" s="5">
        <v>788</v>
      </c>
      <c r="B849" s="138">
        <f>'Expenditures 15-22'!E50</f>
        <v>20075</v>
      </c>
      <c r="D849" s="2" t="str">
        <f t="shared" si="12"/>
        <v>Error?</v>
      </c>
    </row>
    <row r="850" spans="1:4" x14ac:dyDescent="0.2">
      <c r="A850" s="5">
        <v>789</v>
      </c>
      <c r="B850" s="138">
        <f>'Expenditures 15-22'!E53</f>
        <v>167641</v>
      </c>
      <c r="C850" s="2" t="s">
        <v>594</v>
      </c>
      <c r="D850" s="2" t="str">
        <f t="shared" si="12"/>
        <v>Error?</v>
      </c>
    </row>
    <row r="851" spans="1:4" x14ac:dyDescent="0.2">
      <c r="A851" s="5">
        <v>790</v>
      </c>
      <c r="B851" s="138">
        <f>'Expenditures 15-22'!E55</f>
        <v>6947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6947</v>
      </c>
      <c r="C853" s="2" t="s">
        <v>594</v>
      </c>
      <c r="D853" s="2" t="str">
        <f t="shared" si="12"/>
        <v>Error?</v>
      </c>
    </row>
    <row r="854" spans="1:4" x14ac:dyDescent="0.2">
      <c r="A854" s="5">
        <v>793</v>
      </c>
      <c r="B854" s="138">
        <f>'Expenditures 15-22'!E59</f>
        <v>1907</v>
      </c>
      <c r="D854" s="2" t="str">
        <f t="shared" si="12"/>
        <v>Error?</v>
      </c>
    </row>
    <row r="855" spans="1:4" x14ac:dyDescent="0.2">
      <c r="A855" s="5">
        <v>794</v>
      </c>
      <c r="B855" s="138">
        <f>'Expenditures 15-22'!E60</f>
        <v>5802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743923</v>
      </c>
      <c r="D858" s="2" t="str">
        <f t="shared" si="12"/>
        <v>Error?</v>
      </c>
    </row>
    <row r="859" spans="1:4" x14ac:dyDescent="0.2">
      <c r="A859" s="5">
        <v>798</v>
      </c>
      <c r="B859" s="138">
        <f>'Expenditures 15-22'!E64</f>
        <v>11500</v>
      </c>
      <c r="D859" s="2" t="str">
        <f t="shared" si="12"/>
        <v>Error?</v>
      </c>
    </row>
    <row r="860" spans="1:4" x14ac:dyDescent="0.2">
      <c r="A860" s="10">
        <v>799</v>
      </c>
      <c r="D860" s="2" t="str">
        <f t="shared" si="12"/>
        <v>OK</v>
      </c>
    </row>
    <row r="861" spans="1:4" x14ac:dyDescent="0.2">
      <c r="A861" s="5">
        <v>800</v>
      </c>
      <c r="B861" s="138">
        <f>'Expenditures 15-22'!E65</f>
        <v>763132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16863</v>
      </c>
      <c r="D865" s="2" t="str">
        <f t="shared" si="12"/>
        <v>Error?</v>
      </c>
    </row>
    <row r="866" spans="1:4" x14ac:dyDescent="0.2">
      <c r="A866" s="10">
        <v>805</v>
      </c>
      <c r="D866" s="2" t="str">
        <f t="shared" si="12"/>
        <v>OK</v>
      </c>
    </row>
    <row r="867" spans="1:4" x14ac:dyDescent="0.2">
      <c r="A867" s="5">
        <v>806</v>
      </c>
      <c r="B867" s="138">
        <f>'Expenditures 15-22'!E71</f>
        <v>50326</v>
      </c>
      <c r="D867" s="2" t="str">
        <f t="shared" si="12"/>
        <v>Error?</v>
      </c>
    </row>
    <row r="868" spans="1:4" x14ac:dyDescent="0.2">
      <c r="A868" s="10">
        <v>807</v>
      </c>
      <c r="D868" s="2" t="str">
        <f t="shared" si="12"/>
        <v>OK</v>
      </c>
    </row>
    <row r="869" spans="1:4" x14ac:dyDescent="0.2">
      <c r="A869" s="5">
        <v>808</v>
      </c>
      <c r="B869" s="138">
        <f>'Expenditures 15-22'!E72</f>
        <v>67189</v>
      </c>
      <c r="C869" s="2" t="s">
        <v>594</v>
      </c>
      <c r="D869" s="2" t="str">
        <f t="shared" si="12"/>
        <v>Error?</v>
      </c>
    </row>
    <row r="870" spans="1:4" x14ac:dyDescent="0.2">
      <c r="A870" s="5">
        <v>809</v>
      </c>
      <c r="B870" s="138">
        <f>'Expenditures 15-22'!E73</f>
        <v>17367</v>
      </c>
      <c r="D870" s="2" t="str">
        <f t="shared" si="12"/>
        <v>Error?</v>
      </c>
    </row>
    <row r="871" spans="1:4" x14ac:dyDescent="0.2">
      <c r="A871" s="5">
        <v>810</v>
      </c>
      <c r="B871" s="138">
        <f>'Expenditures 15-22'!E74</f>
        <v>1193273</v>
      </c>
      <c r="C871" s="2" t="s">
        <v>594</v>
      </c>
      <c r="D871" s="2" t="str">
        <f t="shared" si="12"/>
        <v>Error?</v>
      </c>
    </row>
    <row r="872" spans="1:4" x14ac:dyDescent="0.2">
      <c r="A872" s="5">
        <v>811</v>
      </c>
      <c r="B872" s="138">
        <f>'Expenditures 15-22'!E75</f>
        <v>21606</v>
      </c>
      <c r="D872" s="2" t="str">
        <f t="shared" si="12"/>
        <v>Error?</v>
      </c>
    </row>
    <row r="873" spans="1:4" x14ac:dyDescent="0.2">
      <c r="A873" s="5">
        <v>812</v>
      </c>
      <c r="B873" s="138">
        <f>'Expenditures 15-22'!E114</f>
        <v>1662154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597794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5420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9818</v>
      </c>
      <c r="D893" s="2" t="str">
        <f t="shared" si="12"/>
        <v>Error?</v>
      </c>
    </row>
    <row r="894" spans="1:4" x14ac:dyDescent="0.2">
      <c r="A894" s="5">
        <v>833</v>
      </c>
      <c r="B894" s="138">
        <f>'Expenditures 15-22'!F33</f>
        <v>659244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7649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7649</v>
      </c>
      <c r="C901" s="2" t="s">
        <v>594</v>
      </c>
      <c r="D901" s="2" t="str">
        <f t="shared" si="13"/>
        <v>Error?</v>
      </c>
    </row>
    <row r="902" spans="1:4" x14ac:dyDescent="0.2">
      <c r="A902" s="5">
        <v>841</v>
      </c>
      <c r="B902" s="138">
        <f>'Expenditures 15-22'!F44</f>
        <v>26958</v>
      </c>
      <c r="D902" s="2" t="str">
        <f t="shared" si="13"/>
        <v>Error?</v>
      </c>
    </row>
    <row r="903" spans="1:4" x14ac:dyDescent="0.2">
      <c r="A903" s="5">
        <v>842</v>
      </c>
      <c r="B903" s="138">
        <f>'Expenditures 15-22'!F45</f>
        <v>33499</v>
      </c>
      <c r="D903" s="2" t="str">
        <f t="shared" si="13"/>
        <v>Error?</v>
      </c>
    </row>
    <row r="904" spans="1:4" x14ac:dyDescent="0.2">
      <c r="A904" s="5">
        <v>843</v>
      </c>
      <c r="B904" s="138">
        <f>'Expenditures 15-22'!F46</f>
        <v>25009</v>
      </c>
      <c r="D904" s="2" t="str">
        <f t="shared" si="13"/>
        <v>Error?</v>
      </c>
    </row>
    <row r="905" spans="1:4" x14ac:dyDescent="0.2">
      <c r="A905" s="5">
        <v>844</v>
      </c>
      <c r="B905" s="138">
        <f>'Expenditures 15-22'!F47</f>
        <v>85466</v>
      </c>
      <c r="C905" s="2" t="s">
        <v>594</v>
      </c>
      <c r="D905" s="2" t="str">
        <f t="shared" si="13"/>
        <v>Error?</v>
      </c>
    </row>
    <row r="906" spans="1:4" x14ac:dyDescent="0.2">
      <c r="A906" s="5">
        <v>845</v>
      </c>
      <c r="B906" s="138">
        <f>'Expenditures 15-22'!F49</f>
        <v>140</v>
      </c>
      <c r="D906" s="2" t="str">
        <f t="shared" si="13"/>
        <v>Error?</v>
      </c>
    </row>
    <row r="907" spans="1:4" x14ac:dyDescent="0.2">
      <c r="A907" s="5">
        <v>846</v>
      </c>
      <c r="B907" s="138">
        <f>'Expenditures 15-22'!F50</f>
        <v>2483</v>
      </c>
      <c r="D907" s="2" t="str">
        <f t="shared" si="13"/>
        <v>Error?</v>
      </c>
    </row>
    <row r="908" spans="1:4" x14ac:dyDescent="0.2">
      <c r="A908" s="5">
        <v>847</v>
      </c>
      <c r="B908" s="138">
        <f>'Expenditures 15-22'!F53</f>
        <v>2623</v>
      </c>
      <c r="C908" s="2" t="s">
        <v>594</v>
      </c>
      <c r="D908" s="2" t="str">
        <f t="shared" si="13"/>
        <v>Error?</v>
      </c>
    </row>
    <row r="909" spans="1:4" x14ac:dyDescent="0.2">
      <c r="A909" s="5">
        <v>848</v>
      </c>
      <c r="B909" s="138">
        <f>'Expenditures 15-22'!F55</f>
        <v>9134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9134</v>
      </c>
      <c r="C911" s="2" t="s">
        <v>594</v>
      </c>
      <c r="D911" s="2" t="str">
        <f t="shared" si="13"/>
        <v>Error?</v>
      </c>
    </row>
    <row r="912" spans="1:4" x14ac:dyDescent="0.2">
      <c r="A912" s="5">
        <v>851</v>
      </c>
      <c r="B912" s="138">
        <f>'Expenditures 15-22'!F59</f>
        <v>194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22511</v>
      </c>
      <c r="D916" s="2" t="str">
        <f t="shared" si="13"/>
        <v>Error?</v>
      </c>
    </row>
    <row r="917" spans="1:4" x14ac:dyDescent="0.2">
      <c r="A917" s="5">
        <v>856</v>
      </c>
      <c r="B917" s="138">
        <f>'Expenditures 15-22'!F64</f>
        <v>10130</v>
      </c>
      <c r="D917" s="2" t="str">
        <f t="shared" si="13"/>
        <v>Error?</v>
      </c>
    </row>
    <row r="918" spans="1:4" x14ac:dyDescent="0.2">
      <c r="A918" s="10">
        <v>857</v>
      </c>
      <c r="D918" s="2" t="str">
        <f t="shared" si="13"/>
        <v>OK</v>
      </c>
    </row>
    <row r="919" spans="1:4" x14ac:dyDescent="0.2">
      <c r="A919" s="5">
        <v>858</v>
      </c>
      <c r="B919" s="138">
        <f>'Expenditures 15-22'!F65</f>
        <v>32835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180</v>
      </c>
      <c r="D923" s="2" t="str">
        <f t="shared" si="13"/>
        <v>Error?</v>
      </c>
    </row>
    <row r="924" spans="1:4" x14ac:dyDescent="0.2">
      <c r="A924" s="10">
        <v>863</v>
      </c>
      <c r="D924" s="2" t="str">
        <f t="shared" si="13"/>
        <v>OK</v>
      </c>
    </row>
    <row r="925" spans="1:4" x14ac:dyDescent="0.2">
      <c r="A925" s="5">
        <v>864</v>
      </c>
      <c r="B925" s="138">
        <f>'Expenditures 15-22'!F71</f>
        <v>119238</v>
      </c>
      <c r="D925" s="2" t="str">
        <f t="shared" si="13"/>
        <v>Error?</v>
      </c>
    </row>
    <row r="926" spans="1:4" x14ac:dyDescent="0.2">
      <c r="A926" s="10">
        <v>865</v>
      </c>
      <c r="D926" s="2" t="str">
        <f t="shared" si="13"/>
        <v>OK</v>
      </c>
    </row>
    <row r="927" spans="1:4" x14ac:dyDescent="0.2">
      <c r="A927" s="5">
        <v>866</v>
      </c>
      <c r="B927" s="138">
        <f>'Expenditures 15-22'!F72</f>
        <v>119418</v>
      </c>
      <c r="C927" s="2" t="s">
        <v>594</v>
      </c>
      <c r="D927" s="2" t="str">
        <f t="shared" si="13"/>
        <v>Error?</v>
      </c>
    </row>
    <row r="928" spans="1:4" x14ac:dyDescent="0.2">
      <c r="A928" s="5">
        <v>867</v>
      </c>
      <c r="B928" s="138">
        <f>'Expenditures 15-22'!F73</f>
        <v>81</v>
      </c>
      <c r="D928" s="2" t="str">
        <f t="shared" si="13"/>
        <v>Error?</v>
      </c>
    </row>
    <row r="929" spans="1:4" x14ac:dyDescent="0.2">
      <c r="A929" s="5">
        <v>868</v>
      </c>
      <c r="B929" s="138">
        <f>'Expenditures 15-22'!F74</f>
        <v>257206</v>
      </c>
      <c r="C929" s="2" t="s">
        <v>594</v>
      </c>
      <c r="D929" s="2" t="str">
        <f t="shared" si="13"/>
        <v>Error?</v>
      </c>
    </row>
    <row r="930" spans="1:4" x14ac:dyDescent="0.2">
      <c r="A930" s="5">
        <v>869</v>
      </c>
      <c r="B930" s="138">
        <f>'Expenditures 15-22'!F75</f>
        <v>26218</v>
      </c>
      <c r="D930" s="2" t="str">
        <f t="shared" si="13"/>
        <v>Error?</v>
      </c>
    </row>
    <row r="931" spans="1:4" x14ac:dyDescent="0.2">
      <c r="A931" s="5">
        <v>870</v>
      </c>
      <c r="B931" s="138">
        <f>'Expenditures 15-22'!F114</f>
        <v>942668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66885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66968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10088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10088</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3053</v>
      </c>
      <c r="D974" s="2" t="str">
        <f t="shared" si="14"/>
        <v>Error?</v>
      </c>
    </row>
    <row r="975" spans="1:4" x14ac:dyDescent="0.2">
      <c r="A975" s="5">
        <v>914</v>
      </c>
      <c r="B975" s="138">
        <f>'Expenditures 15-22'!G64</f>
        <v>5302</v>
      </c>
      <c r="D975" s="2" t="str">
        <f t="shared" si="14"/>
        <v>Error?</v>
      </c>
    </row>
    <row r="976" spans="1:4" x14ac:dyDescent="0.2">
      <c r="A976" s="10">
        <v>915</v>
      </c>
      <c r="D976" s="2" t="str">
        <f t="shared" si="14"/>
        <v>OK</v>
      </c>
    </row>
    <row r="977" spans="1:4" x14ac:dyDescent="0.2">
      <c r="A977" s="5">
        <v>916</v>
      </c>
      <c r="B977" s="138">
        <f>'Expenditures 15-22'!G65</f>
        <v>8355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271218</v>
      </c>
      <c r="D983" s="2" t="str">
        <f t="shared" si="14"/>
        <v>Error?</v>
      </c>
    </row>
    <row r="984" spans="1:4" x14ac:dyDescent="0.2">
      <c r="A984" s="10">
        <v>923</v>
      </c>
      <c r="D984" s="2" t="str">
        <f t="shared" si="14"/>
        <v>OK</v>
      </c>
    </row>
    <row r="985" spans="1:4" x14ac:dyDescent="0.2">
      <c r="A985" s="5">
        <v>924</v>
      </c>
      <c r="B985" s="138">
        <f>'Expenditures 15-22'!G72</f>
        <v>271218</v>
      </c>
      <c r="C985" s="2" t="s">
        <v>594</v>
      </c>
      <c r="D985" s="2" t="str">
        <f t="shared" si="14"/>
        <v>Error?</v>
      </c>
    </row>
    <row r="986" spans="1:4" x14ac:dyDescent="0.2">
      <c r="A986" s="5">
        <v>925</v>
      </c>
      <c r="B986" s="138">
        <f>'Expenditures 15-22'!G73</f>
        <v>11473</v>
      </c>
      <c r="D986" s="2" t="str">
        <f t="shared" si="14"/>
        <v>Error?</v>
      </c>
    </row>
    <row r="987" spans="1:4" x14ac:dyDescent="0.2">
      <c r="A987" s="5">
        <v>926</v>
      </c>
      <c r="B987" s="138">
        <f>'Expenditures 15-22'!G74</f>
        <v>301134</v>
      </c>
      <c r="C987" s="2" t="s">
        <v>594</v>
      </c>
      <c r="D987" s="2" t="str">
        <f t="shared" si="14"/>
        <v>Error?</v>
      </c>
    </row>
    <row r="988" spans="1:4" x14ac:dyDescent="0.2">
      <c r="A988" s="5">
        <v>927</v>
      </c>
      <c r="B988" s="138">
        <f>'Expenditures 15-22'!G75</f>
        <v>6947</v>
      </c>
      <c r="D988" s="2" t="str">
        <f t="shared" si="14"/>
        <v>Error?</v>
      </c>
    </row>
    <row r="989" spans="1:4" x14ac:dyDescent="0.2">
      <c r="A989" s="5">
        <v>928</v>
      </c>
      <c r="B989" s="138">
        <f>'Expenditures 15-22'!G114</f>
        <v>375049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370259</v>
      </c>
      <c r="C1010" s="2" t="s">
        <v>594</v>
      </c>
      <c r="D1010" s="2" t="str">
        <f t="shared" si="14"/>
        <v>Error?</v>
      </c>
    </row>
    <row r="1011" spans="1:4" x14ac:dyDescent="0.2">
      <c r="A1011" s="5">
        <v>950</v>
      </c>
      <c r="B1011" s="138">
        <f>'Expenditures 15-22'!H36</f>
        <v>534</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534</v>
      </c>
      <c r="C1017" s="2" t="s">
        <v>594</v>
      </c>
      <c r="D1017" s="2" t="str">
        <f t="shared" si="14"/>
        <v>Error?</v>
      </c>
    </row>
    <row r="1018" spans="1:4" x14ac:dyDescent="0.2">
      <c r="A1018" s="5">
        <v>957</v>
      </c>
      <c r="B1018" s="138">
        <f>'Expenditures 15-22'!H44</f>
        <v>6189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6189</v>
      </c>
      <c r="C1021" s="2" t="s">
        <v>594</v>
      </c>
      <c r="D1021" s="2" t="str">
        <f t="shared" si="14"/>
        <v>Error?</v>
      </c>
    </row>
    <row r="1022" spans="1:4" x14ac:dyDescent="0.2">
      <c r="A1022" s="5">
        <v>961</v>
      </c>
      <c r="B1022" s="138">
        <f>'Expenditures 15-22'!H49</f>
        <v>18271</v>
      </c>
      <c r="D1022" s="2" t="str">
        <f t="shared" si="14"/>
        <v>Error?</v>
      </c>
    </row>
    <row r="1023" spans="1:4" x14ac:dyDescent="0.2">
      <c r="A1023" s="5">
        <v>962</v>
      </c>
      <c r="B1023" s="138">
        <f>'Expenditures 15-22'!H50</f>
        <v>15205</v>
      </c>
      <c r="D1023" s="2" t="str">
        <f t="shared" ref="D1023:D1086" si="15">IF(ISBLANK(B1023),"OK",IF(A1023-B1023=0,"OK","Error?"))</f>
        <v>Error?</v>
      </c>
    </row>
    <row r="1024" spans="1:4" x14ac:dyDescent="0.2">
      <c r="A1024" s="5">
        <v>963</v>
      </c>
      <c r="B1024" s="138">
        <f>'Expenditures 15-22'!H53</f>
        <v>33476</v>
      </c>
      <c r="C1024" s="2" t="s">
        <v>594</v>
      </c>
      <c r="D1024" s="2" t="str">
        <f t="shared" si="15"/>
        <v>Error?</v>
      </c>
    </row>
    <row r="1025" spans="1:4" x14ac:dyDescent="0.2">
      <c r="A1025" s="5">
        <v>964</v>
      </c>
      <c r="B1025" s="138">
        <f>'Expenditures 15-22'!H55</f>
        <v>1838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1838</v>
      </c>
      <c r="C1027" s="2" t="s">
        <v>594</v>
      </c>
      <c r="D1027" s="2" t="str">
        <f t="shared" si="15"/>
        <v>Error?</v>
      </c>
    </row>
    <row r="1028" spans="1:4" x14ac:dyDescent="0.2">
      <c r="A1028" s="5">
        <v>967</v>
      </c>
      <c r="B1028" s="138">
        <f>'Expenditures 15-22'!H59</f>
        <v>1893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1893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43930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1553233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1967422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13707500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60969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4850</v>
      </c>
      <c r="C1106" s="2" t="s">
        <v>594</v>
      </c>
      <c r="D1106" s="2" t="str">
        <f t="shared" si="16"/>
        <v>Error?</v>
      </c>
    </row>
    <row r="1107" spans="1:4" x14ac:dyDescent="0.2">
      <c r="A1107" s="5">
        <v>1046</v>
      </c>
      <c r="B1107" s="138">
        <f>'Expenditures 15-22'!K15</f>
        <v>172181</v>
      </c>
      <c r="C1107" s="2" t="s">
        <v>594</v>
      </c>
      <c r="D1107" s="2" t="str">
        <f t="shared" si="16"/>
        <v>Error?</v>
      </c>
    </row>
    <row r="1108" spans="1:4" x14ac:dyDescent="0.2">
      <c r="A1108" s="5">
        <v>1047</v>
      </c>
      <c r="B1108" s="138">
        <f>'Expenditures 15-22'!K33</f>
        <v>17453920</v>
      </c>
      <c r="C1108" s="2" t="s">
        <v>594</v>
      </c>
      <c r="D1108" s="2" t="str">
        <f t="shared" si="16"/>
        <v>Error?</v>
      </c>
    </row>
    <row r="1109" spans="1:4" x14ac:dyDescent="0.2">
      <c r="A1109" s="5">
        <v>1048</v>
      </c>
      <c r="B1109" s="138">
        <f>'Expenditures 15-22'!K36</f>
        <v>462493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242560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705053</v>
      </c>
      <c r="C1115" s="2" t="s">
        <v>594</v>
      </c>
      <c r="D1115" s="2" t="str">
        <f t="shared" si="16"/>
        <v>Error?</v>
      </c>
    </row>
    <row r="1116" spans="1:4" x14ac:dyDescent="0.2">
      <c r="A1116" s="5">
        <v>1055</v>
      </c>
      <c r="B1116" s="138">
        <f>'Expenditures 15-22'!K44</f>
        <v>680962</v>
      </c>
      <c r="C1116" s="2" t="s">
        <v>594</v>
      </c>
      <c r="D1116" s="2" t="str">
        <f t="shared" si="16"/>
        <v>Error?</v>
      </c>
    </row>
    <row r="1117" spans="1:4" x14ac:dyDescent="0.2">
      <c r="A1117" s="5">
        <v>1056</v>
      </c>
      <c r="B1117" s="138">
        <f>'Expenditures 15-22'!K45</f>
        <v>572082</v>
      </c>
      <c r="C1117" s="2" t="s">
        <v>594</v>
      </c>
      <c r="D1117" s="2" t="str">
        <f t="shared" si="16"/>
        <v>Error?</v>
      </c>
    </row>
    <row r="1118" spans="1:4" x14ac:dyDescent="0.2">
      <c r="A1118" s="5">
        <v>1057</v>
      </c>
      <c r="B1118" s="138">
        <f>'Expenditures 15-22'!K46</f>
        <v>25009</v>
      </c>
      <c r="C1118" s="2" t="s">
        <v>594</v>
      </c>
      <c r="D1118" s="2" t="str">
        <f t="shared" si="16"/>
        <v>Error?</v>
      </c>
    </row>
    <row r="1119" spans="1:4" x14ac:dyDescent="0.2">
      <c r="A1119" s="5">
        <v>1058</v>
      </c>
      <c r="B1119" s="138">
        <f>'Expenditures 15-22'!K47</f>
        <v>1278053</v>
      </c>
      <c r="C1119" s="2" t="s">
        <v>594</v>
      </c>
      <c r="D1119" s="2" t="str">
        <f t="shared" si="16"/>
        <v>Error?</v>
      </c>
    </row>
    <row r="1120" spans="1:4" x14ac:dyDescent="0.2">
      <c r="A1120" s="5">
        <v>1059</v>
      </c>
      <c r="B1120" s="138">
        <f>'Expenditures 15-22'!K49</f>
        <v>164623</v>
      </c>
      <c r="C1120" s="2" t="s">
        <v>594</v>
      </c>
      <c r="D1120" s="2" t="str">
        <f t="shared" si="16"/>
        <v>Error?</v>
      </c>
    </row>
    <row r="1121" spans="1:4" x14ac:dyDescent="0.2">
      <c r="A1121" s="5">
        <v>1060</v>
      </c>
      <c r="B1121" s="138">
        <f>'Expenditures 15-22'!K50</f>
        <v>452512</v>
      </c>
      <c r="C1121" s="2" t="s">
        <v>594</v>
      </c>
      <c r="D1121" s="2" t="str">
        <f t="shared" si="16"/>
        <v>Error?</v>
      </c>
    </row>
    <row r="1122" spans="1:4" x14ac:dyDescent="0.2">
      <c r="A1122" s="5">
        <v>1061</v>
      </c>
      <c r="B1122" s="138">
        <f>'Expenditures 15-22'!K53</f>
        <v>710207</v>
      </c>
      <c r="C1122" s="2" t="s">
        <v>594</v>
      </c>
      <c r="D1122" s="2" t="str">
        <f t="shared" si="16"/>
        <v>Error?</v>
      </c>
    </row>
    <row r="1123" spans="1:4" x14ac:dyDescent="0.2">
      <c r="A1123" s="5">
        <v>1062</v>
      </c>
      <c r="B1123" s="138">
        <f>'Expenditures 15-22'!K55</f>
        <v>1508004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1508004</v>
      </c>
      <c r="C1125" s="2" t="s">
        <v>594</v>
      </c>
      <c r="D1125" s="2" t="str">
        <f t="shared" si="16"/>
        <v>Error?</v>
      </c>
    </row>
    <row r="1126" spans="1:4" x14ac:dyDescent="0.2">
      <c r="A1126" s="5">
        <v>1065</v>
      </c>
      <c r="B1126" s="138">
        <f>'Expenditures 15-22'!K59</f>
        <v>215605</v>
      </c>
      <c r="C1126" s="2" t="s">
        <v>594</v>
      </c>
      <c r="D1126" s="2" t="str">
        <f t="shared" si="16"/>
        <v>Error?</v>
      </c>
    </row>
    <row r="1127" spans="1:4" x14ac:dyDescent="0.2">
      <c r="A1127" s="5">
        <v>1066</v>
      </c>
      <c r="B1127" s="138">
        <f>'Expenditures 15-22'!K60</f>
        <v>241508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955720</v>
      </c>
      <c r="C1130" s="2" t="s">
        <v>594</v>
      </c>
      <c r="D1130" s="2" t="str">
        <f t="shared" si="16"/>
        <v>Error?</v>
      </c>
    </row>
    <row r="1131" spans="1:4" x14ac:dyDescent="0.2">
      <c r="A1131" s="5">
        <v>1070</v>
      </c>
      <c r="B1131" s="138">
        <f>'Expenditures 15-22'!K64</f>
        <v>26932</v>
      </c>
      <c r="C1131" s="2" t="s">
        <v>594</v>
      </c>
      <c r="D1131" s="2" t="str">
        <f t="shared" si="16"/>
        <v>Error?</v>
      </c>
    </row>
    <row r="1132" spans="1:4" x14ac:dyDescent="0.2">
      <c r="A1132" s="10">
        <v>1071</v>
      </c>
      <c r="D1132" s="2" t="str">
        <f t="shared" si="16"/>
        <v>OK</v>
      </c>
    </row>
    <row r="1133" spans="1:4" x14ac:dyDescent="0.2">
      <c r="A1133" s="5">
        <v>1072</v>
      </c>
      <c r="B1133" s="138">
        <f>'Expenditures 15-22'!K65</f>
        <v>1439765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17043</v>
      </c>
      <c r="C1137" s="2" t="s">
        <v>594</v>
      </c>
      <c r="D1137" s="2" t="str">
        <f t="shared" si="16"/>
        <v>Error?</v>
      </c>
    </row>
    <row r="1138" spans="1:4" x14ac:dyDescent="0.2">
      <c r="A1138" s="10">
        <v>1077</v>
      </c>
      <c r="D1138" s="2" t="str">
        <f t="shared" si="16"/>
        <v>OK</v>
      </c>
    </row>
    <row r="1139" spans="1:4" x14ac:dyDescent="0.2">
      <c r="A1139" s="5">
        <v>1078</v>
      </c>
      <c r="B1139" s="138">
        <f>'Expenditures 15-22'!K71</f>
        <v>839156</v>
      </c>
      <c r="C1139" s="2" t="s">
        <v>594</v>
      </c>
      <c r="D1139" s="2" t="str">
        <f t="shared" si="16"/>
        <v>Error?</v>
      </c>
    </row>
    <row r="1140" spans="1:4" x14ac:dyDescent="0.2">
      <c r="A1140" s="10">
        <v>1079</v>
      </c>
      <c r="D1140" s="2" t="str">
        <f t="shared" si="16"/>
        <v>OK</v>
      </c>
    </row>
    <row r="1141" spans="1:4" x14ac:dyDescent="0.2">
      <c r="A1141" s="5">
        <v>1080</v>
      </c>
      <c r="B1141" s="138">
        <f>'Expenditures 15-22'!K72</f>
        <v>856199</v>
      </c>
      <c r="C1141" s="2" t="s">
        <v>594</v>
      </c>
      <c r="D1141" s="2" t="str">
        <f t="shared" si="16"/>
        <v>Error?</v>
      </c>
    </row>
    <row r="1142" spans="1:4" x14ac:dyDescent="0.2">
      <c r="A1142" s="5">
        <v>1081</v>
      </c>
      <c r="B1142" s="138">
        <f>'Expenditures 15-22'!K73</f>
        <v>73417</v>
      </c>
      <c r="C1142" s="2" t="s">
        <v>594</v>
      </c>
      <c r="D1142" s="2" t="str">
        <f t="shared" si="16"/>
        <v>Error?</v>
      </c>
    </row>
    <row r="1143" spans="1:4" x14ac:dyDescent="0.2">
      <c r="A1143" s="5">
        <v>1082</v>
      </c>
      <c r="B1143" s="138">
        <f>'Expenditures 15-22'!K74</f>
        <v>6570698</v>
      </c>
      <c r="C1143" s="2" t="s">
        <v>594</v>
      </c>
      <c r="D1143" s="2" t="str">
        <f t="shared" si="16"/>
        <v>Error?</v>
      </c>
    </row>
    <row r="1144" spans="1:4" x14ac:dyDescent="0.2">
      <c r="A1144" s="5">
        <v>1083</v>
      </c>
      <c r="B1144" s="138">
        <f>'Expenditures 15-22'!K75</f>
        <v>374955</v>
      </c>
      <c r="C1144" s="2" t="s">
        <v>594</v>
      </c>
      <c r="D1144" s="2" t="str">
        <f t="shared" si="16"/>
        <v>Error?</v>
      </c>
    </row>
    <row r="1145" spans="1:4" x14ac:dyDescent="0.2">
      <c r="A1145" s="5">
        <v>1084</v>
      </c>
      <c r="B1145" s="138">
        <f>'Expenditures 15-22'!K102</f>
        <v>1693160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26092733</v>
      </c>
      <c r="C1152" s="2" t="s">
        <v>594</v>
      </c>
      <c r="D1152" s="2" t="str">
        <f t="shared" si="17"/>
        <v>Error?</v>
      </c>
    </row>
    <row r="1153" spans="1:4" x14ac:dyDescent="0.2">
      <c r="A1153" s="5">
        <v>1092</v>
      </c>
      <c r="B1153" s="138">
        <f>'Expenditures 15-22'!K115</f>
        <v>2527915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22935</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22935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22935</v>
      </c>
      <c r="C1225" s="2" t="s">
        <v>594</v>
      </c>
      <c r="D1225" s="2" t="str">
        <f t="shared" si="18"/>
        <v>Error?</v>
      </c>
    </row>
    <row r="1226" spans="1:4" x14ac:dyDescent="0.2">
      <c r="A1226" s="5">
        <v>1165</v>
      </c>
      <c r="B1226" s="138">
        <f>'Expenditures 15-22'!C151</f>
        <v>22935</v>
      </c>
      <c r="C1226" s="2" t="s">
        <v>594</v>
      </c>
      <c r="D1226" s="2" t="str">
        <f t="shared" si="18"/>
        <v>Error?</v>
      </c>
    </row>
    <row r="1227" spans="1:4" x14ac:dyDescent="0.2">
      <c r="A1227" s="5">
        <v>1166</v>
      </c>
      <c r="B1227" s="138">
        <f>'Expenditures 15-22'!D122</f>
        <v>3865</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3865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3865</v>
      </c>
      <c r="C1233" s="2" t="s">
        <v>594</v>
      </c>
      <c r="D1233" s="2" t="str">
        <f t="shared" si="18"/>
        <v>Error?</v>
      </c>
    </row>
    <row r="1234" spans="1:4" x14ac:dyDescent="0.2">
      <c r="A1234" s="5">
        <v>1173</v>
      </c>
      <c r="B1234" s="138">
        <f>'Expenditures 15-22'!D151</f>
        <v>3865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1353858</v>
      </c>
      <c r="D1237" s="2" t="str">
        <f t="shared" si="18"/>
        <v>Error?</v>
      </c>
    </row>
    <row r="1238" spans="1:4" x14ac:dyDescent="0.2">
      <c r="A1238" s="10">
        <v>1177</v>
      </c>
      <c r="D1238" s="2" t="str">
        <f t="shared" si="18"/>
        <v>OK</v>
      </c>
    </row>
    <row r="1239" spans="1:4" x14ac:dyDescent="0.2">
      <c r="A1239" s="5">
        <v>1178</v>
      </c>
      <c r="B1239" s="138">
        <f>'Expenditures 15-22'!E127</f>
        <v>1353858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1353858</v>
      </c>
      <c r="C1241" s="2" t="s">
        <v>594</v>
      </c>
      <c r="D1241" s="2" t="str">
        <f t="shared" si="18"/>
        <v>Error?</v>
      </c>
    </row>
    <row r="1242" spans="1:4" x14ac:dyDescent="0.2">
      <c r="A1242" s="5">
        <v>1181</v>
      </c>
      <c r="B1242" s="138">
        <f>'Expenditures 15-22'!E151</f>
        <v>1353858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644008</v>
      </c>
      <c r="D1245" s="2" t="str">
        <f t="shared" si="18"/>
        <v>Error?</v>
      </c>
    </row>
    <row r="1246" spans="1:4" x14ac:dyDescent="0.2">
      <c r="A1246" s="10">
        <v>1185</v>
      </c>
      <c r="D1246" s="2" t="str">
        <f t="shared" si="18"/>
        <v>OK</v>
      </c>
    </row>
    <row r="1247" spans="1:4" x14ac:dyDescent="0.2">
      <c r="A1247" s="5">
        <v>1186</v>
      </c>
      <c r="B1247" s="138">
        <f>'Expenditures 15-22'!F127</f>
        <v>644008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644008</v>
      </c>
      <c r="C1249" s="2" t="s">
        <v>594</v>
      </c>
      <c r="D1249" s="2" t="str">
        <f t="shared" si="18"/>
        <v>Error?</v>
      </c>
    </row>
    <row r="1250" spans="1:4" x14ac:dyDescent="0.2">
      <c r="A1250" s="5">
        <v>1189</v>
      </c>
      <c r="B1250" s="138">
        <f>'Expenditures 15-22'!F151</f>
        <v>644684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1379269</v>
      </c>
      <c r="D1252" s="2" t="str">
        <f t="shared" si="18"/>
        <v>Error?</v>
      </c>
    </row>
    <row r="1253" spans="1:4" x14ac:dyDescent="0.2">
      <c r="A1253" s="5">
        <v>1192</v>
      </c>
      <c r="B1253" s="138">
        <f>'Expenditures 15-22'!G124</f>
        <v>237181</v>
      </c>
      <c r="D1253" s="2" t="str">
        <f t="shared" si="18"/>
        <v>Error?</v>
      </c>
    </row>
    <row r="1254" spans="1:4" x14ac:dyDescent="0.2">
      <c r="A1254" s="5">
        <v>1193</v>
      </c>
      <c r="B1254" s="138">
        <f>'Expenditures 15-22'!G126</f>
        <v>1868</v>
      </c>
      <c r="D1254" s="2" t="str">
        <f t="shared" si="18"/>
        <v>Error?</v>
      </c>
    </row>
    <row r="1255" spans="1:4" x14ac:dyDescent="0.2">
      <c r="A1255" s="10">
        <v>1194</v>
      </c>
      <c r="D1255" s="2" t="str">
        <f t="shared" si="18"/>
        <v>OK</v>
      </c>
    </row>
    <row r="1256" spans="1:4" x14ac:dyDescent="0.2">
      <c r="A1256" s="5">
        <v>1195</v>
      </c>
      <c r="B1256" s="138">
        <f>'Expenditures 15-22'!G127</f>
        <v>1618318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1618318</v>
      </c>
      <c r="C1258" s="2" t="s">
        <v>594</v>
      </c>
      <c r="D1258" s="2" t="str">
        <f t="shared" si="18"/>
        <v>Error?</v>
      </c>
    </row>
    <row r="1259" spans="1:4" x14ac:dyDescent="0.2">
      <c r="A1259" s="5">
        <v>1198</v>
      </c>
      <c r="B1259" s="138">
        <f>'Expenditures 15-22'!G151</f>
        <v>1620327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26800</v>
      </c>
      <c r="C1274" s="2" t="s">
        <v>594</v>
      </c>
      <c r="D1274" s="2" t="str">
        <f t="shared" si="18"/>
        <v>Error?</v>
      </c>
    </row>
    <row r="1275" spans="1:4" x14ac:dyDescent="0.2">
      <c r="A1275" s="5">
        <v>1214</v>
      </c>
      <c r="B1275" s="138">
        <f>'Expenditures 15-22'!K123</f>
        <v>1379269</v>
      </c>
      <c r="C1275" s="2" t="s">
        <v>594</v>
      </c>
      <c r="D1275" s="2" t="str">
        <f t="shared" si="18"/>
        <v>Error?</v>
      </c>
    </row>
    <row r="1276" spans="1:4" x14ac:dyDescent="0.2">
      <c r="A1276" s="5">
        <v>1215</v>
      </c>
      <c r="B1276" s="138">
        <f>'Expenditures 15-22'!K124</f>
        <v>2235922</v>
      </c>
      <c r="C1276" s="2" t="s">
        <v>594</v>
      </c>
      <c r="D1276" s="2" t="str">
        <f t="shared" si="18"/>
        <v>Error?</v>
      </c>
    </row>
    <row r="1277" spans="1:4" x14ac:dyDescent="0.2">
      <c r="A1277" s="5">
        <v>1216</v>
      </c>
      <c r="B1277" s="138">
        <f>'Expenditures 15-22'!K126</f>
        <v>1868</v>
      </c>
      <c r="C1277" s="2" t="s">
        <v>594</v>
      </c>
      <c r="D1277" s="2" t="str">
        <f t="shared" si="18"/>
        <v>Error?</v>
      </c>
    </row>
    <row r="1278" spans="1:4" x14ac:dyDescent="0.2">
      <c r="A1278" s="10">
        <v>1217</v>
      </c>
      <c r="D1278" s="2" t="str">
        <f t="shared" si="18"/>
        <v>OK</v>
      </c>
    </row>
    <row r="1279" spans="1:4" x14ac:dyDescent="0.2">
      <c r="A1279" s="5">
        <v>1218</v>
      </c>
      <c r="B1279" s="138">
        <f>'Expenditures 15-22'!K127</f>
        <v>3643859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3643859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3646544</v>
      </c>
      <c r="C1288" s="2" t="s">
        <v>594</v>
      </c>
      <c r="D1288" s="2" t="str">
        <f t="shared" si="19"/>
        <v>Error?</v>
      </c>
    </row>
    <row r="1289" spans="1:4" x14ac:dyDescent="0.2">
      <c r="A1289" s="5">
        <v>1228</v>
      </c>
      <c r="B1289" s="138">
        <f>'Expenditures 15-22'!K152</f>
        <v>465494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5943</v>
      </c>
      <c r="D1307" s="2" t="str">
        <f t="shared" si="19"/>
        <v>Error?</v>
      </c>
    </row>
    <row r="1308" spans="1:4" x14ac:dyDescent="0.2">
      <c r="A1308" s="5">
        <v>1247</v>
      </c>
      <c r="B1308" s="138">
        <f>'Expenditures 15-22'!E172</f>
        <v>5943</v>
      </c>
      <c r="C1308" s="2" t="s">
        <v>594</v>
      </c>
      <c r="D1308" s="2" t="str">
        <f t="shared" si="19"/>
        <v>Error?</v>
      </c>
    </row>
    <row r="1309" spans="1:4" x14ac:dyDescent="0.2">
      <c r="A1309" s="5">
        <v>1248</v>
      </c>
      <c r="B1309" s="138">
        <f>'Expenditures 15-22'!E174</f>
        <v>5943</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1438376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3043376</v>
      </c>
      <c r="C1317" s="2" t="s">
        <v>594</v>
      </c>
      <c r="D1317" s="2" t="str">
        <f t="shared" si="19"/>
        <v>Error?</v>
      </c>
    </row>
    <row r="1318" spans="1:4" x14ac:dyDescent="0.2">
      <c r="A1318" s="5">
        <v>1257</v>
      </c>
      <c r="B1318" s="138">
        <f>'Expenditures 15-22'!H174</f>
        <v>3043376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1438376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1605000</v>
      </c>
      <c r="C1329" s="2" t="s">
        <v>594</v>
      </c>
      <c r="D1329" s="2" t="str">
        <f t="shared" si="19"/>
        <v>Error?</v>
      </c>
    </row>
    <row r="1330" spans="1:4" x14ac:dyDescent="0.2">
      <c r="A1330" s="5">
        <v>1269</v>
      </c>
      <c r="B1330" s="138">
        <f>'Expenditures 15-22'!K171</f>
        <v>5943</v>
      </c>
      <c r="C1330" s="2" t="s">
        <v>594</v>
      </c>
      <c r="D1330" s="2" t="str">
        <f t="shared" si="19"/>
        <v>Error?</v>
      </c>
    </row>
    <row r="1331" spans="1:4" x14ac:dyDescent="0.2">
      <c r="A1331" s="5">
        <v>1270</v>
      </c>
      <c r="B1331" s="138">
        <f>'Expenditures 15-22'!K172</f>
        <v>3049319</v>
      </c>
      <c r="C1331" s="2" t="s">
        <v>594</v>
      </c>
      <c r="D1331" s="2" t="str">
        <f t="shared" si="19"/>
        <v>Error?</v>
      </c>
    </row>
    <row r="1332" spans="1:4" x14ac:dyDescent="0.2">
      <c r="A1332" s="5">
        <v>1271</v>
      </c>
      <c r="B1332" s="138">
        <f>'Expenditures 15-22'!K174</f>
        <v>3049319</v>
      </c>
      <c r="C1332" s="2" t="s">
        <v>594</v>
      </c>
      <c r="D1332" s="2" t="str">
        <f t="shared" si="19"/>
        <v>Error?</v>
      </c>
    </row>
    <row r="1333" spans="1:4" x14ac:dyDescent="0.2">
      <c r="A1333" s="5">
        <v>1272</v>
      </c>
      <c r="B1333" s="138">
        <f>'Expenditures 15-22'!K175</f>
        <v>-334546</v>
      </c>
      <c r="C1333" s="2" t="s">
        <v>594</v>
      </c>
      <c r="D1333" s="2" t="str">
        <f t="shared" si="19"/>
        <v>Error?</v>
      </c>
    </row>
    <row r="1334" spans="1:4" x14ac:dyDescent="0.2">
      <c r="A1334" s="10">
        <v>1273</v>
      </c>
      <c r="D1334" s="2" t="str">
        <f t="shared" si="19"/>
        <v>OK</v>
      </c>
    </row>
    <row r="1335" spans="1:4" x14ac:dyDescent="0.2">
      <c r="A1335" s="5">
        <v>1274</v>
      </c>
      <c r="B1335" s="138">
        <f>'Expenditures 15-22'!C182</f>
        <v>568603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7645</v>
      </c>
      <c r="D1338" s="2" t="str">
        <f t="shared" si="19"/>
        <v>Error?</v>
      </c>
    </row>
    <row r="1339" spans="1:4" x14ac:dyDescent="0.2">
      <c r="A1339" s="5">
        <v>1278</v>
      </c>
      <c r="B1339" s="138">
        <f>'Expenditures 15-22'!C184</f>
        <v>576248</v>
      </c>
      <c r="C1339" s="2" t="s">
        <v>594</v>
      </c>
      <c r="D1339" s="2" t="str">
        <f t="shared" si="19"/>
        <v>Error?</v>
      </c>
    </row>
    <row r="1340" spans="1:4" x14ac:dyDescent="0.2">
      <c r="A1340" s="5">
        <v>1279</v>
      </c>
      <c r="B1340" s="138">
        <f>'Expenditures 15-22'!C210</f>
        <v>576248</v>
      </c>
      <c r="C1340" s="2" t="s">
        <v>594</v>
      </c>
      <c r="D1340" s="2" t="str">
        <f t="shared" si="19"/>
        <v>Error?</v>
      </c>
    </row>
    <row r="1341" spans="1:4" x14ac:dyDescent="0.2">
      <c r="A1341" s="5">
        <v>1280</v>
      </c>
      <c r="B1341" s="138">
        <f>'Expenditures 15-22'!D182</f>
        <v>37998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1288</v>
      </c>
      <c r="D1344" s="2" t="str">
        <f t="shared" si="20"/>
        <v>Error?</v>
      </c>
    </row>
    <row r="1345" spans="1:4" x14ac:dyDescent="0.2">
      <c r="A1345" s="5">
        <v>1284</v>
      </c>
      <c r="B1345" s="138">
        <f>'Expenditures 15-22'!D184</f>
        <v>39286</v>
      </c>
      <c r="C1345" s="2" t="s">
        <v>594</v>
      </c>
      <c r="D1345" s="2" t="str">
        <f t="shared" si="20"/>
        <v>Error?</v>
      </c>
    </row>
    <row r="1346" spans="1:4" x14ac:dyDescent="0.2">
      <c r="A1346" s="5">
        <v>1285</v>
      </c>
      <c r="B1346" s="138">
        <f>'Expenditures 15-22'!D210</f>
        <v>39286</v>
      </c>
      <c r="C1346" s="2" t="s">
        <v>594</v>
      </c>
      <c r="D1346" s="2" t="str">
        <f t="shared" si="20"/>
        <v>Error?</v>
      </c>
    </row>
    <row r="1347" spans="1:4" x14ac:dyDescent="0.2">
      <c r="A1347" s="5">
        <v>1286</v>
      </c>
      <c r="B1347" s="138">
        <f>'Expenditures 15-22'!E182</f>
        <v>414574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414574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414574</v>
      </c>
      <c r="C1353" s="2" t="s">
        <v>594</v>
      </c>
      <c r="D1353" s="2" t="str">
        <f t="shared" si="20"/>
        <v>Error?</v>
      </c>
    </row>
    <row r="1354" spans="1:4" x14ac:dyDescent="0.2">
      <c r="A1354" s="5">
        <v>1293</v>
      </c>
      <c r="B1354" s="138">
        <f>'Expenditures 15-22'!F182</f>
        <v>93900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93900</v>
      </c>
      <c r="C1358" s="2" t="s">
        <v>594</v>
      </c>
      <c r="D1358" s="2" t="str">
        <f t="shared" si="20"/>
        <v>Error?</v>
      </c>
    </row>
    <row r="1359" spans="1:4" x14ac:dyDescent="0.2">
      <c r="A1359" s="5">
        <v>1298</v>
      </c>
      <c r="B1359" s="138">
        <f>'Expenditures 15-22'!F210</f>
        <v>93900</v>
      </c>
      <c r="C1359" s="2" t="s">
        <v>594</v>
      </c>
      <c r="D1359" s="2" t="str">
        <f t="shared" si="20"/>
        <v>Error?</v>
      </c>
    </row>
    <row r="1360" spans="1:4" x14ac:dyDescent="0.2">
      <c r="A1360" s="5">
        <v>1299</v>
      </c>
      <c r="B1360" s="138">
        <f>'Expenditures 15-22'!G182</f>
        <v>16078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16078</v>
      </c>
      <c r="C1364" s="2" t="s">
        <v>594</v>
      </c>
      <c r="D1364" s="2" t="str">
        <f t="shared" si="20"/>
        <v>Error?</v>
      </c>
    </row>
    <row r="1365" spans="1:4" x14ac:dyDescent="0.2">
      <c r="A1365" s="5">
        <v>1304</v>
      </c>
      <c r="B1365" s="138">
        <f>'Expenditures 15-22'!G210</f>
        <v>16078</v>
      </c>
      <c r="C1365" s="2" t="s">
        <v>594</v>
      </c>
      <c r="D1365" s="2" t="str">
        <f t="shared" si="20"/>
        <v>Error?</v>
      </c>
    </row>
    <row r="1366" spans="1:4" x14ac:dyDescent="0.2">
      <c r="A1366" s="5">
        <v>1305</v>
      </c>
      <c r="B1366" s="138">
        <f>'Expenditures 15-22'!H182</f>
        <v>919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919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919</v>
      </c>
      <c r="C1376" s="2" t="s">
        <v>594</v>
      </c>
      <c r="D1376" s="2" t="str">
        <f t="shared" si="20"/>
        <v>Error?</v>
      </c>
    </row>
    <row r="1377" spans="1:4" x14ac:dyDescent="0.2">
      <c r="A1377" s="5">
        <v>1316</v>
      </c>
      <c r="B1377" s="138">
        <f>'Expenditures 15-22'!K182</f>
        <v>1132072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8933</v>
      </c>
      <c r="C1380" s="2" t="s">
        <v>594</v>
      </c>
      <c r="D1380" s="2" t="str">
        <f t="shared" si="20"/>
        <v>Error?</v>
      </c>
    </row>
    <row r="1381" spans="1:4" x14ac:dyDescent="0.2">
      <c r="A1381" s="5">
        <v>1320</v>
      </c>
      <c r="B1381" s="138">
        <f>'Expenditures 15-22'!K184</f>
        <v>1141005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1141005</v>
      </c>
      <c r="C1388" s="2" t="s">
        <v>594</v>
      </c>
      <c r="D1388" s="2" t="str">
        <f t="shared" si="20"/>
        <v>Error?</v>
      </c>
    </row>
    <row r="1389" spans="1:4" x14ac:dyDescent="0.2">
      <c r="A1389" s="5">
        <v>1328</v>
      </c>
      <c r="B1389" s="138">
        <f>'Expenditures 15-22'!K211</f>
        <v>61773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1509</v>
      </c>
      <c r="D1409" s="2" t="str">
        <f t="shared" si="21"/>
        <v>Error?</v>
      </c>
    </row>
    <row r="1410" spans="1:4" x14ac:dyDescent="0.2">
      <c r="A1410" s="5">
        <v>1349</v>
      </c>
      <c r="B1410" s="138">
        <f>'Expenditures 15-22'!D229</f>
        <v>281030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24530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24530</v>
      </c>
      <c r="C1417" s="2" t="s">
        <v>594</v>
      </c>
      <c r="D1417" s="2" t="str">
        <f t="shared" si="21"/>
        <v>Error?</v>
      </c>
    </row>
    <row r="1418" spans="1:4" x14ac:dyDescent="0.2">
      <c r="A1418" s="5">
        <v>1357</v>
      </c>
      <c r="B1418" s="138">
        <f>'Expenditures 15-22'!D240</f>
        <v>13451</v>
      </c>
      <c r="D1418" s="2" t="str">
        <f t="shared" si="21"/>
        <v>Error?</v>
      </c>
    </row>
    <row r="1419" spans="1:4" x14ac:dyDescent="0.2">
      <c r="A1419" s="5">
        <v>1358</v>
      </c>
      <c r="B1419" s="138">
        <f>'Expenditures 15-22'!D241</f>
        <v>47183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60634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13820</v>
      </c>
      <c r="D1423" s="2" t="str">
        <f t="shared" si="21"/>
        <v>Error?</v>
      </c>
    </row>
    <row r="1424" spans="1:4" x14ac:dyDescent="0.2">
      <c r="A1424" s="5">
        <v>1363</v>
      </c>
      <c r="B1424" s="138">
        <f>'Expenditures 15-22'!D257</f>
        <v>15047</v>
      </c>
      <c r="C1424" s="2" t="s">
        <v>594</v>
      </c>
      <c r="D1424" s="2" t="str">
        <f t="shared" si="21"/>
        <v>Error?</v>
      </c>
    </row>
    <row r="1425" spans="1:4" x14ac:dyDescent="0.2">
      <c r="A1425" s="5">
        <v>1364</v>
      </c>
      <c r="B1425" s="138">
        <f>'Expenditures 15-22'!D259</f>
        <v>60404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60404</v>
      </c>
      <c r="C1427" s="2" t="s">
        <v>594</v>
      </c>
      <c r="D1427" s="2" t="str">
        <f t="shared" si="21"/>
        <v>Error?</v>
      </c>
    </row>
    <row r="1428" spans="1:4" x14ac:dyDescent="0.2">
      <c r="A1428" s="5">
        <v>1367</v>
      </c>
      <c r="B1428" s="138">
        <f>'Expenditures 15-22'!D263</f>
        <v>31558</v>
      </c>
      <c r="D1428" s="2" t="str">
        <f t="shared" si="21"/>
        <v>Error?</v>
      </c>
    </row>
    <row r="1429" spans="1:4" x14ac:dyDescent="0.2">
      <c r="A1429" s="5">
        <v>1368</v>
      </c>
      <c r="B1429" s="138">
        <f>'Expenditures 15-22'!D264</f>
        <v>29103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93268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153929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43650</v>
      </c>
      <c r="D1442" s="2" t="str">
        <f t="shared" si="21"/>
        <v>Error?</v>
      </c>
    </row>
    <row r="1443" spans="1:4" x14ac:dyDescent="0.2">
      <c r="A1443" s="10">
        <v>1382</v>
      </c>
      <c r="D1443" s="2" t="str">
        <f t="shared" si="21"/>
        <v>OK</v>
      </c>
    </row>
    <row r="1444" spans="1:4" x14ac:dyDescent="0.2">
      <c r="A1444" s="5">
        <v>1383</v>
      </c>
      <c r="B1444" s="138">
        <f>'Expenditures 15-22'!D277</f>
        <v>43650</v>
      </c>
      <c r="C1444" s="2" t="s">
        <v>594</v>
      </c>
      <c r="D1444" s="2" t="str">
        <f t="shared" si="21"/>
        <v>Error?</v>
      </c>
    </row>
    <row r="1445" spans="1:4" x14ac:dyDescent="0.2">
      <c r="A1445" s="5">
        <v>1384</v>
      </c>
      <c r="B1445" s="138">
        <f>'Expenditures 15-22'!D278</f>
        <v>8672</v>
      </c>
      <c r="D1445" s="2" t="str">
        <f t="shared" si="21"/>
        <v>Error?</v>
      </c>
    </row>
    <row r="1446" spans="1:4" x14ac:dyDescent="0.2">
      <c r="A1446" s="5">
        <v>1385</v>
      </c>
      <c r="B1446" s="138">
        <f>'Expenditures 15-22'!D279</f>
        <v>366866</v>
      </c>
      <c r="C1446" s="2" t="s">
        <v>594</v>
      </c>
      <c r="D1446" s="2" t="str">
        <f t="shared" si="21"/>
        <v>Error?</v>
      </c>
    </row>
    <row r="1447" spans="1:4" x14ac:dyDescent="0.2">
      <c r="A1447" s="5">
        <v>1386</v>
      </c>
      <c r="B1447" s="138">
        <f>'Expenditures 15-22'!D280</f>
        <v>28379</v>
      </c>
      <c r="D1447" s="2" t="str">
        <f t="shared" si="21"/>
        <v>Error?</v>
      </c>
    </row>
    <row r="1448" spans="1:4" x14ac:dyDescent="0.2">
      <c r="A1448" s="5">
        <v>1387</v>
      </c>
      <c r="B1448" s="138">
        <f>'Expenditures 15-22'!D295</f>
        <v>676275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1509</v>
      </c>
      <c r="C1473" s="2" t="s">
        <v>594</v>
      </c>
      <c r="D1473" s="2" t="str">
        <f t="shared" si="22"/>
        <v>Error?</v>
      </c>
    </row>
    <row r="1474" spans="1:4" x14ac:dyDescent="0.2">
      <c r="A1474" s="5">
        <v>1413</v>
      </c>
      <c r="B1474" s="138">
        <f>'Expenditures 15-22'!K229</f>
        <v>281030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24530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24530</v>
      </c>
      <c r="C1481" s="2" t="s">
        <v>594</v>
      </c>
      <c r="D1481" s="2" t="str">
        <f t="shared" si="22"/>
        <v>Error?</v>
      </c>
    </row>
    <row r="1482" spans="1:4" x14ac:dyDescent="0.2">
      <c r="A1482" s="5">
        <v>1421</v>
      </c>
      <c r="B1482" s="138">
        <f>'Expenditures 15-22'!K240</f>
        <v>13451</v>
      </c>
      <c r="C1482" s="2" t="s">
        <v>594</v>
      </c>
      <c r="D1482" s="2" t="str">
        <f t="shared" si="22"/>
        <v>Error?</v>
      </c>
    </row>
    <row r="1483" spans="1:4" x14ac:dyDescent="0.2">
      <c r="A1483" s="5">
        <v>1422</v>
      </c>
      <c r="B1483" s="138">
        <f>'Expenditures 15-22'!K241</f>
        <v>47183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60634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13820</v>
      </c>
      <c r="C1487" s="2" t="s">
        <v>594</v>
      </c>
      <c r="D1487" s="2" t="str">
        <f t="shared" si="22"/>
        <v>Error?</v>
      </c>
    </row>
    <row r="1488" spans="1:4" x14ac:dyDescent="0.2">
      <c r="A1488" s="5">
        <v>1427</v>
      </c>
      <c r="B1488" s="138">
        <f>'Expenditures 15-22'!K257</f>
        <v>15047</v>
      </c>
      <c r="C1488" s="2" t="s">
        <v>594</v>
      </c>
      <c r="D1488" s="2" t="str">
        <f t="shared" si="22"/>
        <v>Error?</v>
      </c>
    </row>
    <row r="1489" spans="1:4" x14ac:dyDescent="0.2">
      <c r="A1489" s="5">
        <v>1428</v>
      </c>
      <c r="B1489" s="138">
        <f>'Expenditures 15-22'!K259</f>
        <v>60404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60404</v>
      </c>
      <c r="C1491" s="2" t="s">
        <v>594</v>
      </c>
      <c r="D1491" s="2" t="str">
        <f t="shared" si="22"/>
        <v>Error?</v>
      </c>
    </row>
    <row r="1492" spans="1:4" x14ac:dyDescent="0.2">
      <c r="A1492" s="5">
        <v>1431</v>
      </c>
      <c r="B1492" s="138">
        <f>'Expenditures 15-22'!K263</f>
        <v>31558</v>
      </c>
      <c r="C1492" s="2" t="s">
        <v>594</v>
      </c>
      <c r="D1492" s="2" t="str">
        <f t="shared" si="22"/>
        <v>Error?</v>
      </c>
    </row>
    <row r="1493" spans="1:4" x14ac:dyDescent="0.2">
      <c r="A1493" s="5">
        <v>1432</v>
      </c>
      <c r="B1493" s="138">
        <f>'Expenditures 15-22'!K264</f>
        <v>29103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93268</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153929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43650</v>
      </c>
      <c r="C1506" s="2" t="s">
        <v>594</v>
      </c>
      <c r="D1506" s="2" t="str">
        <f t="shared" si="22"/>
        <v>Error?</v>
      </c>
    </row>
    <row r="1507" spans="1:4" x14ac:dyDescent="0.2">
      <c r="A1507" s="10">
        <v>1446</v>
      </c>
      <c r="D1507" s="2" t="str">
        <f t="shared" si="22"/>
        <v>OK</v>
      </c>
    </row>
    <row r="1508" spans="1:4" x14ac:dyDescent="0.2">
      <c r="A1508" s="5">
        <v>1447</v>
      </c>
      <c r="B1508" s="138">
        <f>'Expenditures 15-22'!K277</f>
        <v>43650</v>
      </c>
      <c r="C1508" s="2" t="s">
        <v>594</v>
      </c>
      <c r="D1508" s="2" t="str">
        <f t="shared" si="22"/>
        <v>Error?</v>
      </c>
    </row>
    <row r="1509" spans="1:4" x14ac:dyDescent="0.2">
      <c r="A1509" s="5">
        <v>1448</v>
      </c>
      <c r="B1509" s="138">
        <f>'Expenditures 15-22'!K278</f>
        <v>8672</v>
      </c>
      <c r="C1509" s="2" t="s">
        <v>594</v>
      </c>
      <c r="D1509" s="2" t="str">
        <f t="shared" si="22"/>
        <v>Error?</v>
      </c>
    </row>
    <row r="1510" spans="1:4" x14ac:dyDescent="0.2">
      <c r="A1510" s="5">
        <v>1449</v>
      </c>
      <c r="B1510" s="138">
        <f>'Expenditures 15-22'!K279</f>
        <v>366866</v>
      </c>
      <c r="C1510" s="2" t="s">
        <v>594</v>
      </c>
      <c r="D1510" s="2" t="str">
        <f t="shared" si="22"/>
        <v>Error?</v>
      </c>
    </row>
    <row r="1511" spans="1:4" x14ac:dyDescent="0.2">
      <c r="A1511" s="5">
        <v>1450</v>
      </c>
      <c r="B1511" s="138">
        <f>'Expenditures 15-22'!K280</f>
        <v>28379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676275</v>
      </c>
      <c r="C1517" s="2" t="s">
        <v>594</v>
      </c>
      <c r="D1517" s="2" t="str">
        <f t="shared" si="22"/>
        <v>Error?</v>
      </c>
    </row>
    <row r="1518" spans="1:4" x14ac:dyDescent="0.2">
      <c r="A1518" s="5">
        <v>1457</v>
      </c>
      <c r="B1518" s="138">
        <f>'Expenditures 15-22'!K296</f>
        <v>51625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16375440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15103355</v>
      </c>
      <c r="C1630" s="2" t="s">
        <v>594</v>
      </c>
      <c r="D1630" s="2" t="str">
        <f t="shared" si="24"/>
        <v>Error?</v>
      </c>
    </row>
    <row r="1631" spans="1:4" x14ac:dyDescent="0.2">
      <c r="A1631" s="5">
        <v>1570</v>
      </c>
      <c r="B1631" s="138">
        <f>'Acct Summary 7-8'!D79</f>
        <v>1424158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1602119</v>
      </c>
      <c r="C1644" s="2" t="s">
        <v>594</v>
      </c>
      <c r="D1644" s="2" t="str">
        <f t="shared" si="24"/>
        <v>Error?</v>
      </c>
    </row>
    <row r="1645" spans="1:4" x14ac:dyDescent="0.2">
      <c r="A1645" s="5">
        <v>1584</v>
      </c>
      <c r="B1645" s="138">
        <f>'Acct Summary 7-8'!E79</f>
        <v>540493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4293480</v>
      </c>
      <c r="C1658" s="2" t="s">
        <v>594</v>
      </c>
      <c r="D1658" s="2" t="str">
        <f t="shared" si="24"/>
        <v>Error?</v>
      </c>
    </row>
    <row r="1659" spans="1:4" x14ac:dyDescent="0.2">
      <c r="A1659" s="5">
        <v>1598</v>
      </c>
      <c r="B1659" s="138">
        <f>'Acct Summary 7-8'!F79</f>
        <v>1340107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1401880</v>
      </c>
      <c r="C1672" s="2" t="s">
        <v>594</v>
      </c>
      <c r="D1672" s="2" t="str">
        <f t="shared" si="25"/>
        <v>Error?</v>
      </c>
    </row>
    <row r="1673" spans="1:4" x14ac:dyDescent="0.2">
      <c r="A1673" s="5">
        <v>1612</v>
      </c>
      <c r="B1673" s="138">
        <f>'Acct Summary 7-8'!G79</f>
        <v>143637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195262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19251047</v>
      </c>
      <c r="C1744" s="2" t="s">
        <v>594</v>
      </c>
      <c r="D1744" s="2" t="str">
        <f t="shared" si="26"/>
        <v>Error?</v>
      </c>
    </row>
    <row r="1745" spans="1:5" x14ac:dyDescent="0.2">
      <c r="A1745" s="5">
        <v>1684</v>
      </c>
      <c r="B1745" s="138">
        <f>'Tax Sched 23'!B5</f>
        <v>3454833</v>
      </c>
      <c r="C1745" s="2" t="s">
        <v>594</v>
      </c>
      <c r="D1745" s="2" t="str">
        <f t="shared" si="26"/>
        <v>Error?</v>
      </c>
    </row>
    <row r="1746" spans="1:5" x14ac:dyDescent="0.2">
      <c r="A1746" s="5">
        <v>1685</v>
      </c>
      <c r="B1746" s="138">
        <f>'Tax Sched 23'!B6</f>
        <v>277463</v>
      </c>
      <c r="C1746" s="2" t="s">
        <v>594</v>
      </c>
      <c r="D1746" s="2" t="str">
        <f t="shared" si="26"/>
        <v>Error?</v>
      </c>
    </row>
    <row r="1747" spans="1:5" x14ac:dyDescent="0.2">
      <c r="A1747" s="5">
        <v>1686</v>
      </c>
      <c r="B1747" s="138">
        <f>'Tax Sched 23'!B7</f>
        <v>578592</v>
      </c>
      <c r="C1747" s="2" t="s">
        <v>594</v>
      </c>
      <c r="D1747" s="2" t="str">
        <f t="shared" si="26"/>
        <v>Error?</v>
      </c>
    </row>
    <row r="1748" spans="1:5" x14ac:dyDescent="0.2">
      <c r="A1748" s="5">
        <v>1687</v>
      </c>
      <c r="B1748" s="138">
        <f>'Tax Sched 23'!B8</f>
        <v>283364</v>
      </c>
      <c r="C1748" s="2" t="s">
        <v>594</v>
      </c>
      <c r="D1748" s="2" t="str">
        <f t="shared" si="26"/>
        <v>Error?</v>
      </c>
    </row>
    <row r="1749" spans="1:5" x14ac:dyDescent="0.2">
      <c r="A1749" s="5">
        <v>1688</v>
      </c>
      <c r="B1749" s="138">
        <f>'Tax Sched 23'!B10</f>
        <v>8652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205813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2505256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26965552</v>
      </c>
      <c r="C1759" s="2" t="s">
        <v>594</v>
      </c>
      <c r="D1759" s="2" t="str">
        <f t="shared" si="26"/>
        <v>Error?</v>
      </c>
    </row>
    <row r="1760" spans="1:5" x14ac:dyDescent="0.2">
      <c r="A1760" s="5">
        <v>1699</v>
      </c>
      <c r="B1760" s="138">
        <f>'Tax Sched 23'!D4</f>
        <v>9348454</v>
      </c>
      <c r="C1760" s="2" t="s">
        <v>594</v>
      </c>
      <c r="D1760" s="2" t="str">
        <f t="shared" si="26"/>
        <v>Error?</v>
      </c>
    </row>
    <row r="1761" spans="1:5" x14ac:dyDescent="0.2">
      <c r="A1761" s="5">
        <v>1700</v>
      </c>
      <c r="B1761" s="138">
        <f>'Tax Sched 23'!D5</f>
        <v>1670616</v>
      </c>
      <c r="C1761" s="2" t="s">
        <v>594</v>
      </c>
      <c r="D1761" s="2" t="str">
        <f t="shared" si="26"/>
        <v>Error?</v>
      </c>
    </row>
    <row r="1762" spans="1:5" s="8" customFormat="1" x14ac:dyDescent="0.2">
      <c r="A1762" s="5">
        <v>1701</v>
      </c>
      <c r="B1762" s="138">
        <f>'Tax Sched 23'!D6</f>
        <v>124235</v>
      </c>
      <c r="C1762" s="2" t="s">
        <v>594</v>
      </c>
      <c r="D1762" s="2" t="str">
        <f t="shared" si="26"/>
        <v>Error?</v>
      </c>
      <c r="E1762" s="9"/>
    </row>
    <row r="1763" spans="1:5" x14ac:dyDescent="0.2">
      <c r="A1763" s="5">
        <v>1702</v>
      </c>
      <c r="B1763" s="138">
        <f>'Tax Sched 23'!D7</f>
        <v>244818</v>
      </c>
      <c r="C1763" s="2" t="s">
        <v>594</v>
      </c>
      <c r="D1763" s="2" t="str">
        <f t="shared" si="26"/>
        <v>Error?</v>
      </c>
    </row>
    <row r="1764" spans="1:5" x14ac:dyDescent="0.2">
      <c r="A1764" s="5">
        <v>1703</v>
      </c>
      <c r="B1764" s="138">
        <f>'Tax Sched 23'!D8</f>
        <v>134551</v>
      </c>
      <c r="C1764" s="2" t="s">
        <v>594</v>
      </c>
      <c r="D1764" s="2" t="str">
        <f t="shared" si="26"/>
        <v>Error?</v>
      </c>
    </row>
    <row r="1765" spans="1:5" x14ac:dyDescent="0.2">
      <c r="A1765" s="5">
        <v>1704</v>
      </c>
      <c r="B1765" s="138">
        <f>'Tax Sched 23'!D10</f>
        <v>4558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88090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1207706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12992516</v>
      </c>
      <c r="C1775" s="2" t="s">
        <v>594</v>
      </c>
      <c r="D1775" s="2" t="str">
        <f t="shared" si="26"/>
        <v>Error?</v>
      </c>
    </row>
    <row r="1776" spans="1:5" x14ac:dyDescent="0.2">
      <c r="A1776" s="5">
        <v>1715</v>
      </c>
      <c r="B1776" s="138">
        <f>'Tax Sched 23'!C4</f>
        <v>9902593</v>
      </c>
      <c r="D1776" s="2" t="str">
        <f t="shared" si="26"/>
        <v>Error?</v>
      </c>
    </row>
    <row r="1777" spans="1:4" x14ac:dyDescent="0.2">
      <c r="A1777" s="5">
        <v>1716</v>
      </c>
      <c r="B1777" s="138">
        <f>'Tax Sched 23'!C5</f>
        <v>1784217</v>
      </c>
      <c r="D1777" s="2" t="str">
        <f t="shared" si="26"/>
        <v>Error?</v>
      </c>
    </row>
    <row r="1778" spans="1:4" x14ac:dyDescent="0.2">
      <c r="A1778" s="5">
        <v>1717</v>
      </c>
      <c r="B1778" s="138">
        <f>'Tax Sched 23'!C6</f>
        <v>153228</v>
      </c>
      <c r="D1778" s="2" t="str">
        <f t="shared" si="26"/>
        <v>Error?</v>
      </c>
    </row>
    <row r="1779" spans="1:4" x14ac:dyDescent="0.2">
      <c r="A1779" s="5">
        <v>1718</v>
      </c>
      <c r="B1779" s="138">
        <f>'Tax Sched 23'!C7</f>
        <v>333774</v>
      </c>
      <c r="D1779" s="2" t="str">
        <f t="shared" si="26"/>
        <v>Error?</v>
      </c>
    </row>
    <row r="1780" spans="1:4" x14ac:dyDescent="0.2">
      <c r="A1780" s="5">
        <v>1719</v>
      </c>
      <c r="B1780" s="138">
        <f>'Tax Sched 23'!C8</f>
        <v>148813</v>
      </c>
      <c r="D1780" s="2" t="str">
        <f t="shared" si="26"/>
        <v>Error?</v>
      </c>
    </row>
    <row r="1781" spans="1:4" x14ac:dyDescent="0.2">
      <c r="A1781" s="5">
        <v>1720</v>
      </c>
      <c r="B1781" s="138">
        <f>'Tax Sched 23'!C10</f>
        <v>4094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117723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1297550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13973036</v>
      </c>
      <c r="C1791" s="2" t="s">
        <v>594</v>
      </c>
      <c r="D1791" s="2" t="str">
        <f t="shared" ref="D1791:D1854" si="27">IF(ISBLANK(B1791),"OK",IF(A1791-B1791=0,"OK","Error?"))</f>
        <v>Error?</v>
      </c>
    </row>
    <row r="1792" spans="1:4" x14ac:dyDescent="0.2">
      <c r="A1792" s="5">
        <v>1731</v>
      </c>
      <c r="B1792" s="138">
        <f>'Tax Sched 23'!F4</f>
        <v>9392900</v>
      </c>
      <c r="C1792" s="2" t="s">
        <v>594</v>
      </c>
      <c r="D1792" s="2" t="str">
        <f t="shared" si="27"/>
        <v>Error?</v>
      </c>
    </row>
    <row r="1793" spans="1:4" x14ac:dyDescent="0.2">
      <c r="A1793" s="5">
        <v>1732</v>
      </c>
      <c r="B1793" s="138">
        <f>'Tax Sched 23'!F5</f>
        <v>1692376</v>
      </c>
      <c r="C1793" s="2" t="s">
        <v>594</v>
      </c>
      <c r="D1793" s="2" t="str">
        <f t="shared" si="27"/>
        <v>Error?</v>
      </c>
    </row>
    <row r="1794" spans="1:4" x14ac:dyDescent="0.2">
      <c r="A1794" s="5">
        <v>1733</v>
      </c>
      <c r="B1794" s="138">
        <f>'Tax Sched 23'!F6</f>
        <v>145355</v>
      </c>
      <c r="C1794" s="2" t="s">
        <v>594</v>
      </c>
      <c r="D1794" s="2" t="str">
        <f t="shared" si="27"/>
        <v>Error?</v>
      </c>
    </row>
    <row r="1795" spans="1:4" x14ac:dyDescent="0.2">
      <c r="A1795" s="5">
        <v>1734</v>
      </c>
      <c r="B1795" s="138">
        <f>'Tax Sched 23'!F7</f>
        <v>316591</v>
      </c>
      <c r="C1795" s="2" t="s">
        <v>594</v>
      </c>
      <c r="D1795" s="2" t="str">
        <f t="shared" si="27"/>
        <v>Error?</v>
      </c>
    </row>
    <row r="1796" spans="1:4" x14ac:dyDescent="0.2">
      <c r="A1796" s="5">
        <v>1735</v>
      </c>
      <c r="B1796" s="138">
        <f>'Tax Sched 23'!F8</f>
        <v>141125</v>
      </c>
      <c r="C1796" s="2" t="s">
        <v>594</v>
      </c>
      <c r="D1796" s="2" t="str">
        <f t="shared" si="27"/>
        <v>Error?</v>
      </c>
    </row>
    <row r="1797" spans="1:4" x14ac:dyDescent="0.2">
      <c r="A1797" s="5">
        <v>1736</v>
      </c>
      <c r="B1797" s="138">
        <f>'Tax Sched 23'!F10</f>
        <v>3886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111700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1230761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13253852</v>
      </c>
      <c r="C1807" s="2" t="s">
        <v>594</v>
      </c>
      <c r="D1807" s="2" t="str">
        <f t="shared" si="27"/>
        <v>Error?</v>
      </c>
    </row>
    <row r="1808" spans="1:4" x14ac:dyDescent="0.2">
      <c r="A1808" s="5">
        <v>1747</v>
      </c>
      <c r="B1808" s="138">
        <f>'Tax Sched 23'!E4</f>
        <v>19295493</v>
      </c>
      <c r="D1808" s="2" t="str">
        <f t="shared" si="27"/>
        <v>Error?</v>
      </c>
    </row>
    <row r="1809" spans="1:4" x14ac:dyDescent="0.2">
      <c r="A1809" s="5">
        <v>1748</v>
      </c>
      <c r="B1809" s="138">
        <f>'Tax Sched 23'!E5</f>
        <v>3476593</v>
      </c>
      <c r="D1809" s="2" t="str">
        <f t="shared" si="27"/>
        <v>Error?</v>
      </c>
    </row>
    <row r="1810" spans="1:4" x14ac:dyDescent="0.2">
      <c r="A1810" s="5">
        <v>1749</v>
      </c>
      <c r="B1810" s="138">
        <f>'Tax Sched 23'!E6</f>
        <v>298583</v>
      </c>
      <c r="D1810" s="2" t="str">
        <f t="shared" si="27"/>
        <v>Error?</v>
      </c>
    </row>
    <row r="1811" spans="1:4" x14ac:dyDescent="0.2">
      <c r="A1811" s="5">
        <v>1750</v>
      </c>
      <c r="B1811" s="138">
        <f>'Tax Sched 23'!E7</f>
        <v>650365</v>
      </c>
      <c r="D1811" s="2" t="str">
        <f t="shared" si="27"/>
        <v>Error?</v>
      </c>
    </row>
    <row r="1812" spans="1:4" x14ac:dyDescent="0.2">
      <c r="A1812" s="5">
        <v>1751</v>
      </c>
      <c r="B1812" s="138">
        <f>'Tax Sched 23'!E8</f>
        <v>289938</v>
      </c>
      <c r="D1812" s="2" t="str">
        <f t="shared" si="27"/>
        <v>Error?</v>
      </c>
    </row>
    <row r="1813" spans="1:4" x14ac:dyDescent="0.2">
      <c r="A1813" s="5">
        <v>1752</v>
      </c>
      <c r="B1813" s="138">
        <f>'Tax Sched 23'!E10</f>
        <v>7980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229423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2528311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27226888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37326000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2505256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2505256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2505256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535904</v>
      </c>
      <c r="D2008" s="2" t="str">
        <f t="shared" si="30"/>
        <v>Error?</v>
      </c>
    </row>
    <row r="2009" spans="1:4" x14ac:dyDescent="0.2">
      <c r="A2009" s="5">
        <v>1948</v>
      </c>
      <c r="B2009" s="138">
        <f>'Cap Outlay Deprec 26'!C8</f>
        <v>80769062</v>
      </c>
      <c r="D2009" s="2" t="str">
        <f t="shared" si="30"/>
        <v>Error?</v>
      </c>
    </row>
    <row r="2010" spans="1:4" x14ac:dyDescent="0.2">
      <c r="A2010" s="5">
        <v>1949</v>
      </c>
      <c r="B2010" s="138">
        <f>'Cap Outlay Deprec 26'!C10</f>
        <v>1022487</v>
      </c>
      <c r="D2010" s="2" t="str">
        <f t="shared" si="30"/>
        <v>Error?</v>
      </c>
    </row>
    <row r="2011" spans="1:4" x14ac:dyDescent="0.2">
      <c r="A2011" s="5">
        <v>1950</v>
      </c>
      <c r="B2011" s="138">
        <f>'Cap Outlay Deprec 26'!C12</f>
        <v>8466448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94848814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5458882</v>
      </c>
      <c r="D2015" s="2" t="str">
        <f t="shared" si="30"/>
        <v>Error?</v>
      </c>
    </row>
    <row r="2016" spans="1:4" x14ac:dyDescent="0.2">
      <c r="A2016" s="5">
        <v>1955</v>
      </c>
      <c r="B2016" s="138">
        <f>'Cap Outlay Deprec 26'!D10</f>
        <v>172037</v>
      </c>
      <c r="D2016" s="2" t="str">
        <f t="shared" si="30"/>
        <v>Error?</v>
      </c>
    </row>
    <row r="2017" spans="1:4" x14ac:dyDescent="0.2">
      <c r="A2017" s="5">
        <v>1956</v>
      </c>
      <c r="B2017" s="138">
        <f>'Cap Outlay Deprec 26'!D12</f>
        <v>425360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6056279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2308496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6363409</v>
      </c>
      <c r="C2025" s="2" t="s">
        <v>594</v>
      </c>
      <c r="D2025" s="2" t="str">
        <f t="shared" si="30"/>
        <v>Error?</v>
      </c>
    </row>
    <row r="2026" spans="1:4" x14ac:dyDescent="0.2">
      <c r="A2026" s="5">
        <v>1965</v>
      </c>
      <c r="B2026" s="138">
        <f>'Cap Outlay Deprec 26'!F5</f>
        <v>535904</v>
      </c>
      <c r="C2026" s="2" t="s">
        <v>594</v>
      </c>
      <c r="D2026" s="2" t="str">
        <f t="shared" si="30"/>
        <v>Error?</v>
      </c>
    </row>
    <row r="2027" spans="1:4" x14ac:dyDescent="0.2">
      <c r="A2027" s="5">
        <v>1966</v>
      </c>
      <c r="B2027" s="138">
        <f>'Cap Outlay Deprec 26'!F8</f>
        <v>86227944</v>
      </c>
      <c r="C2027" s="2" t="s">
        <v>594</v>
      </c>
      <c r="D2027" s="2" t="str">
        <f t="shared" si="30"/>
        <v>Error?</v>
      </c>
    </row>
    <row r="2028" spans="1:4" x14ac:dyDescent="0.2">
      <c r="A2028" s="5">
        <v>1967</v>
      </c>
      <c r="B2028" s="138">
        <f>'Cap Outlay Deprec 26'!F10</f>
        <v>1194524</v>
      </c>
      <c r="C2028" s="2" t="s">
        <v>594</v>
      </c>
      <c r="D2028" s="2" t="str">
        <f t="shared" si="30"/>
        <v>Error?</v>
      </c>
    </row>
    <row r="2029" spans="1:4" x14ac:dyDescent="0.2">
      <c r="A2029" s="5">
        <v>1968</v>
      </c>
      <c r="B2029" s="138">
        <f>'Cap Outlay Deprec 26'!F12</f>
        <v>6583312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94541684</v>
      </c>
      <c r="C2031" s="2" t="s">
        <v>594</v>
      </c>
      <c r="D2031" s="2" t="str">
        <f t="shared" si="30"/>
        <v>Error?</v>
      </c>
    </row>
    <row r="2032" spans="1:4" x14ac:dyDescent="0.2">
      <c r="A2032" s="10">
        <v>1971</v>
      </c>
      <c r="D2032" s="2" t="str">
        <f t="shared" si="30"/>
        <v>OK</v>
      </c>
    </row>
    <row r="2033" spans="1:4" x14ac:dyDescent="0.2">
      <c r="A2033" s="5">
        <v>1972</v>
      </c>
      <c r="B2033" s="138">
        <f>'Cap Outlay Deprec 26'!H8</f>
        <v>12129513</v>
      </c>
      <c r="D2033" s="2" t="str">
        <f t="shared" si="30"/>
        <v>Error?</v>
      </c>
    </row>
    <row r="2034" spans="1:4" x14ac:dyDescent="0.2">
      <c r="A2034" s="5">
        <v>1973</v>
      </c>
      <c r="B2034" s="138">
        <f>'Cap Outlay Deprec 26'!H10</f>
        <v>752633</v>
      </c>
      <c r="D2034" s="2" t="str">
        <f t="shared" si="30"/>
        <v>Error?</v>
      </c>
    </row>
    <row r="2035" spans="1:4" x14ac:dyDescent="0.2">
      <c r="A2035" s="5">
        <v>1974</v>
      </c>
      <c r="B2035" s="138">
        <f>'Cap Outlay Deprec 26'!H12</f>
        <v>6217328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19099474</v>
      </c>
      <c r="C2037" s="2" t="s">
        <v>594</v>
      </c>
      <c r="D2037" s="2" t="str">
        <f t="shared" si="30"/>
        <v>Error?</v>
      </c>
    </row>
    <row r="2038" spans="1:4" x14ac:dyDescent="0.2">
      <c r="A2038" s="10">
        <v>1977</v>
      </c>
      <c r="D2038" s="2" t="str">
        <f t="shared" si="30"/>
        <v>OK</v>
      </c>
    </row>
    <row r="2039" spans="1:4" x14ac:dyDescent="0.2">
      <c r="A2039" s="5">
        <v>1978</v>
      </c>
      <c r="B2039" s="138">
        <f>'Cap Outlay Deprec 26'!I8</f>
        <v>1669968</v>
      </c>
      <c r="D2039" s="2" t="str">
        <f t="shared" si="30"/>
        <v>Error?</v>
      </c>
    </row>
    <row r="2040" spans="1:4" x14ac:dyDescent="0.2">
      <c r="A2040" s="5">
        <v>1979</v>
      </c>
      <c r="B2040" s="138">
        <f>'Cap Outlay Deprec 26'!I10</f>
        <v>55425</v>
      </c>
      <c r="D2040" s="2" t="str">
        <f t="shared" si="30"/>
        <v>Error?</v>
      </c>
    </row>
    <row r="2041" spans="1:4" x14ac:dyDescent="0.2">
      <c r="A2041" s="5">
        <v>1980</v>
      </c>
      <c r="B2041" s="138">
        <f>'Cap Outlay Deprec 26'!I12</f>
        <v>359786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2085179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2308496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2308496</v>
      </c>
      <c r="C2049" s="2" t="s">
        <v>594</v>
      </c>
      <c r="D2049" s="2" t="str">
        <f t="shared" si="31"/>
        <v>Error?</v>
      </c>
    </row>
    <row r="2050" spans="1:4" x14ac:dyDescent="0.2">
      <c r="A2050" s="10">
        <v>1989</v>
      </c>
      <c r="D2050" s="2" t="str">
        <f t="shared" si="31"/>
        <v>OK</v>
      </c>
    </row>
    <row r="2051" spans="1:4" x14ac:dyDescent="0.2">
      <c r="A2051" s="5">
        <v>1990</v>
      </c>
      <c r="B2051" s="138">
        <f>'Cap Outlay Deprec 26'!K8</f>
        <v>13799481</v>
      </c>
      <c r="C2051" s="2" t="s">
        <v>594</v>
      </c>
      <c r="D2051" s="2" t="str">
        <f t="shared" si="31"/>
        <v>Error?</v>
      </c>
    </row>
    <row r="2052" spans="1:4" x14ac:dyDescent="0.2">
      <c r="A2052" s="5">
        <v>1991</v>
      </c>
      <c r="B2052" s="138">
        <f>'Cap Outlay Deprec 26'!K10</f>
        <v>808058</v>
      </c>
      <c r="C2052" s="2" t="s">
        <v>594</v>
      </c>
      <c r="D2052" s="2" t="str">
        <f t="shared" si="31"/>
        <v>Error?</v>
      </c>
    </row>
    <row r="2053" spans="1:4" x14ac:dyDescent="0.2">
      <c r="A2053" s="5">
        <v>1992</v>
      </c>
      <c r="B2053" s="138">
        <f>'Cap Outlay Deprec 26'!K12</f>
        <v>4268618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18876157</v>
      </c>
      <c r="C2055" s="2" t="s">
        <v>594</v>
      </c>
      <c r="D2055" s="2" t="str">
        <f t="shared" si="31"/>
        <v>Error?</v>
      </c>
    </row>
    <row r="2056" spans="1:4" x14ac:dyDescent="0.2">
      <c r="A2056" s="5">
        <v>1995</v>
      </c>
      <c r="B2056" s="138">
        <f>'Cap Outlay Deprec 26'!L5</f>
        <v>535904</v>
      </c>
      <c r="C2056" s="2" t="s">
        <v>594</v>
      </c>
      <c r="D2056" s="2" t="str">
        <f t="shared" si="31"/>
        <v>Error?</v>
      </c>
    </row>
    <row r="2057" spans="1:4" x14ac:dyDescent="0.2">
      <c r="A2057" s="5">
        <v>1996</v>
      </c>
      <c r="B2057" s="138">
        <f>'Cap Outlay Deprec 26'!L8</f>
        <v>72428463</v>
      </c>
      <c r="C2057" s="2" t="s">
        <v>594</v>
      </c>
      <c r="D2057" s="2" t="str">
        <f t="shared" si="31"/>
        <v>Error?</v>
      </c>
    </row>
    <row r="2058" spans="1:4" x14ac:dyDescent="0.2">
      <c r="A2058" s="5">
        <v>1997</v>
      </c>
      <c r="B2058" s="138">
        <f>'Cap Outlay Deprec 26'!L10</f>
        <v>386466</v>
      </c>
      <c r="C2058" s="2" t="s">
        <v>594</v>
      </c>
      <c r="D2058" s="2" t="str">
        <f t="shared" si="31"/>
        <v>Error?</v>
      </c>
    </row>
    <row r="2059" spans="1:4" x14ac:dyDescent="0.2">
      <c r="A2059" s="5">
        <v>1998</v>
      </c>
      <c r="B2059" s="138">
        <f>'Cap Outlay Deprec 26'!L12</f>
        <v>2314694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75665527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6363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146290</v>
      </c>
      <c r="C2088" s="2" t="s">
        <v>594</v>
      </c>
      <c r="D2088" s="2" t="str">
        <f t="shared" si="31"/>
        <v>Error?</v>
      </c>
    </row>
    <row r="2089" spans="1:4" x14ac:dyDescent="0.2">
      <c r="A2089" s="5">
        <v>2028</v>
      </c>
      <c r="B2089" s="138">
        <f>'Expenditures 15-22'!K92</f>
        <v>1546870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1602119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1401880</v>
      </c>
      <c r="D2475" s="2" t="str">
        <f t="shared" si="37"/>
        <v>Error?</v>
      </c>
    </row>
    <row r="2476" spans="1:4" x14ac:dyDescent="0.2">
      <c r="A2476" s="10">
        <v>2415</v>
      </c>
      <c r="D2476" s="2" t="str">
        <f t="shared" si="37"/>
        <v>OK</v>
      </c>
    </row>
    <row r="2477" spans="1:4" x14ac:dyDescent="0.2">
      <c r="A2477" s="5">
        <v>2416</v>
      </c>
      <c r="B2477" s="138">
        <f>'Assets-Liab 5-6'!G38</f>
        <v>195262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4293480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22920337</v>
      </c>
      <c r="C2551" s="2" t="s">
        <v>594</v>
      </c>
      <c r="D2551" s="2" t="str">
        <f t="shared" si="38"/>
        <v>Error?</v>
      </c>
    </row>
    <row r="2552" spans="1:4" x14ac:dyDescent="0.2">
      <c r="A2552" s="10">
        <v>2491</v>
      </c>
      <c r="D2552" s="2" t="str">
        <f t="shared" si="38"/>
        <v>OK</v>
      </c>
    </row>
    <row r="2553" spans="1:4" x14ac:dyDescent="0.2">
      <c r="A2553" s="5">
        <v>2492</v>
      </c>
      <c r="B2553" s="138">
        <f>'Acct Summary 7-8'!C6</f>
        <v>3649794</v>
      </c>
      <c r="C2553" s="2" t="s">
        <v>594</v>
      </c>
      <c r="D2553" s="2" t="str">
        <f t="shared" si="38"/>
        <v>Error?</v>
      </c>
    </row>
    <row r="2554" spans="1:4" x14ac:dyDescent="0.2">
      <c r="A2554" s="5">
        <v>2493</v>
      </c>
      <c r="B2554" s="138">
        <f>'Acct Summary 7-8'!C7</f>
        <v>2050517</v>
      </c>
      <c r="C2554" s="2" t="s">
        <v>594</v>
      </c>
      <c r="D2554" s="2" t="str">
        <f t="shared" si="38"/>
        <v>Error?</v>
      </c>
    </row>
    <row r="2555" spans="1:4" x14ac:dyDescent="0.2">
      <c r="A2555" s="5">
        <v>2494</v>
      </c>
      <c r="B2555" s="138">
        <f>'Acct Summary 7-8'!C8</f>
        <v>28620648</v>
      </c>
      <c r="C2555" s="2" t="s">
        <v>594</v>
      </c>
      <c r="D2555" s="2" t="str">
        <f t="shared" si="38"/>
        <v>Error?</v>
      </c>
    </row>
    <row r="2556" spans="1:4" x14ac:dyDescent="0.2">
      <c r="A2556" s="5">
        <v>2495</v>
      </c>
      <c r="B2556" s="138">
        <f>'Acct Summary 7-8'!C12</f>
        <v>17453920</v>
      </c>
      <c r="C2556" s="2" t="s">
        <v>594</v>
      </c>
      <c r="D2556" s="2" t="str">
        <f t="shared" si="38"/>
        <v>Error?</v>
      </c>
    </row>
    <row r="2557" spans="1:4" x14ac:dyDescent="0.2">
      <c r="A2557" s="5">
        <v>2496</v>
      </c>
      <c r="B2557" s="138">
        <f>'Acct Summary 7-8'!C13</f>
        <v>6570698</v>
      </c>
      <c r="C2557" s="2" t="s">
        <v>594</v>
      </c>
      <c r="D2557" s="2" t="str">
        <f t="shared" si="38"/>
        <v>Error?</v>
      </c>
    </row>
    <row r="2558" spans="1:4" x14ac:dyDescent="0.2">
      <c r="A2558" s="5">
        <v>2497</v>
      </c>
      <c r="B2558" s="138">
        <f>'Acct Summary 7-8'!C14</f>
        <v>374955</v>
      </c>
      <c r="C2558" s="2" t="s">
        <v>594</v>
      </c>
      <c r="D2558" s="2" t="str">
        <f t="shared" si="38"/>
        <v>Error?</v>
      </c>
    </row>
    <row r="2559" spans="1:4" x14ac:dyDescent="0.2">
      <c r="A2559" s="5">
        <v>2498</v>
      </c>
      <c r="B2559" s="138">
        <f>'Acct Summary 7-8'!C15</f>
        <v>1693160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26092733</v>
      </c>
      <c r="C2561" s="2" t="s">
        <v>594</v>
      </c>
      <c r="D2561" s="2" t="str">
        <f t="shared" si="39"/>
        <v>Error?</v>
      </c>
    </row>
    <row r="2562" spans="1:4" x14ac:dyDescent="0.2">
      <c r="A2562" s="5">
        <v>2501</v>
      </c>
      <c r="B2562" s="138">
        <f>'Acct Summary 7-8'!C20</f>
        <v>2527915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4112038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4112038</v>
      </c>
      <c r="C2568" s="2" t="s">
        <v>594</v>
      </c>
      <c r="D2568" s="2" t="str">
        <f t="shared" si="39"/>
        <v>Error?</v>
      </c>
    </row>
    <row r="2569" spans="1:4" x14ac:dyDescent="0.2">
      <c r="A2569" s="5">
        <v>2508</v>
      </c>
      <c r="B2569" s="138">
        <f>'Acct Summary 7-8'!D13</f>
        <v>3643859</v>
      </c>
      <c r="C2569" s="2" t="s">
        <v>594</v>
      </c>
      <c r="D2569" s="2" t="str">
        <f t="shared" si="39"/>
        <v>Error?</v>
      </c>
    </row>
    <row r="2570" spans="1:4" x14ac:dyDescent="0.2">
      <c r="A2570" s="5">
        <v>2509</v>
      </c>
      <c r="B2570" s="138">
        <f>'Acct Summary 7-8'!D14</f>
        <v>2685</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3646544</v>
      </c>
      <c r="C2573" s="2" t="s">
        <v>594</v>
      </c>
      <c r="D2573" s="2" t="str">
        <f t="shared" si="39"/>
        <v>Error?</v>
      </c>
    </row>
    <row r="2574" spans="1:4" x14ac:dyDescent="0.2">
      <c r="A2574" s="5">
        <v>2513</v>
      </c>
      <c r="B2574" s="138">
        <f>'Acct Summary 7-8'!D20</f>
        <v>465494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624636</v>
      </c>
      <c r="C2591" s="2" t="s">
        <v>594</v>
      </c>
      <c r="D2591" s="2" t="str">
        <f t="shared" si="39"/>
        <v>Error?</v>
      </c>
    </row>
    <row r="2592" spans="1:4" x14ac:dyDescent="0.2">
      <c r="A2592" s="10">
        <v>2531</v>
      </c>
      <c r="D2592" s="2" t="str">
        <f t="shared" si="39"/>
        <v>OK</v>
      </c>
    </row>
    <row r="2593" spans="1:4" x14ac:dyDescent="0.2">
      <c r="A2593" s="5">
        <v>2532</v>
      </c>
      <c r="B2593" s="138">
        <f>'Acct Summary 7-8'!F6</f>
        <v>578142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1202778</v>
      </c>
      <c r="C2595" s="2" t="s">
        <v>594</v>
      </c>
      <c r="D2595" s="2" t="str">
        <f t="shared" si="39"/>
        <v>Error?</v>
      </c>
    </row>
    <row r="2596" spans="1:4" x14ac:dyDescent="0.2">
      <c r="A2596" s="5">
        <v>2535</v>
      </c>
      <c r="B2596" s="138">
        <f>'Acct Summary 7-8'!F13</f>
        <v>1141005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1141005</v>
      </c>
      <c r="C2600" s="2" t="s">
        <v>594</v>
      </c>
      <c r="D2600" s="2" t="str">
        <f t="shared" si="39"/>
        <v>Error?</v>
      </c>
    </row>
    <row r="2601" spans="1:4" x14ac:dyDescent="0.2">
      <c r="A2601" s="5">
        <v>2540</v>
      </c>
      <c r="B2601" s="138">
        <f>'Acct Summary 7-8'!F20</f>
        <v>61773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727900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727900</v>
      </c>
      <c r="C2606" s="2" t="s">
        <v>594</v>
      </c>
      <c r="D2606" s="2" t="str">
        <f t="shared" si="39"/>
        <v>Error?</v>
      </c>
    </row>
    <row r="2607" spans="1:4" x14ac:dyDescent="0.2">
      <c r="A2607" s="5">
        <v>2546</v>
      </c>
      <c r="B2607" s="138">
        <f>'Acct Summary 7-8'!G12</f>
        <v>281030</v>
      </c>
      <c r="C2607" s="2" t="s">
        <v>594</v>
      </c>
      <c r="D2607" s="2" t="str">
        <f t="shared" si="39"/>
        <v>Error?</v>
      </c>
    </row>
    <row r="2608" spans="1:4" x14ac:dyDescent="0.2">
      <c r="A2608" s="5">
        <v>2547</v>
      </c>
      <c r="B2608" s="138">
        <f>'Acct Summary 7-8'!G13</f>
        <v>366866</v>
      </c>
      <c r="C2608" s="2" t="s">
        <v>594</v>
      </c>
      <c r="D2608" s="2" t="str">
        <f t="shared" si="39"/>
        <v>Error?</v>
      </c>
    </row>
    <row r="2609" spans="1:4" x14ac:dyDescent="0.2">
      <c r="A2609" s="5">
        <v>2548</v>
      </c>
      <c r="B2609" s="138">
        <f>'Acct Summary 7-8'!G14</f>
        <v>28379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676275</v>
      </c>
      <c r="C2612" s="2" t="s">
        <v>594</v>
      </c>
      <c r="D2612" s="2" t="str">
        <f t="shared" si="39"/>
        <v>Error?</v>
      </c>
    </row>
    <row r="2613" spans="1:4" x14ac:dyDescent="0.2">
      <c r="A2613" s="5">
        <v>2552</v>
      </c>
      <c r="B2613" s="138">
        <f>'Acct Summary 7-8'!G20</f>
        <v>51625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608655</v>
      </c>
      <c r="C2630" s="2" t="s">
        <v>594</v>
      </c>
      <c r="D2630" s="2" t="str">
        <f t="shared" si="40"/>
        <v>Error?</v>
      </c>
    </row>
    <row r="2631" spans="1:4" x14ac:dyDescent="0.2">
      <c r="A2631" s="5">
        <v>2570</v>
      </c>
      <c r="B2631" s="138">
        <f>'Acct Summary 7-8'!E6</f>
        <v>2106118</v>
      </c>
      <c r="C2631" s="2" t="s">
        <v>594</v>
      </c>
      <c r="D2631" s="2" t="str">
        <f t="shared" si="40"/>
        <v>Error?</v>
      </c>
    </row>
    <row r="2632" spans="1:4" x14ac:dyDescent="0.2">
      <c r="A2632" s="5">
        <v>2571</v>
      </c>
      <c r="B2632" s="138">
        <f>'Acct Summary 7-8'!E8</f>
        <v>2714773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3049319</v>
      </c>
      <c r="C2634" s="2" t="s">
        <v>594</v>
      </c>
      <c r="D2634" s="2" t="str">
        <f t="shared" si="40"/>
        <v>Error?</v>
      </c>
    </row>
    <row r="2635" spans="1:4" x14ac:dyDescent="0.2">
      <c r="A2635" s="5">
        <v>2574</v>
      </c>
      <c r="B2635" s="138">
        <f>'Acct Summary 7-8'!E17</f>
        <v>3049319</v>
      </c>
      <c r="C2635" s="2" t="s">
        <v>594</v>
      </c>
      <c r="D2635" s="2" t="str">
        <f t="shared" si="40"/>
        <v>Error?</v>
      </c>
    </row>
    <row r="2636" spans="1:4" x14ac:dyDescent="0.2">
      <c r="A2636" s="5">
        <v>2575</v>
      </c>
      <c r="B2636" s="138">
        <f>'Acct Summary 7-8'!E20</f>
        <v>-334546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38409</v>
      </c>
      <c r="D2718" s="2" t="str">
        <f t="shared" si="41"/>
        <v>Error?</v>
      </c>
    </row>
    <row r="2719" spans="1:4" x14ac:dyDescent="0.2">
      <c r="A2719" s="5">
        <v>2658</v>
      </c>
      <c r="B2719" s="138">
        <f>'Expenditures 15-22'!D51</f>
        <v>557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38966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139927</v>
      </c>
      <c r="C2789" s="2" t="s">
        <v>594</v>
      </c>
      <c r="D2789" s="2" t="str">
        <f t="shared" si="42"/>
        <v>Error?</v>
      </c>
    </row>
    <row r="2790" spans="1:4" x14ac:dyDescent="0.2">
      <c r="A2790" s="5">
        <v>2729</v>
      </c>
      <c r="B2790" s="138">
        <f>'Expenditures 15-22'!E102</f>
        <v>139927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676</v>
      </c>
      <c r="D2800" s="2" t="str">
        <f t="shared" si="42"/>
        <v>Error?</v>
      </c>
    </row>
    <row r="2801" spans="1:4" x14ac:dyDescent="0.2">
      <c r="A2801" s="5">
        <v>2740</v>
      </c>
      <c r="B2801" s="138">
        <f>'Expenditures 15-22'!G130</f>
        <v>2009</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2685</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520990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29597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520990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520990</v>
      </c>
      <c r="C2913" s="2" t="s">
        <v>594</v>
      </c>
      <c r="D2913" s="2" t="str">
        <f t="shared" si="44"/>
        <v>Error?</v>
      </c>
    </row>
    <row r="2914" spans="1:4" x14ac:dyDescent="0.2">
      <c r="A2914" s="5">
        <v>2853</v>
      </c>
      <c r="B2914" s="138">
        <f>'Assets-Liab 5-6'!L33</f>
        <v>29597</v>
      </c>
      <c r="D2914" s="2" t="str">
        <f t="shared" si="44"/>
        <v>Error?</v>
      </c>
    </row>
    <row r="2915" spans="1:4" x14ac:dyDescent="0.2">
      <c r="A2915" s="10">
        <v>2854</v>
      </c>
      <c r="D2915" s="2" t="str">
        <f t="shared" si="44"/>
        <v>OK</v>
      </c>
    </row>
    <row r="2916" spans="1:4" x14ac:dyDescent="0.2">
      <c r="A2916" s="5">
        <v>2855</v>
      </c>
      <c r="B2916" s="138">
        <f>'Assets-Liab 5-6'!L34</f>
        <v>29597</v>
      </c>
      <c r="C2916" s="2" t="s">
        <v>594</v>
      </c>
      <c r="D2916" s="2" t="str">
        <f t="shared" si="44"/>
        <v>Error?</v>
      </c>
    </row>
    <row r="2917" spans="1:4" x14ac:dyDescent="0.2">
      <c r="A2917" s="5">
        <v>2856</v>
      </c>
      <c r="B2917" s="138">
        <f>'Assets-Liab 5-6'!L41</f>
        <v>29597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13688</v>
      </c>
      <c r="D2949" s="2" t="str">
        <f t="shared" si="45"/>
        <v>Error?</v>
      </c>
    </row>
    <row r="2950" spans="1:4" x14ac:dyDescent="0.2">
      <c r="A2950" s="5">
        <v>2889</v>
      </c>
      <c r="B2950" s="138">
        <f>'Expenditures 15-22'!E79</f>
        <v>12102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114137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13688</v>
      </c>
      <c r="C2973" s="2" t="s">
        <v>594</v>
      </c>
      <c r="D2973" s="2" t="str">
        <f t="shared" si="45"/>
        <v>Error?</v>
      </c>
    </row>
    <row r="2974" spans="1:4" x14ac:dyDescent="0.2">
      <c r="A2974" s="5">
        <v>2913</v>
      </c>
      <c r="B2974" s="138">
        <f>'Expenditures 15-22'!K79</f>
        <v>18465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114137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9849</v>
      </c>
      <c r="C3225" s="2" t="s">
        <v>594</v>
      </c>
      <c r="D3225" s="2" t="str">
        <f t="shared" si="49"/>
        <v>Error?</v>
      </c>
    </row>
    <row r="3226" spans="1:4" x14ac:dyDescent="0.2">
      <c r="A3226" s="5">
        <v>3165</v>
      </c>
      <c r="B3226" s="138">
        <f>'Acct Summary 7-8'!I8</f>
        <v>9849</v>
      </c>
      <c r="C3226" s="2" t="s">
        <v>594</v>
      </c>
      <c r="D3226" s="2" t="str">
        <f t="shared" si="49"/>
        <v>Error?</v>
      </c>
    </row>
    <row r="3227" spans="1:4" x14ac:dyDescent="0.2">
      <c r="A3227" s="5">
        <v>3166</v>
      </c>
      <c r="B3227" s="138">
        <f>'Acct Summary 7-8'!I20</f>
        <v>9849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3800000</v>
      </c>
      <c r="D3230" s="2" t="str">
        <f t="shared" si="49"/>
        <v>Error?</v>
      </c>
    </row>
    <row r="3231" spans="1:4" x14ac:dyDescent="0.2">
      <c r="A3231" s="5">
        <v>3170</v>
      </c>
      <c r="B3231" s="138">
        <f>'Acct Summary 7-8'!C76</f>
        <v>3800000</v>
      </c>
      <c r="C3231" s="2" t="s">
        <v>594</v>
      </c>
      <c r="D3231" s="2" t="str">
        <f t="shared" si="49"/>
        <v>Error?</v>
      </c>
    </row>
    <row r="3232" spans="1:4" x14ac:dyDescent="0.2">
      <c r="A3232" s="5">
        <v>3171</v>
      </c>
      <c r="B3232" s="138">
        <f>'Acct Summary 7-8'!C77</f>
        <v>-3800000</v>
      </c>
      <c r="C3232" s="2" t="s">
        <v>594</v>
      </c>
      <c r="D3232" s="2" t="str">
        <f t="shared" si="49"/>
        <v>Error?</v>
      </c>
    </row>
    <row r="3233" spans="1:4" x14ac:dyDescent="0.2">
      <c r="A3233" s="5">
        <v>3172</v>
      </c>
      <c r="B3233" s="138">
        <f>'Acct Summary 7-8'!C78</f>
        <v>-1272085</v>
      </c>
      <c r="C3233" s="2" t="s">
        <v>594</v>
      </c>
      <c r="D3233" s="2" t="str">
        <f t="shared" si="49"/>
        <v>Error?</v>
      </c>
    </row>
    <row r="3234" spans="1:4" x14ac:dyDescent="0.2">
      <c r="A3234" s="5">
        <v>3173</v>
      </c>
      <c r="B3234" s="138">
        <f>'Acct Summary 7-8'!D43</f>
        <v>3800000</v>
      </c>
      <c r="D3234" s="2" t="str">
        <f t="shared" si="49"/>
        <v>Error?</v>
      </c>
    </row>
    <row r="3235" spans="1:4" x14ac:dyDescent="0.2">
      <c r="A3235" s="5">
        <v>3174</v>
      </c>
      <c r="B3235" s="138">
        <f>'Acct Summary 7-8'!D44</f>
        <v>3800000</v>
      </c>
      <c r="C3235" s="2" t="s">
        <v>594</v>
      </c>
      <c r="D3235" s="2" t="str">
        <f t="shared" si="49"/>
        <v>Error?</v>
      </c>
    </row>
    <row r="3236" spans="1:4" x14ac:dyDescent="0.2">
      <c r="A3236" s="5">
        <v>3175</v>
      </c>
      <c r="B3236" s="138">
        <f>'Acct Summary 7-8'!D75</f>
        <v>287533</v>
      </c>
      <c r="D3236" s="2" t="str">
        <f t="shared" si="49"/>
        <v>Error?</v>
      </c>
    </row>
    <row r="3237" spans="1:4" x14ac:dyDescent="0.2">
      <c r="A3237" s="5">
        <v>3176</v>
      </c>
      <c r="B3237" s="138">
        <f>'Acct Summary 7-8'!D76</f>
        <v>4087533</v>
      </c>
      <c r="C3237" s="2" t="s">
        <v>594</v>
      </c>
      <c r="D3237" s="2" t="str">
        <f t="shared" si="49"/>
        <v>Error?</v>
      </c>
    </row>
    <row r="3238" spans="1:4" x14ac:dyDescent="0.2">
      <c r="A3238" s="5">
        <v>3177</v>
      </c>
      <c r="B3238" s="138">
        <f>'Acct Summary 7-8'!D77</f>
        <v>-287533</v>
      </c>
      <c r="C3238" s="2" t="s">
        <v>594</v>
      </c>
      <c r="D3238" s="2" t="str">
        <f t="shared" si="49"/>
        <v>Error?</v>
      </c>
    </row>
    <row r="3239" spans="1:4" x14ac:dyDescent="0.2">
      <c r="A3239" s="5">
        <v>3178</v>
      </c>
      <c r="B3239" s="138">
        <f>'Acct Summary 7-8'!D78</f>
        <v>177961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61773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51625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287533</v>
      </c>
      <c r="D3273" s="2" t="str">
        <f t="shared" si="50"/>
        <v>Error?</v>
      </c>
    </row>
    <row r="3274" spans="1:4" x14ac:dyDescent="0.2">
      <c r="A3274" s="5">
        <v>3213</v>
      </c>
      <c r="B3274" s="138">
        <f>'Acct Summary 7-8'!E44</f>
        <v>4087533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4087533</v>
      </c>
      <c r="C3277" s="2" t="s">
        <v>594</v>
      </c>
      <c r="D3277" s="2" t="str">
        <f t="shared" si="50"/>
        <v>Error?</v>
      </c>
    </row>
    <row r="3278" spans="1:4" x14ac:dyDescent="0.2">
      <c r="A3278" s="5">
        <v>3217</v>
      </c>
      <c r="B3278" s="138">
        <f>'Acct Summary 7-8'!E78</f>
        <v>3752987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9849</v>
      </c>
      <c r="C3320" s="2" t="s">
        <v>594</v>
      </c>
      <c r="D3320" s="2" t="str">
        <f t="shared" si="50"/>
        <v>Error?</v>
      </c>
    </row>
    <row r="3321" spans="1:4" x14ac:dyDescent="0.2">
      <c r="A3321" s="5">
        <v>3260</v>
      </c>
      <c r="B3321" s="138">
        <f>'Acct Summary 7-8'!I79</f>
        <v>511141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520990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2034492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582068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76164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28499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355699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3076922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134783</v>
      </c>
      <c r="D3387" s="2" t="str">
        <f t="shared" si="51"/>
        <v>Error?</v>
      </c>
    </row>
    <row r="3388" spans="1:4" x14ac:dyDescent="0.2">
      <c r="A3388" s="5">
        <v>3327</v>
      </c>
      <c r="B3388" s="138">
        <f>'Expenditures 15-22'!D217</f>
        <v>132809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134783</v>
      </c>
      <c r="C3390" s="2" t="s">
        <v>594</v>
      </c>
      <c r="D3390" s="2" t="str">
        <f t="shared" si="51"/>
        <v>Error?</v>
      </c>
    </row>
    <row r="3391" spans="1:4" x14ac:dyDescent="0.2">
      <c r="A3391" s="5">
        <v>3330</v>
      </c>
      <c r="B3391" s="138">
        <f>'Expenditures 15-22'!K217</f>
        <v>132809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15103355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1602119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4293480</v>
      </c>
      <c r="D3417" s="2" t="str">
        <f t="shared" si="52"/>
        <v>Error?</v>
      </c>
    </row>
    <row r="3418" spans="1:4" x14ac:dyDescent="0.2">
      <c r="A3418" s="10">
        <v>3357</v>
      </c>
      <c r="D3418" s="2" t="str">
        <f t="shared" si="52"/>
        <v>OK</v>
      </c>
    </row>
    <row r="3419" spans="1:4" x14ac:dyDescent="0.2">
      <c r="A3419" s="5">
        <v>3358</v>
      </c>
      <c r="B3419" s="138">
        <f>'Assets-Liab 5-6'!F4</f>
        <v>1401880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195262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520990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29597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400532</v>
      </c>
      <c r="C3446" s="2" t="s">
        <v>594</v>
      </c>
      <c r="D3446" s="2" t="str">
        <f t="shared" si="52"/>
        <v>Error?</v>
      </c>
    </row>
    <row r="3447" spans="1:4" x14ac:dyDescent="0.2">
      <c r="A3447" s="5">
        <v>3386</v>
      </c>
      <c r="B3447" s="138">
        <f>'Tax Sched 23'!D16</f>
        <v>169488</v>
      </c>
      <c r="C3447" s="2" t="s">
        <v>594</v>
      </c>
      <c r="D3447" s="2" t="str">
        <f t="shared" si="52"/>
        <v>Error?</v>
      </c>
    </row>
    <row r="3448" spans="1:4" x14ac:dyDescent="0.2">
      <c r="A3448" s="5">
        <v>3387</v>
      </c>
      <c r="B3448" s="138">
        <f>'Tax Sched 23'!C16</f>
        <v>231044</v>
      </c>
      <c r="D3448" s="2" t="str">
        <f t="shared" si="52"/>
        <v>Error?</v>
      </c>
    </row>
    <row r="3449" spans="1:4" x14ac:dyDescent="0.2">
      <c r="A3449" s="5">
        <v>3388</v>
      </c>
      <c r="B3449" s="138">
        <f>'Tax Sched 23'!F16</f>
        <v>219158</v>
      </c>
      <c r="C3449" s="2" t="s">
        <v>594</v>
      </c>
      <c r="D3449" s="2" t="str">
        <f t="shared" si="52"/>
        <v>Error?</v>
      </c>
    </row>
    <row r="3450" spans="1:4" x14ac:dyDescent="0.2">
      <c r="A3450" s="5">
        <v>3389</v>
      </c>
      <c r="B3450" s="138">
        <f>'Tax Sched 23'!E16</f>
        <v>450202</v>
      </c>
      <c r="D3450" s="2" t="str">
        <f t="shared" si="52"/>
        <v>Error?</v>
      </c>
    </row>
    <row r="3451" spans="1:4" x14ac:dyDescent="0.2">
      <c r="A3451" s="5">
        <v>3390</v>
      </c>
      <c r="B3451" s="138">
        <f>'Cap Outlay Deprec 26'!C15</f>
        <v>4054913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4054913</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1379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1379</v>
      </c>
      <c r="C3568" s="2" t="s">
        <v>594</v>
      </c>
      <c r="D3568" s="2" t="str">
        <f t="shared" si="54"/>
        <v>Error?</v>
      </c>
    </row>
    <row r="3569" spans="1:4" x14ac:dyDescent="0.2">
      <c r="A3569" s="5">
        <v>3508</v>
      </c>
      <c r="B3569" s="138">
        <f>'Acct Summary 7-8'!K4</f>
        <v>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v>
      </c>
      <c r="C3588" s="2" t="s">
        <v>594</v>
      </c>
      <c r="D3588" s="2" t="str">
        <f t="shared" si="55"/>
        <v>Error?</v>
      </c>
    </row>
    <row r="3589" spans="1:4" x14ac:dyDescent="0.2">
      <c r="A3589" s="5">
        <v>3528</v>
      </c>
      <c r="B3589" s="138">
        <f>'Acct Summary 7-8'!K79</f>
        <v>1376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766434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6087329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34707977</v>
      </c>
      <c r="C4122" s="2" t="s">
        <v>594</v>
      </c>
      <c r="D4122" s="2" t="str">
        <f t="shared" si="63"/>
        <v>Error?</v>
      </c>
    </row>
    <row r="4123" spans="1:4" x14ac:dyDescent="0.2">
      <c r="A4123" s="5">
        <v>4062</v>
      </c>
      <c r="B4123" s="138">
        <f>'Acct Summary 7-8'!D10</f>
        <v>4112038</v>
      </c>
      <c r="C4123" s="2" t="s">
        <v>594</v>
      </c>
      <c r="D4123" s="2" t="str">
        <f t="shared" si="63"/>
        <v>Error?</v>
      </c>
    </row>
    <row r="4124" spans="1:4" x14ac:dyDescent="0.2">
      <c r="A4124" s="5">
        <v>4063</v>
      </c>
      <c r="B4124" s="138">
        <f>'Acct Summary 7-8'!E10</f>
        <v>2714773</v>
      </c>
      <c r="C4124" s="2" t="s">
        <v>594</v>
      </c>
      <c r="D4124" s="2" t="str">
        <f t="shared" si="63"/>
        <v>Error?</v>
      </c>
    </row>
    <row r="4125" spans="1:4" x14ac:dyDescent="0.2">
      <c r="A4125" s="5">
        <v>4064</v>
      </c>
      <c r="B4125" s="138">
        <f>'Acct Summary 7-8'!F10</f>
        <v>1202778</v>
      </c>
      <c r="C4125" s="2" t="s">
        <v>594</v>
      </c>
      <c r="D4125" s="2" t="str">
        <f t="shared" si="63"/>
        <v>Error?</v>
      </c>
    </row>
    <row r="4126" spans="1:4" x14ac:dyDescent="0.2">
      <c r="A4126" s="5">
        <v>4065</v>
      </c>
      <c r="B4126" s="138">
        <f>'Acct Summary 7-8'!G10</f>
        <v>727900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9849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v>
      </c>
      <c r="C4130" s="2" t="s">
        <v>594</v>
      </c>
      <c r="D4130" s="2" t="str">
        <f t="shared" si="63"/>
        <v>Error?</v>
      </c>
    </row>
    <row r="4131" spans="1:4" x14ac:dyDescent="0.2">
      <c r="A4131" s="5">
        <v>4070</v>
      </c>
      <c r="B4131" s="138">
        <f>'Acct Summary 7-8'!C18</f>
        <v>6087329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32180062</v>
      </c>
      <c r="C4136" s="2" t="s">
        <v>594</v>
      </c>
      <c r="D4136" s="2" t="str">
        <f t="shared" si="63"/>
        <v>Error?</v>
      </c>
    </row>
    <row r="4137" spans="1:4" x14ac:dyDescent="0.2">
      <c r="A4137" s="5">
        <v>4076</v>
      </c>
      <c r="B4137" s="138">
        <f>'Acct Summary 7-8'!D19</f>
        <v>3646544</v>
      </c>
      <c r="C4137" s="2" t="s">
        <v>594</v>
      </c>
      <c r="D4137" s="2" t="str">
        <f t="shared" si="63"/>
        <v>Error?</v>
      </c>
    </row>
    <row r="4138" spans="1:4" x14ac:dyDescent="0.2">
      <c r="A4138" s="5">
        <v>4077</v>
      </c>
      <c r="B4138" s="138">
        <f>'Acct Summary 7-8'!E19</f>
        <v>3049319</v>
      </c>
      <c r="C4138" s="2" t="s">
        <v>594</v>
      </c>
      <c r="D4138" s="2" t="str">
        <f t="shared" si="63"/>
        <v>Error?</v>
      </c>
    </row>
    <row r="4139" spans="1:4" x14ac:dyDescent="0.2">
      <c r="A4139" s="5">
        <v>4078</v>
      </c>
      <c r="B4139" s="138">
        <f>'Acct Summary 7-8'!F19</f>
        <v>1141005</v>
      </c>
      <c r="C4139" s="2" t="s">
        <v>594</v>
      </c>
      <c r="D4139" s="2" t="str">
        <f t="shared" si="63"/>
        <v>Error?</v>
      </c>
    </row>
    <row r="4140" spans="1:4" x14ac:dyDescent="0.2">
      <c r="A4140" s="5">
        <v>4079</v>
      </c>
      <c r="B4140" s="138">
        <f>'Acct Summary 7-8'!G19</f>
        <v>676275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35721000</v>
      </c>
      <c r="C4171" s="2" t="s">
        <v>594</v>
      </c>
      <c r="D4171" s="2" t="str">
        <f t="shared" si="64"/>
        <v>Error?</v>
      </c>
    </row>
    <row r="4172" spans="1:4" x14ac:dyDescent="0.2">
      <c r="A4172" s="5">
        <v>4111</v>
      </c>
      <c r="B4172" s="138">
        <f>'Short-Term Long-Term Debt 24'!J49</f>
        <v>31427520</v>
      </c>
      <c r="C4172" s="2" t="s">
        <v>594</v>
      </c>
      <c r="D4172" s="2" t="str">
        <f t="shared" si="64"/>
        <v>Error?</v>
      </c>
    </row>
    <row r="4173" spans="1:4" x14ac:dyDescent="0.2">
      <c r="A4173" s="5">
        <v>4112</v>
      </c>
      <c r="B4173" s="138">
        <f>'Short-Term Long-Term Debt 24'!H49</f>
        <v>1605000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290.15999999999997</v>
      </c>
      <c r="C4265" s="2" t="s">
        <v>594</v>
      </c>
      <c r="D4265" s="2" t="str">
        <f t="shared" si="65"/>
        <v>Error?</v>
      </c>
      <c r="E4265" s="128"/>
    </row>
    <row r="4266" spans="1:5" x14ac:dyDescent="0.2">
      <c r="A4266" s="12">
        <v>4205</v>
      </c>
      <c r="B4266" s="138">
        <f>('FP Info 3'!F10)*100000</f>
        <v>522.79999999999995</v>
      </c>
      <c r="C4266" s="2" t="s">
        <v>594</v>
      </c>
      <c r="D4266" s="2" t="str">
        <f t="shared" si="65"/>
        <v>Error?</v>
      </c>
      <c r="E4266" s="128"/>
    </row>
    <row r="4267" spans="1:5" x14ac:dyDescent="0.2">
      <c r="A4267" s="12">
        <v>4206</v>
      </c>
      <c r="B4267" s="138">
        <f>('FP Info 3'!H10)*100000</f>
        <v>97.8</v>
      </c>
      <c r="C4267" s="2" t="s">
        <v>594</v>
      </c>
      <c r="D4267" s="2" t="str">
        <f t="shared" si="65"/>
        <v>Error?</v>
      </c>
      <c r="E4267" s="128"/>
    </row>
    <row r="4268" spans="1:5" x14ac:dyDescent="0.2">
      <c r="A4268" s="12">
        <v>4207</v>
      </c>
      <c r="B4268" s="138">
        <f>('FP Info 3'!J10)*100000</f>
        <v>911</v>
      </c>
      <c r="C4268" s="2" t="s">
        <v>594</v>
      </c>
      <c r="D4268" s="2" t="str">
        <f t="shared" si="65"/>
        <v>Error?</v>
      </c>
    </row>
    <row r="4269" spans="1:5" x14ac:dyDescent="0.2">
      <c r="A4269" s="12">
        <v>4208</v>
      </c>
      <c r="B4269" s="138">
        <f>'FP Info 3'!J16</f>
        <v>18628344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2891</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45676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143420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2604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76016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61809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150992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664994944</v>
      </c>
      <c r="D4995" s="2" t="str">
        <f t="shared" si="77"/>
        <v>Error?</v>
      </c>
    </row>
    <row r="4996" spans="1:4" x14ac:dyDescent="0.2">
      <c r="A4996" s="12">
        <v>4935</v>
      </c>
      <c r="B4996" s="138">
        <f>'FP Info 3'!H31</f>
        <v>45884651.136000007</v>
      </c>
      <c r="D4996" s="2" t="str">
        <f t="shared" si="77"/>
        <v>Error?</v>
      </c>
    </row>
    <row r="4997" spans="1:4" x14ac:dyDescent="0.2">
      <c r="A4997" s="12">
        <v>4936</v>
      </c>
      <c r="B4997" s="138">
        <f>'FP Info 3'!H37</f>
        <v>35721000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13470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19251047</v>
      </c>
      <c r="D5061" s="2" t="str">
        <f t="shared" si="78"/>
        <v>Error?</v>
      </c>
    </row>
    <row r="5062" spans="1:4" x14ac:dyDescent="0.2">
      <c r="A5062" s="10">
        <v>5001</v>
      </c>
      <c r="D5062" s="2" t="str">
        <f t="shared" si="78"/>
        <v>OK</v>
      </c>
    </row>
    <row r="5063" spans="1:4" x14ac:dyDescent="0.2">
      <c r="A5063" s="5">
        <v>5002</v>
      </c>
      <c r="B5063" s="138">
        <f>'Revenues 9-14'!C7</f>
        <v>2505256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21756303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586744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586744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16896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11369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28265</v>
      </c>
      <c r="C5087" s="2" t="s">
        <v>594</v>
      </c>
      <c r="D5087" s="2" t="str">
        <f t="shared" si="78"/>
        <v>Error?</v>
      </c>
    </row>
    <row r="5088" spans="1:4" x14ac:dyDescent="0.2">
      <c r="A5088" s="5">
        <v>5027</v>
      </c>
      <c r="B5088" s="138">
        <f>'Revenues 9-14'!C65</f>
        <v>37639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37639</v>
      </c>
      <c r="C5090" s="2" t="s">
        <v>594</v>
      </c>
      <c r="D5090" s="2" t="str">
        <f t="shared" si="78"/>
        <v>Error?</v>
      </c>
    </row>
    <row r="5091" spans="1:4" x14ac:dyDescent="0.2">
      <c r="A5091" s="5">
        <v>5030</v>
      </c>
      <c r="B5091" s="138">
        <f>'Revenues 9-14'!C70</f>
        <v>19560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157919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4250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12634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16884</v>
      </c>
      <c r="C5102" s="2" t="s">
        <v>594</v>
      </c>
      <c r="D5102" s="2" t="str">
        <f t="shared" si="78"/>
        <v>Error?</v>
      </c>
    </row>
    <row r="5103" spans="1:4" x14ac:dyDescent="0.2">
      <c r="A5103" s="5">
        <v>5042</v>
      </c>
      <c r="B5103" s="138">
        <f>'Revenues 9-14'!C84</f>
        <v>28637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28637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5651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115579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35724</v>
      </c>
      <c r="D5119" s="2" t="str">
        <f t="shared" ref="D5119:D5182" si="79">IF(ISBLANK(B5119),"OK",IF(A5119-B5119=0,"OK","Error?"))</f>
        <v>Error?</v>
      </c>
    </row>
    <row r="5120" spans="1:4" x14ac:dyDescent="0.2">
      <c r="A5120" s="5">
        <v>5059</v>
      </c>
      <c r="B5120" s="138">
        <f>'Revenues 9-14'!C108</f>
        <v>307946</v>
      </c>
      <c r="C5120" s="2" t="s">
        <v>594</v>
      </c>
      <c r="D5120" s="2" t="str">
        <f t="shared" si="79"/>
        <v>Error?</v>
      </c>
    </row>
    <row r="5121" spans="1:4" x14ac:dyDescent="0.2">
      <c r="A5121" s="5">
        <v>5060</v>
      </c>
      <c r="B5121" s="138">
        <f>'Revenues 9-14'!C109</f>
        <v>22920337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2055059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2055059</v>
      </c>
      <c r="C5132" s="2" t="s">
        <v>594</v>
      </c>
      <c r="D5132" s="2" t="str">
        <f t="shared" si="79"/>
        <v>Error?</v>
      </c>
    </row>
    <row r="5133" spans="1:4" x14ac:dyDescent="0.2">
      <c r="A5133" s="5">
        <v>5072</v>
      </c>
      <c r="B5133" s="138">
        <f>'Revenues 9-14'!C124</f>
        <v>162307</v>
      </c>
      <c r="D5133" s="2" t="str">
        <f t="shared" si="79"/>
        <v>Error?</v>
      </c>
    </row>
    <row r="5134" spans="1:4" x14ac:dyDescent="0.2">
      <c r="A5134" s="5">
        <v>5073</v>
      </c>
      <c r="B5134" s="138">
        <f>'Revenues 9-14'!C125</f>
        <v>154781</v>
      </c>
      <c r="D5134" s="2" t="str">
        <f t="shared" si="79"/>
        <v>Error?</v>
      </c>
    </row>
    <row r="5135" spans="1:4" x14ac:dyDescent="0.2">
      <c r="A5135" s="5">
        <v>5074</v>
      </c>
      <c r="B5135" s="138">
        <f>'Revenues 9-14'!C126</f>
        <v>190959</v>
      </c>
      <c r="D5135" s="2" t="str">
        <f t="shared" si="79"/>
        <v>Error?</v>
      </c>
    </row>
    <row r="5136" spans="1:4" x14ac:dyDescent="0.2">
      <c r="A5136" s="10">
        <v>5075</v>
      </c>
      <c r="D5136" s="2" t="str">
        <f t="shared" si="79"/>
        <v>OK</v>
      </c>
    </row>
    <row r="5137" spans="1:4" x14ac:dyDescent="0.2">
      <c r="A5137" s="5">
        <v>5076</v>
      </c>
      <c r="B5137" s="138">
        <f>'Revenues 9-14'!C127</f>
        <v>21951</v>
      </c>
      <c r="D5137" s="2" t="str">
        <f t="shared" si="79"/>
        <v>Error?</v>
      </c>
    </row>
    <row r="5138" spans="1:4" x14ac:dyDescent="0.2">
      <c r="A5138" s="10">
        <v>5077</v>
      </c>
      <c r="D5138" s="2" t="str">
        <f t="shared" si="79"/>
        <v>OK</v>
      </c>
    </row>
    <row r="5139" spans="1:4" x14ac:dyDescent="0.2">
      <c r="A5139" s="5">
        <v>5078</v>
      </c>
      <c r="B5139" s="138">
        <f>'Revenues 9-14'!C128</f>
        <v>3612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3316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536926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381810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381810</v>
      </c>
      <c r="C5165" s="2" t="s">
        <v>594</v>
      </c>
      <c r="D5165" s="2" t="str">
        <f t="shared" si="79"/>
        <v>Error?</v>
      </c>
    </row>
    <row r="5166" spans="1:4" x14ac:dyDescent="0.2">
      <c r="A5166" s="10">
        <v>5105</v>
      </c>
      <c r="D5166" s="2" t="str">
        <f t="shared" si="79"/>
        <v>OK</v>
      </c>
    </row>
    <row r="5167" spans="1:4" x14ac:dyDescent="0.2">
      <c r="A5167" s="5">
        <v>5106</v>
      </c>
      <c r="B5167" s="138">
        <f>'Revenues 9-14'!C145</f>
        <v>11486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661622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1594735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3649794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650795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185826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1028</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837649</v>
      </c>
      <c r="C5246" s="2" t="s">
        <v>594</v>
      </c>
      <c r="D5246" s="2" t="str">
        <f t="shared" si="80"/>
        <v>Error?</v>
      </c>
    </row>
    <row r="5247" spans="1:4" x14ac:dyDescent="0.2">
      <c r="A5247" s="5">
        <v>5186</v>
      </c>
      <c r="B5247" s="138">
        <f>'Revenues 9-14'!C203</f>
        <v>387514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2604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387514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14566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473528</v>
      </c>
      <c r="D5278" s="2" t="str">
        <f t="shared" si="81"/>
        <v>Error?</v>
      </c>
    </row>
    <row r="5279" spans="1:4" x14ac:dyDescent="0.2">
      <c r="A5279" s="5">
        <v>5218</v>
      </c>
      <c r="B5279" s="138">
        <f>'Revenues 9-14'!C221</f>
        <v>3245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491339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4490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2050517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2050517</v>
      </c>
      <c r="C5326" s="2" t="s">
        <v>594</v>
      </c>
      <c r="D5326" s="2" t="str">
        <f t="shared" si="82"/>
        <v>Error?</v>
      </c>
    </row>
    <row r="5327" spans="1:4" x14ac:dyDescent="0.2">
      <c r="A5327" s="5">
        <v>5266</v>
      </c>
      <c r="B5327" s="138">
        <f>'Revenues 9-14'!C275</f>
        <v>28620648</v>
      </c>
      <c r="C5327" s="2" t="s">
        <v>594</v>
      </c>
      <c r="D5327" s="2" t="str">
        <f t="shared" si="82"/>
        <v>Error?</v>
      </c>
    </row>
    <row r="5328" spans="1:4" x14ac:dyDescent="0.2">
      <c r="A5328" s="5">
        <v>5267</v>
      </c>
      <c r="B5328" s="138">
        <f>'Revenues 9-14'!D5</f>
        <v>3454833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3454833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2205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2205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30000</v>
      </c>
      <c r="D5349" s="2" t="str">
        <f t="shared" si="82"/>
        <v>Error?</v>
      </c>
    </row>
    <row r="5350" spans="1:4" x14ac:dyDescent="0.2">
      <c r="A5350" s="5">
        <v>5289</v>
      </c>
      <c r="B5350" s="138">
        <f>'Revenues 9-14'!D96</f>
        <v>625000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655000</v>
      </c>
      <c r="C5355" s="2" t="s">
        <v>594</v>
      </c>
      <c r="D5355" s="2" t="str">
        <f t="shared" si="82"/>
        <v>Error?</v>
      </c>
    </row>
    <row r="5356" spans="1:4" x14ac:dyDescent="0.2">
      <c r="A5356" s="5">
        <v>5295</v>
      </c>
      <c r="B5356" s="138">
        <f>'Revenues 9-14'!D109</f>
        <v>4112038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4112038</v>
      </c>
      <c r="C5508" s="2" t="s">
        <v>594</v>
      </c>
      <c r="D5508" s="2" t="str">
        <f t="shared" si="85"/>
        <v>Error?</v>
      </c>
    </row>
    <row r="5509" spans="1:4" x14ac:dyDescent="0.2">
      <c r="A5509" s="5">
        <v>5448</v>
      </c>
      <c r="B5509" s="138">
        <f>'Revenues 9-14'!E5</f>
        <v>277463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277463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326731</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326731</v>
      </c>
      <c r="C5518" s="2" t="s">
        <v>594</v>
      </c>
      <c r="D5518" s="2" t="str">
        <f t="shared" si="85"/>
        <v>Error?</v>
      </c>
    </row>
    <row r="5519" spans="1:4" x14ac:dyDescent="0.2">
      <c r="A5519" s="5">
        <v>5458</v>
      </c>
      <c r="B5519" s="138">
        <f>'Revenues 9-14'!E65</f>
        <v>4461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4461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608655</v>
      </c>
      <c r="C5527" s="2" t="s">
        <v>594</v>
      </c>
      <c r="D5527" s="2" t="str">
        <f t="shared" si="85"/>
        <v>Error?</v>
      </c>
    </row>
    <row r="5528" spans="1:4" x14ac:dyDescent="0.2">
      <c r="A5528" s="5">
        <v>5467</v>
      </c>
      <c r="B5528" s="138">
        <f>'Revenues 9-14'!E117</f>
        <v>2106118</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2106118</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2106118</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2714773</v>
      </c>
      <c r="C5552" s="2" t="s">
        <v>594</v>
      </c>
      <c r="D5552" s="2" t="str">
        <f t="shared" si="85"/>
        <v>Error?</v>
      </c>
    </row>
    <row r="5553" spans="1:4" x14ac:dyDescent="0.2">
      <c r="A5553" s="5">
        <v>5492</v>
      </c>
      <c r="B5553" s="138">
        <f>'Revenues 9-14'!F5</f>
        <v>578592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578592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22434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22434</v>
      </c>
      <c r="C5579" s="2" t="s">
        <v>594</v>
      </c>
      <c r="D5579" s="2" t="str">
        <f t="shared" si="86"/>
        <v>Error?</v>
      </c>
    </row>
    <row r="5580" spans="1:4" x14ac:dyDescent="0.2">
      <c r="A5580" s="5">
        <v>5519</v>
      </c>
      <c r="B5580" s="138">
        <f>'Revenues 9-14'!F65</f>
        <v>3365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6775</v>
      </c>
      <c r="D5586" s="2" t="str">
        <f t="shared" si="86"/>
        <v>Error?</v>
      </c>
    </row>
    <row r="5587" spans="1:4" x14ac:dyDescent="0.2">
      <c r="A5587" s="5">
        <v>5526</v>
      </c>
      <c r="B5587" s="138">
        <f>'Revenues 9-14'!F108</f>
        <v>20245</v>
      </c>
      <c r="C5587" s="2" t="s">
        <v>594</v>
      </c>
      <c r="D5587" s="2" t="str">
        <f t="shared" si="86"/>
        <v>Error?</v>
      </c>
    </row>
    <row r="5588" spans="1:4" x14ac:dyDescent="0.2">
      <c r="A5588" s="5">
        <v>5527</v>
      </c>
      <c r="B5588" s="138">
        <f>'Revenues 9-14'!F109</f>
        <v>624636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257679</v>
      </c>
      <c r="D5615" s="2" t="str">
        <f t="shared" si="86"/>
        <v>Error?</v>
      </c>
    </row>
    <row r="5616" spans="1:4" x14ac:dyDescent="0.2">
      <c r="A5616" s="10">
        <v>5555</v>
      </c>
      <c r="D5616" s="2" t="str">
        <f t="shared" si="86"/>
        <v>OK</v>
      </c>
    </row>
    <row r="5617" spans="1:4" x14ac:dyDescent="0.2">
      <c r="A5617" s="5">
        <v>5556</v>
      </c>
      <c r="B5617" s="138">
        <f>'Revenues 9-14'!F152</f>
        <v>320463</v>
      </c>
      <c r="D5617" s="2" t="str">
        <f t="shared" si="86"/>
        <v>Error?</v>
      </c>
    </row>
    <row r="5618" spans="1:4" x14ac:dyDescent="0.2">
      <c r="A5618" s="5">
        <v>5557</v>
      </c>
      <c r="B5618" s="138">
        <f>'Revenues 9-14'!F154</f>
        <v>578142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578142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578142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1202778</v>
      </c>
      <c r="C5720" s="2" t="s">
        <v>594</v>
      </c>
      <c r="D5720" s="2" t="str">
        <f t="shared" si="88"/>
        <v>Error?</v>
      </c>
    </row>
    <row r="5721" spans="1:4" x14ac:dyDescent="0.2">
      <c r="A5721" s="5">
        <v>5660</v>
      </c>
      <c r="B5721" s="138">
        <f>'Revenues 9-14'!G5</f>
        <v>283364</v>
      </c>
      <c r="D5721" s="2" t="str">
        <f t="shared" si="88"/>
        <v>Error?</v>
      </c>
    </row>
    <row r="5722" spans="1:4" x14ac:dyDescent="0.2">
      <c r="A5722" s="5">
        <v>5661</v>
      </c>
      <c r="B5722" s="138">
        <f>'Revenues 9-14'!G7</f>
        <v>0</v>
      </c>
      <c r="D5722" s="2" t="str">
        <f t="shared" si="88"/>
        <v>Error?</v>
      </c>
    </row>
    <row r="5723" spans="1:4" x14ac:dyDescent="0.2">
      <c r="A5723" s="5">
        <v>5662</v>
      </c>
      <c r="B5723" s="138">
        <f>'Revenues 9-14'!G8</f>
        <v>400532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683896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43755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43755</v>
      </c>
      <c r="C5730" s="2" t="s">
        <v>594</v>
      </c>
      <c r="D5730" s="2" t="str">
        <f t="shared" si="88"/>
        <v>Error?</v>
      </c>
    </row>
    <row r="5731" spans="1:4" x14ac:dyDescent="0.2">
      <c r="A5731" s="5">
        <v>5670</v>
      </c>
      <c r="B5731" s="138">
        <f>'Revenues 9-14'!G65</f>
        <v>249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727900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8652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8652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1197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v>
      </c>
      <c r="C6023" s="2" t="s">
        <v>594</v>
      </c>
      <c r="D6023" s="2" t="str">
        <f t="shared" si="93"/>
        <v>Error?</v>
      </c>
    </row>
    <row r="6024" spans="1:5" x14ac:dyDescent="0.2">
      <c r="A6024" s="5">
        <v>5963</v>
      </c>
      <c r="B6024" s="138">
        <f>'Revenues 9-14'!G109</f>
        <v>727900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9849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138359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84082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2110.5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170040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170040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170040</v>
      </c>
      <c r="D6216" s="2" t="str">
        <f t="shared" si="96"/>
        <v>Error?</v>
      </c>
      <c r="E6216" s="2" t="s">
        <v>199</v>
      </c>
    </row>
    <row r="6217" spans="1:5" x14ac:dyDescent="0.2">
      <c r="A6217">
        <v>6156</v>
      </c>
      <c r="B6217" s="138">
        <f>'Assets-Liab 5-6'!J4</f>
        <v>170040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219736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219736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219736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225442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225442</v>
      </c>
      <c r="D6229" s="2" t="str">
        <f t="shared" si="96"/>
        <v>Error?</v>
      </c>
      <c r="E6229" s="2" t="s">
        <v>199</v>
      </c>
    </row>
    <row r="6230" spans="1:5" x14ac:dyDescent="0.2">
      <c r="A6230">
        <v>6169</v>
      </c>
      <c r="B6230" s="138">
        <f>'Acct Summary 7-8'!J20</f>
        <v>-5706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3800000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-5706</v>
      </c>
      <c r="D6263" s="2" t="str">
        <f t="shared" si="96"/>
        <v>Error?</v>
      </c>
      <c r="E6263" s="2" t="s">
        <v>199</v>
      </c>
    </row>
    <row r="6264" spans="1:5" x14ac:dyDescent="0.2">
      <c r="A6264">
        <v>6203</v>
      </c>
      <c r="B6264" s="138">
        <f>'Acct Summary 7-8'!J79</f>
        <v>175746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170040</v>
      </c>
      <c r="D6266" s="2" t="str">
        <f t="shared" si="96"/>
        <v>Error?</v>
      </c>
      <c r="E6266" s="2" t="s">
        <v>199</v>
      </c>
    </row>
    <row r="6267" spans="1:5" x14ac:dyDescent="0.2">
      <c r="A6267">
        <v>6206</v>
      </c>
      <c r="B6267" s="138">
        <f>'Acct Summary 7-8'!C82</f>
        <v>-1272085</v>
      </c>
      <c r="D6267" s="2" t="str">
        <f t="shared" si="96"/>
        <v>Error?</v>
      </c>
      <c r="E6267" s="2" t="s">
        <v>199</v>
      </c>
    </row>
    <row r="6268" spans="1:5" x14ac:dyDescent="0.2">
      <c r="A6268">
        <v>6207</v>
      </c>
      <c r="B6268" s="138">
        <f>'Acct Summary 7-8'!D82</f>
        <v>177961</v>
      </c>
      <c r="D6268" s="2" t="str">
        <f t="shared" si="96"/>
        <v>Error?</v>
      </c>
      <c r="E6268" s="2" t="s">
        <v>199</v>
      </c>
    </row>
    <row r="6269" spans="1:5" x14ac:dyDescent="0.2">
      <c r="A6269">
        <v>6208</v>
      </c>
      <c r="B6269" s="138">
        <f>'Acct Summary 7-8'!E82</f>
        <v>3752987</v>
      </c>
      <c r="D6269" s="2" t="str">
        <f t="shared" si="96"/>
        <v>Error?</v>
      </c>
      <c r="E6269" s="2" t="s">
        <v>199</v>
      </c>
    </row>
    <row r="6270" spans="1:5" x14ac:dyDescent="0.2">
      <c r="A6270">
        <v>6209</v>
      </c>
      <c r="B6270" s="138">
        <f>'Acct Summary 7-8'!F82</f>
        <v>61773</v>
      </c>
      <c r="D6270" s="2" t="str">
        <f t="shared" si="96"/>
        <v>Error?</v>
      </c>
      <c r="E6270" s="2" t="s">
        <v>199</v>
      </c>
    </row>
    <row r="6271" spans="1:5" x14ac:dyDescent="0.2">
      <c r="A6271">
        <v>6210</v>
      </c>
      <c r="B6271" s="138">
        <f>'Acct Summary 7-8'!G82</f>
        <v>51625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9849</v>
      </c>
      <c r="D6273" s="2" t="str">
        <f t="shared" si="97"/>
        <v>Error?</v>
      </c>
      <c r="E6273" s="2" t="s">
        <v>199</v>
      </c>
    </row>
    <row r="6274" spans="1:5" x14ac:dyDescent="0.2">
      <c r="A6274">
        <v>6213</v>
      </c>
      <c r="B6274" s="138">
        <f>'Acct Summary 7-8'!J82</f>
        <v>-5706</v>
      </c>
      <c r="D6274" s="2" t="str">
        <f t="shared" si="97"/>
        <v>Error?</v>
      </c>
      <c r="E6274" s="2" t="s">
        <v>199</v>
      </c>
    </row>
    <row r="6275" spans="1:5" x14ac:dyDescent="0.2">
      <c r="A6275">
        <v>6214</v>
      </c>
      <c r="B6275" s="138">
        <f>'Acct Summary 7-8'!K82</f>
        <v>3</v>
      </c>
      <c r="D6275" s="2" t="str">
        <f t="shared" si="97"/>
        <v>Error?</v>
      </c>
      <c r="E6275" s="2" t="s">
        <v>199</v>
      </c>
    </row>
    <row r="6276" spans="1:5" x14ac:dyDescent="0.2">
      <c r="A6276">
        <v>6215</v>
      </c>
      <c r="B6276" s="138">
        <f>'Acct Summary 7-8'!C83</f>
        <v>-8.4225326094765032E-2</v>
      </c>
      <c r="D6276" s="2" t="str">
        <f t="shared" si="97"/>
        <v>Error?</v>
      </c>
      <c r="E6276" s="2" t="s">
        <v>199</v>
      </c>
    </row>
    <row r="6277" spans="1:5" x14ac:dyDescent="0.2">
      <c r="A6277">
        <v>6216</v>
      </c>
      <c r="B6277" s="138">
        <f>'Acct Summary 7-8'!D83</f>
        <v>0.11107851539117881</v>
      </c>
      <c r="D6277" s="2" t="str">
        <f t="shared" si="97"/>
        <v>Error?</v>
      </c>
      <c r="E6277" s="2" t="s">
        <v>199</v>
      </c>
    </row>
    <row r="6278" spans="1:5" x14ac:dyDescent="0.2">
      <c r="A6278">
        <v>6217</v>
      </c>
      <c r="B6278" s="138">
        <f>'Acct Summary 7-8'!E83</f>
        <v>0.87411307377698277</v>
      </c>
      <c r="D6278" s="2" t="str">
        <f t="shared" si="97"/>
        <v>Error?</v>
      </c>
      <c r="E6278" s="2" t="s">
        <v>199</v>
      </c>
    </row>
    <row r="6279" spans="1:5" x14ac:dyDescent="0.2">
      <c r="A6279">
        <v>6218</v>
      </c>
      <c r="B6279" s="138">
        <f>'Acct Summary 7-8'!F83</f>
        <v>4.4064399235312579E-2</v>
      </c>
      <c r="D6279" s="2" t="str">
        <f t="shared" si="97"/>
        <v>Error?</v>
      </c>
      <c r="E6279" s="2" t="s">
        <v>199</v>
      </c>
    </row>
    <row r="6280" spans="1:5" x14ac:dyDescent="0.2">
      <c r="A6280">
        <v>6219</v>
      </c>
      <c r="B6280" s="138">
        <f>'Acct Summary 7-8'!G83</f>
        <v>0.26438836025442736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1.8904393558417627E-2</v>
      </c>
      <c r="D6282" s="2" t="str">
        <f t="shared" si="97"/>
        <v>Error?</v>
      </c>
      <c r="E6282" s="2" t="s">
        <v>199</v>
      </c>
    </row>
    <row r="6283" spans="1:5" x14ac:dyDescent="0.2">
      <c r="A6283">
        <v>6222</v>
      </c>
      <c r="B6283" s="138">
        <f>'Acct Summary 7-8'!J83</f>
        <v>-3.3556810162314751E-2</v>
      </c>
      <c r="D6283" s="2" t="str">
        <f t="shared" si="97"/>
        <v>Error?</v>
      </c>
      <c r="E6283" s="2" t="s">
        <v>199</v>
      </c>
    </row>
    <row r="6284" spans="1:5" x14ac:dyDescent="0.2">
      <c r="A6284">
        <v>6223</v>
      </c>
      <c r="B6284" s="138">
        <f>'Acct Summary 7-8'!K83</f>
        <v>2.1754894851341551E-3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3800000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205813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205813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13813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13813</v>
      </c>
      <c r="D6351" s="2" t="str">
        <f t="shared" si="98"/>
        <v>Error?</v>
      </c>
      <c r="E6351" s="2" t="s">
        <v>199</v>
      </c>
    </row>
    <row r="6352" spans="1:5" x14ac:dyDescent="0.2">
      <c r="A6352">
        <v>6291</v>
      </c>
      <c r="B6352" s="138">
        <f>'Revenues 9-14'!J109</f>
        <v>219736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302252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13915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421362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10136</v>
      </c>
      <c r="D6900" s="2" t="str">
        <f t="shared" si="106"/>
        <v>Error?</v>
      </c>
    </row>
    <row r="6901" spans="1:4" x14ac:dyDescent="0.2">
      <c r="A6901">
        <v>6840</v>
      </c>
      <c r="B6901" s="138">
        <f>'Expenditures 15-22'!K32</f>
        <v>10136</v>
      </c>
      <c r="D6901" s="2" t="str">
        <f t="shared" si="106"/>
        <v>Error?</v>
      </c>
    </row>
    <row r="6902" spans="1:4" x14ac:dyDescent="0.2">
      <c r="A6902">
        <v>6841</v>
      </c>
      <c r="B6902" s="138">
        <f>'Expenditures 15-22'!I33</f>
        <v>13915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52752</v>
      </c>
      <c r="D6933" s="2" t="str">
        <f t="shared" si="107"/>
        <v>Error?</v>
      </c>
    </row>
    <row r="6934" spans="1:4" x14ac:dyDescent="0.2">
      <c r="A6934">
        <v>6873</v>
      </c>
      <c r="B6934" s="138">
        <f>'Expenditures 15-22'!E52</f>
        <v>1354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54106</v>
      </c>
      <c r="D6940" s="2" t="str">
        <f t="shared" si="107"/>
        <v>Error?</v>
      </c>
    </row>
    <row r="6941" spans="1:4" x14ac:dyDescent="0.2">
      <c r="A6941">
        <v>6880</v>
      </c>
      <c r="B6941" s="138">
        <f>'Expenditures 15-22'!L52</f>
        <v>89702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7797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7797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7797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4750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1546870</v>
      </c>
      <c r="D6983" s="2" t="str">
        <f t="shared" si="108"/>
        <v>Error?</v>
      </c>
    </row>
    <row r="6984" spans="1:4" x14ac:dyDescent="0.2">
      <c r="A6984">
        <v>6923</v>
      </c>
      <c r="B6984" s="138">
        <f>'Expenditures 15-22'!K86</f>
        <v>1546870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1546870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26462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875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875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875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225442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875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219736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11929</v>
      </c>
      <c r="D7073" s="2" t="str">
        <f t="shared" si="109"/>
        <v>Error?</v>
      </c>
    </row>
    <row r="7074" spans="1:4" x14ac:dyDescent="0.2">
      <c r="A7074">
        <v>7013</v>
      </c>
      <c r="B7074" s="138">
        <f>'Expenditures 15-22'!K216</f>
        <v>11929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1227</v>
      </c>
      <c r="D7093" s="2" t="str">
        <f t="shared" si="109"/>
        <v>Error?</v>
      </c>
    </row>
    <row r="7094" spans="1:4" x14ac:dyDescent="0.2">
      <c r="A7094">
        <v>7033</v>
      </c>
      <c r="B7094" s="138">
        <f>'Expenditures 15-22'!K254</f>
        <v>1227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216509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216509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7645</v>
      </c>
      <c r="D7172" s="2" t="str">
        <f t="shared" si="111"/>
        <v>Error?</v>
      </c>
    </row>
    <row r="7173" spans="1:4" x14ac:dyDescent="0.2">
      <c r="A7173">
        <v>7112</v>
      </c>
      <c r="B7173" s="138">
        <f>'Expenditures 15-22'!D325</f>
        <v>1288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8933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7645</v>
      </c>
      <c r="D7199" s="2" t="str">
        <f t="shared" si="111"/>
        <v>Error?</v>
      </c>
    </row>
    <row r="7200" spans="1:4" x14ac:dyDescent="0.2">
      <c r="A7200">
        <v>7139</v>
      </c>
      <c r="B7200" s="138">
        <f>'Expenditures 15-22'!D330</f>
        <v>1288</v>
      </c>
      <c r="D7200" s="2" t="str">
        <f t="shared" si="111"/>
        <v>Error?</v>
      </c>
    </row>
    <row r="7201" spans="1:4" x14ac:dyDescent="0.2">
      <c r="A7201">
        <v>7140</v>
      </c>
      <c r="B7201" s="138">
        <f>'Expenditures 15-22'!E330</f>
        <v>216509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225442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7645</v>
      </c>
      <c r="D7216" s="2" t="str">
        <f t="shared" si="111"/>
        <v>Error?</v>
      </c>
    </row>
    <row r="7217" spans="1:4" x14ac:dyDescent="0.2">
      <c r="A7217">
        <v>7156</v>
      </c>
      <c r="B7217" s="138">
        <f>'Expenditures 15-22'!D342</f>
        <v>1288</v>
      </c>
      <c r="D7217" s="2" t="str">
        <f t="shared" si="111"/>
        <v>Error?</v>
      </c>
    </row>
    <row r="7218" spans="1:4" x14ac:dyDescent="0.2">
      <c r="A7218">
        <v>7157</v>
      </c>
      <c r="B7218" s="138">
        <f>'Expenditures 15-22'!E342</f>
        <v>216509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225442</v>
      </c>
      <c r="D7224" s="2" t="str">
        <f t="shared" si="111"/>
        <v>Error?</v>
      </c>
    </row>
    <row r="7225" spans="1:4" x14ac:dyDescent="0.2">
      <c r="A7225">
        <v>7164</v>
      </c>
      <c r="B7225" s="138">
        <f>'Expenditures 15-22'!K343</f>
        <v>-5706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101314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17713</v>
      </c>
      <c r="D7248" s="2" t="str">
        <f t="shared" si="112"/>
        <v>Error?</v>
      </c>
    </row>
    <row r="7249" spans="1:4" x14ac:dyDescent="0.2">
      <c r="A7249">
        <f t="shared" si="113"/>
        <v>7188</v>
      </c>
      <c r="B7249" s="138">
        <f>'Expenditures 15-22'!G7</f>
        <v>83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27337</v>
      </c>
      <c r="D7624" s="2" t="str">
        <f t="shared" si="124"/>
        <v>Error?</v>
      </c>
      <c r="E7624" s="2" t="s">
        <v>19</v>
      </c>
    </row>
    <row r="7625" spans="1:5" x14ac:dyDescent="0.2">
      <c r="A7625">
        <f t="shared" si="123"/>
        <v>7564</v>
      </c>
      <c r="B7625" s="138">
        <f>'Cap Outlay Deprec 26'!I17</f>
        <v>2733.7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2087912.7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2505256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2779236</v>
      </c>
      <c r="D7797" s="2" t="str">
        <f t="shared" si="127"/>
        <v>Error?</v>
      </c>
      <c r="E7797" s="4" t="s">
        <v>2017</v>
      </c>
    </row>
    <row r="7798" spans="1:5" x14ac:dyDescent="0.2">
      <c r="A7798">
        <v>7737</v>
      </c>
      <c r="B7798" s="138">
        <f>'Contracts Paid in CY 29'!F141</f>
        <v>375000</v>
      </c>
      <c r="D7798" s="2" t="str">
        <f t="shared" si="127"/>
        <v>Error?</v>
      </c>
      <c r="E7798" s="4" t="s">
        <v>2017</v>
      </c>
    </row>
    <row r="7799" spans="1:5" x14ac:dyDescent="0.2">
      <c r="A7799">
        <v>7738</v>
      </c>
      <c r="B7799" s="138">
        <f>'Contracts Paid in CY 29'!G141</f>
        <v>2404236</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7" sqref="G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4" t="s">
        <v>1253</v>
      </c>
      <c r="B2" s="2414"/>
      <c r="C2" s="2414"/>
      <c r="D2" s="2414"/>
      <c r="E2" s="2414"/>
      <c r="F2" s="2414"/>
      <c r="G2" s="2414"/>
      <c r="H2" s="2414"/>
      <c r="I2" s="2414"/>
      <c r="J2" s="2414"/>
      <c r="K2" s="2414"/>
      <c r="L2" s="2414"/>
    </row>
    <row r="3" spans="1:29" ht="13.5" customHeight="1" x14ac:dyDescent="0.2">
      <c r="A3" s="2445" t="s">
        <v>1252</v>
      </c>
      <c r="B3" s="2445"/>
      <c r="C3" s="2445"/>
      <c r="D3" s="2445"/>
      <c r="E3" s="2445"/>
      <c r="F3" s="2445"/>
      <c r="G3" s="2445"/>
      <c r="H3" s="2445"/>
      <c r="I3" s="2445"/>
      <c r="J3" s="2445"/>
      <c r="K3" s="2445"/>
      <c r="L3" s="2445"/>
    </row>
    <row r="4" spans="1:29" ht="13.5" customHeight="1" x14ac:dyDescent="0.2">
      <c r="A4" s="2414" t="s">
        <v>1799</v>
      </c>
      <c r="B4" s="2435"/>
      <c r="C4" s="2435"/>
      <c r="D4" s="2435"/>
      <c r="E4" s="2435"/>
      <c r="F4" s="2435"/>
      <c r="G4" s="2435"/>
      <c r="H4" s="2435"/>
      <c r="I4" s="2435"/>
      <c r="J4" s="2435"/>
      <c r="K4" s="2435"/>
      <c r="L4" s="243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6" t="str">
        <f>COVER!A17</f>
        <v>Bensenville SD 2</v>
      </c>
      <c r="B7" s="2437"/>
      <c r="C7" s="2437"/>
      <c r="D7" s="2438"/>
      <c r="E7" s="2439">
        <f>COVER!A13</f>
        <v>19022002002</v>
      </c>
      <c r="F7" s="2440"/>
      <c r="G7" s="2446" t="str">
        <f>COVER!T23</f>
        <v>066-003328</v>
      </c>
      <c r="H7" s="2447"/>
      <c r="I7" s="2447"/>
      <c r="J7" s="2447"/>
      <c r="K7" s="2447"/>
      <c r="L7" s="2448"/>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9"/>
      <c r="B9" s="2450"/>
      <c r="C9" s="2450"/>
      <c r="D9" s="2450"/>
      <c r="E9" s="2450"/>
      <c r="F9" s="2451"/>
      <c r="G9" s="2420" t="str">
        <f>COVER!T13</f>
        <v>MUELLER &amp; CO., LLP</v>
      </c>
      <c r="H9" s="2452"/>
      <c r="I9" s="2452"/>
      <c r="J9" s="2452"/>
      <c r="K9" s="2452"/>
      <c r="L9" s="2453"/>
    </row>
    <row r="10" spans="1:29" ht="13.5" customHeight="1" x14ac:dyDescent="0.2">
      <c r="A10" s="2426" t="str">
        <f>COVER!A38</f>
        <v>Dr. James Stelter</v>
      </c>
      <c r="B10" s="2427"/>
      <c r="C10" s="2427"/>
      <c r="D10" s="2427"/>
      <c r="E10" s="2427"/>
      <c r="F10" s="2428"/>
      <c r="G10" s="2420" t="str">
        <f>COVER!T17</f>
        <v>14300 S RAVANIA AVE, SUITE 200</v>
      </c>
      <c r="H10" s="2421"/>
      <c r="I10" s="2421"/>
      <c r="J10" s="2421"/>
      <c r="K10" s="2421"/>
      <c r="L10" s="2422"/>
    </row>
    <row r="11" spans="1:29" ht="13.5" customHeight="1" x14ac:dyDescent="0.2">
      <c r="A11" s="1184" t="s">
        <v>1599</v>
      </c>
      <c r="B11" s="1185"/>
      <c r="C11" s="1186"/>
      <c r="D11" s="1191"/>
      <c r="E11" s="1186"/>
      <c r="F11" s="1190"/>
      <c r="G11" s="2420" t="str">
        <f>COVER!T19</f>
        <v>ORLAND PARK</v>
      </c>
      <c r="H11" s="2421"/>
      <c r="I11" s="2421"/>
      <c r="J11" s="2421"/>
      <c r="K11" s="2421"/>
      <c r="L11" s="2422"/>
    </row>
    <row r="12" spans="1:29" ht="13.5" customHeight="1" x14ac:dyDescent="0.2">
      <c r="A12" s="2429" t="s">
        <v>1598</v>
      </c>
      <c r="B12" s="2430"/>
      <c r="C12" s="2430"/>
      <c r="D12" s="2430"/>
      <c r="E12" s="2430"/>
      <c r="F12" s="2431"/>
      <c r="G12" s="2423"/>
      <c r="H12" s="2424"/>
      <c r="I12" s="2424"/>
      <c r="J12" s="2424"/>
      <c r="K12" s="2424"/>
      <c r="L12" s="2425"/>
    </row>
    <row r="13" spans="1:29" ht="13.5" customHeight="1" x14ac:dyDescent="0.2">
      <c r="A13" s="2420"/>
      <c r="B13" s="2421"/>
      <c r="C13" s="2421"/>
      <c r="D13" s="2421"/>
      <c r="E13" s="2421"/>
      <c r="F13" s="2422"/>
      <c r="G13" s="2415" t="s">
        <v>1600</v>
      </c>
      <c r="H13" s="2416"/>
      <c r="I13" s="2432" t="str">
        <f>COVER!T25</f>
        <v>EMCCORMICK@MUELLERCPA.COM</v>
      </c>
      <c r="J13" s="2433"/>
      <c r="K13" s="2433"/>
      <c r="L13" s="2434"/>
    </row>
    <row r="14" spans="1:29" ht="13.5" customHeight="1" x14ac:dyDescent="0.2">
      <c r="A14" s="2420" t="str">
        <f>COVER!A19</f>
        <v>210 SOUTH CHURCH ROAD</v>
      </c>
      <c r="B14" s="2421"/>
      <c r="C14" s="2421"/>
      <c r="D14" s="2421"/>
      <c r="E14" s="2421"/>
      <c r="F14" s="2422"/>
      <c r="G14" s="1195" t="s">
        <v>1247</v>
      </c>
      <c r="H14" s="1193"/>
      <c r="I14" s="1193"/>
      <c r="J14" s="1193"/>
      <c r="K14" s="1193"/>
      <c r="L14" s="1194"/>
    </row>
    <row r="15" spans="1:29" ht="13.5" customHeight="1" x14ac:dyDescent="0.2">
      <c r="A15" s="2420" t="str">
        <f>COVER!A21</f>
        <v xml:space="preserve">BENSENVILLE </v>
      </c>
      <c r="B15" s="2421"/>
      <c r="C15" s="2421"/>
      <c r="D15" s="2421"/>
      <c r="E15" s="2421"/>
      <c r="F15" s="2422"/>
      <c r="G15" s="2417" t="str">
        <f>COVER!T15</f>
        <v>EDWARD MCCORMICK</v>
      </c>
      <c r="H15" s="2418"/>
      <c r="I15" s="2418"/>
      <c r="J15" s="2418"/>
      <c r="K15" s="2418"/>
      <c r="L15" s="2419"/>
    </row>
    <row r="16" spans="1:29" ht="12.2" customHeight="1" x14ac:dyDescent="0.2">
      <c r="A16" s="2442">
        <f>COVER!A25</f>
        <v>60106</v>
      </c>
      <c r="B16" s="2443"/>
      <c r="C16" s="2443"/>
      <c r="D16" s="2443"/>
      <c r="E16" s="2443"/>
      <c r="F16" s="2444"/>
      <c r="G16" s="2454"/>
      <c r="H16" s="2455"/>
      <c r="I16" s="2455"/>
      <c r="J16" s="2455"/>
      <c r="K16" s="2455"/>
      <c r="L16" s="2456"/>
    </row>
    <row r="17" spans="1:13" ht="12.2" customHeight="1" x14ac:dyDescent="0.2">
      <c r="A17" s="2457"/>
      <c r="B17" s="2443"/>
      <c r="C17" s="2443"/>
      <c r="D17" s="2443"/>
      <c r="E17" s="2443"/>
      <c r="F17" s="2444"/>
      <c r="G17" s="1195" t="s">
        <v>1246</v>
      </c>
      <c r="H17" s="1193"/>
      <c r="I17" s="1193"/>
      <c r="J17" s="1193"/>
      <c r="K17" s="1197" t="s">
        <v>1245</v>
      </c>
      <c r="L17" s="1190"/>
      <c r="M17" s="1183"/>
    </row>
    <row r="18" spans="1:13" ht="12.2" customHeight="1" x14ac:dyDescent="0.2">
      <c r="A18" s="2426"/>
      <c r="B18" s="2427"/>
      <c r="C18" s="2427"/>
      <c r="D18" s="2427"/>
      <c r="E18" s="2427"/>
      <c r="F18" s="2428"/>
      <c r="G18" s="2436" t="str">
        <f>COVER!T21</f>
        <v>708-349-6999</v>
      </c>
      <c r="H18" s="2437"/>
      <c r="I18" s="2437"/>
      <c r="J18" s="2437"/>
      <c r="K18" s="2436" t="str">
        <f>COVER!X21</f>
        <v>708-349-6639</v>
      </c>
      <c r="L18" s="244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2161</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2161</v>
      </c>
      <c r="C26" s="1202" t="s">
        <v>1801</v>
      </c>
    </row>
    <row r="27" spans="1:13" s="1198" customFormat="1" ht="9" customHeight="1" x14ac:dyDescent="0.2">
      <c r="B27" s="1203"/>
      <c r="C27" s="1202"/>
    </row>
    <row r="28" spans="1:13" s="1198" customFormat="1" ht="12.2" customHeight="1" x14ac:dyDescent="0.2">
      <c r="A28" s="1205"/>
      <c r="B28" s="1201" t="s">
        <v>2161</v>
      </c>
      <c r="C28" s="1202" t="s">
        <v>1802</v>
      </c>
    </row>
    <row r="29" spans="1:13" s="1198" customFormat="1" ht="9" customHeight="1" x14ac:dyDescent="0.2">
      <c r="A29" s="1205"/>
      <c r="B29" s="1203"/>
      <c r="C29" s="1202"/>
    </row>
    <row r="30" spans="1:13" s="1198" customFormat="1" ht="12.2" customHeight="1" x14ac:dyDescent="0.2">
      <c r="B30" s="1201" t="s">
        <v>2161</v>
      </c>
      <c r="C30" s="1202" t="s">
        <v>1643</v>
      </c>
      <c r="D30" s="1196"/>
      <c r="E30" s="1196"/>
    </row>
    <row r="31" spans="1:13" s="1198" customFormat="1" ht="9" customHeight="1" x14ac:dyDescent="0.2">
      <c r="B31" s="1203"/>
      <c r="C31" s="1202"/>
      <c r="D31" s="1196"/>
      <c r="E31" s="1196"/>
    </row>
    <row r="32" spans="1:13" s="1198" customFormat="1" ht="12.2" customHeight="1" x14ac:dyDescent="0.2">
      <c r="B32" s="1201" t="s">
        <v>2161</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2161</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2161</v>
      </c>
      <c r="C38" s="1202" t="s">
        <v>1647</v>
      </c>
    </row>
    <row r="39" spans="1:8" ht="9" customHeight="1" x14ac:dyDescent="0.2">
      <c r="B39" s="1203"/>
      <c r="C39" s="1206"/>
    </row>
    <row r="40" spans="1:8" s="1198" customFormat="1" ht="13.5" customHeight="1" x14ac:dyDescent="0.2">
      <c r="B40" s="1201" t="s">
        <v>2161</v>
      </c>
      <c r="C40" s="1202" t="s">
        <v>1648</v>
      </c>
    </row>
    <row r="41" spans="1:8" ht="9" customHeight="1" x14ac:dyDescent="0.2">
      <c r="A41" s="1207"/>
      <c r="B41" s="1203"/>
      <c r="C41" s="1206"/>
    </row>
    <row r="42" spans="1:8" s="1198" customFormat="1" ht="13.5" customHeight="1" x14ac:dyDescent="0.2">
      <c r="B42" s="1201" t="s">
        <v>2161</v>
      </c>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1" zoomScale="125" zoomScaleNormal="125" workbookViewId="0">
      <selection activeCell="B114" sqref="B114"/>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8" t="str">
        <f>'Single Audit Cover'!A7</f>
        <v>Bensenville SD 2</v>
      </c>
      <c r="B1" s="2435"/>
      <c r="C1" s="2435"/>
      <c r="D1" s="2435"/>
    </row>
    <row r="2" spans="1:11" s="1214" customFormat="1" ht="12.75" x14ac:dyDescent="0.2">
      <c r="A2" s="2459">
        <f>'Single Audit Cover'!E7</f>
        <v>19022002002</v>
      </c>
      <c r="B2" s="2460"/>
      <c r="C2" s="2460"/>
      <c r="D2" s="2460"/>
    </row>
    <row r="3" spans="1:11" s="1214" customFormat="1" ht="12.75" x14ac:dyDescent="0.2">
      <c r="A3" s="2458" t="s">
        <v>1593</v>
      </c>
      <c r="B3" s="2435"/>
      <c r="C3" s="2435"/>
      <c r="D3" s="2435"/>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2161</v>
      </c>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2161</v>
      </c>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2161</v>
      </c>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2161</v>
      </c>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2161</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2161</v>
      </c>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2161</v>
      </c>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2161</v>
      </c>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t="s">
        <v>2161</v>
      </c>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t="s">
        <v>2162</v>
      </c>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t="s">
        <v>2161</v>
      </c>
      <c r="C42" s="1231">
        <v>11</v>
      </c>
      <c r="D42" s="1242" t="s">
        <v>1655</v>
      </c>
      <c r="E42" s="312"/>
    </row>
    <row r="43" spans="1:5" ht="3" customHeight="1" x14ac:dyDescent="0.2">
      <c r="A43" s="1221"/>
      <c r="B43" s="1238"/>
      <c r="C43" s="1239"/>
      <c r="D43" s="1220"/>
    </row>
    <row r="44" spans="1:5" x14ac:dyDescent="0.2">
      <c r="A44" s="1221"/>
      <c r="B44" s="1224" t="s">
        <v>2161</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2074</v>
      </c>
      <c r="C48" s="1225">
        <f>C44+1</f>
        <v>13</v>
      </c>
      <c r="D48" s="1236" t="s">
        <v>1656</v>
      </c>
    </row>
    <row r="49" spans="1:4" ht="3" customHeight="1" x14ac:dyDescent="0.2">
      <c r="A49" s="1221"/>
      <c r="B49" s="1228"/>
      <c r="C49" s="1225"/>
      <c r="D49" s="1236"/>
    </row>
    <row r="50" spans="1:4" x14ac:dyDescent="0.2">
      <c r="A50" s="1221"/>
      <c r="B50" s="1224" t="s">
        <v>2074</v>
      </c>
      <c r="C50" s="1225">
        <f>C48+1</f>
        <v>14</v>
      </c>
      <c r="D50" s="1236" t="s">
        <v>1274</v>
      </c>
    </row>
    <row r="51" spans="1:4" ht="3" customHeight="1" x14ac:dyDescent="0.2">
      <c r="A51" s="1221"/>
      <c r="B51" s="1228"/>
      <c r="C51" s="1225"/>
      <c r="D51" s="1236"/>
    </row>
    <row r="52" spans="1:4" x14ac:dyDescent="0.2">
      <c r="A52" s="1221"/>
      <c r="B52" s="1224" t="s">
        <v>2074</v>
      </c>
      <c r="C52" s="1225">
        <f>C50+1</f>
        <v>15</v>
      </c>
      <c r="D52" s="1236" t="s">
        <v>1273</v>
      </c>
    </row>
    <row r="53" spans="1:4" ht="3" customHeight="1" x14ac:dyDescent="0.2">
      <c r="A53" s="1221"/>
      <c r="B53" s="1228"/>
      <c r="C53" s="1225"/>
      <c r="D53" s="1236"/>
    </row>
    <row r="54" spans="1:4" x14ac:dyDescent="0.2">
      <c r="A54" s="1221"/>
      <c r="B54" s="1224" t="s">
        <v>2162</v>
      </c>
      <c r="C54" s="1225">
        <f>C52+1</f>
        <v>16</v>
      </c>
      <c r="D54" s="1236" t="s">
        <v>1272</v>
      </c>
    </row>
    <row r="55" spans="1:4" ht="3" customHeight="1" x14ac:dyDescent="0.2">
      <c r="A55" s="1221"/>
      <c r="B55" s="1228"/>
      <c r="C55" s="1225"/>
      <c r="D55" s="1236"/>
    </row>
    <row r="56" spans="1:4" x14ac:dyDescent="0.2">
      <c r="A56" s="1221"/>
      <c r="B56" s="1224" t="s">
        <v>2161</v>
      </c>
      <c r="C56" s="1225">
        <f>C54+1</f>
        <v>17</v>
      </c>
      <c r="D56" s="1220" t="s">
        <v>1811</v>
      </c>
    </row>
    <row r="57" spans="1:4" ht="10.5" customHeight="1" x14ac:dyDescent="0.2">
      <c r="A57" s="1221"/>
      <c r="D57" s="1236" t="s">
        <v>1812</v>
      </c>
    </row>
    <row r="58" spans="1:4" x14ac:dyDescent="0.2">
      <c r="A58" s="1221"/>
      <c r="C58" s="1243" t="s">
        <v>2162</v>
      </c>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t="s">
        <v>2161</v>
      </c>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t="s">
        <v>2161</v>
      </c>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t="s">
        <v>2162</v>
      </c>
      <c r="D69" s="1236" t="s">
        <v>1816</v>
      </c>
    </row>
    <row r="70" spans="1:4" x14ac:dyDescent="0.2">
      <c r="A70" s="1221"/>
      <c r="D70" s="1245" t="s">
        <v>1268</v>
      </c>
    </row>
    <row r="71" spans="1:4" ht="3" customHeight="1" x14ac:dyDescent="0.2">
      <c r="A71" s="1221"/>
      <c r="D71" s="1220"/>
    </row>
    <row r="72" spans="1:4" x14ac:dyDescent="0.2">
      <c r="A72" s="1221"/>
      <c r="B72" s="1224" t="s">
        <v>2161</v>
      </c>
      <c r="C72" s="1225">
        <f>C56+1</f>
        <v>18</v>
      </c>
      <c r="D72" s="1246" t="s">
        <v>1817</v>
      </c>
    </row>
    <row r="73" spans="1:4" ht="3" customHeight="1" x14ac:dyDescent="0.2">
      <c r="A73" s="1221"/>
      <c r="B73" s="1228"/>
      <c r="C73" s="1225"/>
      <c r="D73" s="1246"/>
    </row>
    <row r="74" spans="1:4" x14ac:dyDescent="0.2">
      <c r="A74" s="1221"/>
      <c r="B74" s="1224" t="s">
        <v>2161</v>
      </c>
      <c r="C74" s="1225">
        <f>C72+1</f>
        <v>19</v>
      </c>
      <c r="D74" s="1236" t="s">
        <v>1267</v>
      </c>
    </row>
    <row r="75" spans="1:4" ht="3" customHeight="1" x14ac:dyDescent="0.2">
      <c r="A75" s="1221"/>
      <c r="B75" s="1228"/>
      <c r="C75" s="1225"/>
      <c r="D75" s="1236"/>
    </row>
    <row r="76" spans="1:4" x14ac:dyDescent="0.2">
      <c r="A76" s="1221"/>
      <c r="B76" s="1224" t="s">
        <v>2161</v>
      </c>
      <c r="C76" s="1225">
        <f>C74+1</f>
        <v>20</v>
      </c>
      <c r="D76" s="1247" t="s">
        <v>1818</v>
      </c>
    </row>
    <row r="77" spans="1:4" ht="3" customHeight="1" x14ac:dyDescent="0.2">
      <c r="A77" s="1221"/>
      <c r="B77" s="1228"/>
      <c r="C77" s="1225"/>
      <c r="D77" s="1247"/>
    </row>
    <row r="78" spans="1:4" x14ac:dyDescent="0.2">
      <c r="A78" s="1221"/>
      <c r="B78" s="1224" t="s">
        <v>2161</v>
      </c>
      <c r="C78" s="1225">
        <f>C76+1</f>
        <v>21</v>
      </c>
      <c r="D78" s="1220" t="s">
        <v>1819</v>
      </c>
    </row>
    <row r="79" spans="1:4" ht="3" customHeight="1" x14ac:dyDescent="0.2">
      <c r="A79" s="1221"/>
      <c r="B79" s="1228"/>
      <c r="C79" s="1225"/>
      <c r="D79" s="1220"/>
    </row>
    <row r="80" spans="1:4" x14ac:dyDescent="0.2">
      <c r="A80" s="1221"/>
      <c r="B80" s="1224" t="s">
        <v>2161</v>
      </c>
      <c r="C80" s="1225">
        <f>C78+1</f>
        <v>22</v>
      </c>
      <c r="D80" s="1248" t="s">
        <v>1820</v>
      </c>
    </row>
    <row r="81" spans="1:4" ht="3" customHeight="1" x14ac:dyDescent="0.2">
      <c r="A81" s="1221"/>
      <c r="B81" s="1228"/>
      <c r="C81" s="1225"/>
      <c r="D81" s="1248"/>
    </row>
    <row r="82" spans="1:4" x14ac:dyDescent="0.2">
      <c r="A82" s="1221"/>
      <c r="B82" s="1224" t="s">
        <v>2161</v>
      </c>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t="s">
        <v>2161</v>
      </c>
      <c r="C85" s="1225">
        <f>C82+1</f>
        <v>24</v>
      </c>
      <c r="D85" s="1236" t="s">
        <v>1265</v>
      </c>
    </row>
    <row r="86" spans="1:4" ht="3" customHeight="1" x14ac:dyDescent="0.2">
      <c r="A86" s="1221"/>
      <c r="B86" s="1228"/>
      <c r="C86" s="1225"/>
      <c r="D86" s="1236"/>
    </row>
    <row r="87" spans="1:4" x14ac:dyDescent="0.2">
      <c r="A87" s="1221"/>
      <c r="B87" s="1224" t="s">
        <v>2161</v>
      </c>
      <c r="C87" s="1225">
        <f>C85+1</f>
        <v>25</v>
      </c>
      <c r="D87" s="1236" t="s">
        <v>1264</v>
      </c>
    </row>
    <row r="88" spans="1:4" ht="3" customHeight="1" x14ac:dyDescent="0.2">
      <c r="A88" s="1221"/>
      <c r="B88" s="1228"/>
      <c r="C88" s="1225"/>
      <c r="D88" s="1236"/>
    </row>
    <row r="89" spans="1:4" x14ac:dyDescent="0.2">
      <c r="A89" s="1221"/>
      <c r="B89" s="1224" t="s">
        <v>2161</v>
      </c>
      <c r="C89" s="1225">
        <f>C87+1</f>
        <v>26</v>
      </c>
      <c r="D89" s="1236" t="s">
        <v>1263</v>
      </c>
    </row>
    <row r="90" spans="1:4" ht="3" customHeight="1" x14ac:dyDescent="0.2">
      <c r="A90" s="1221"/>
      <c r="B90" s="1228"/>
      <c r="C90" s="1225"/>
      <c r="D90" s="1236"/>
    </row>
    <row r="91" spans="1:4" x14ac:dyDescent="0.2">
      <c r="A91" s="1221"/>
      <c r="B91" s="1224" t="s">
        <v>2161</v>
      </c>
      <c r="C91" s="1225">
        <f>C89+1</f>
        <v>27</v>
      </c>
      <c r="D91" s="1236" t="s">
        <v>1822</v>
      </c>
    </row>
    <row r="92" spans="1:4" x14ac:dyDescent="0.2">
      <c r="A92" s="1221"/>
      <c r="B92" s="1249"/>
      <c r="C92" s="1243" t="s">
        <v>2162</v>
      </c>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t="s">
        <v>2161</v>
      </c>
      <c r="C96" s="1225">
        <f>C91+1</f>
        <v>28</v>
      </c>
      <c r="D96" s="1236" t="s">
        <v>1823</v>
      </c>
    </row>
    <row r="97" spans="1:4" ht="3" customHeight="1" x14ac:dyDescent="0.2">
      <c r="A97" s="1221"/>
      <c r="B97" s="1228"/>
      <c r="C97" s="1225"/>
      <c r="D97" s="1236"/>
    </row>
    <row r="98" spans="1:4" x14ac:dyDescent="0.2">
      <c r="A98" s="1221"/>
      <c r="B98" s="1224" t="s">
        <v>2161</v>
      </c>
      <c r="C98" s="1225">
        <f>C96+1</f>
        <v>29</v>
      </c>
      <c r="D98" s="1250" t="s">
        <v>1824</v>
      </c>
    </row>
    <row r="99" spans="1:4" ht="3" customHeight="1" x14ac:dyDescent="0.2">
      <c r="A99" s="1221"/>
      <c r="B99" s="1228"/>
      <c r="C99" s="1225"/>
      <c r="D99" s="1250"/>
    </row>
    <row r="100" spans="1:4" x14ac:dyDescent="0.2">
      <c r="A100" s="1221"/>
      <c r="B100" s="1224" t="s">
        <v>2161</v>
      </c>
      <c r="C100" s="1225">
        <f>C98+1</f>
        <v>30</v>
      </c>
      <c r="D100" s="1236" t="s">
        <v>1825</v>
      </c>
    </row>
    <row r="101" spans="1:4" ht="3" customHeight="1" x14ac:dyDescent="0.2">
      <c r="A101" s="1221"/>
      <c r="B101" s="1228"/>
      <c r="C101" s="1225"/>
      <c r="D101" s="1251"/>
    </row>
    <row r="102" spans="1:4" x14ac:dyDescent="0.2">
      <c r="A102" s="1221"/>
      <c r="B102" s="1224" t="s">
        <v>2161</v>
      </c>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2161</v>
      </c>
      <c r="C106" s="1225">
        <f>C102+1</f>
        <v>32</v>
      </c>
      <c r="D106" s="1220" t="s">
        <v>1661</v>
      </c>
    </row>
    <row r="107" spans="1:4" ht="3" customHeight="1" x14ac:dyDescent="0.2">
      <c r="A107" s="1221"/>
      <c r="B107" s="1228"/>
      <c r="C107" s="1225"/>
      <c r="D107" s="1220"/>
    </row>
    <row r="108" spans="1:4" x14ac:dyDescent="0.2">
      <c r="A108" s="1221"/>
      <c r="B108" s="1224" t="s">
        <v>2161</v>
      </c>
      <c r="C108" s="1225">
        <v>33</v>
      </c>
      <c r="D108" s="1220" t="s">
        <v>1826</v>
      </c>
    </row>
    <row r="109" spans="1:4" ht="3" customHeight="1" x14ac:dyDescent="0.2">
      <c r="A109" s="1221"/>
      <c r="B109" s="1228"/>
      <c r="C109" s="1225"/>
      <c r="D109" s="1220"/>
    </row>
    <row r="110" spans="1:4" x14ac:dyDescent="0.2">
      <c r="A110" s="1221"/>
      <c r="B110" s="1224" t="s">
        <v>2161</v>
      </c>
      <c r="C110" s="1225">
        <f>C108+1</f>
        <v>34</v>
      </c>
      <c r="D110" s="1220" t="s">
        <v>1260</v>
      </c>
    </row>
    <row r="111" spans="1:4" ht="3" customHeight="1" x14ac:dyDescent="0.2">
      <c r="A111" s="1221"/>
      <c r="B111" s="1228"/>
      <c r="C111" s="1225"/>
      <c r="D111" s="1220"/>
    </row>
    <row r="112" spans="1:4" x14ac:dyDescent="0.2">
      <c r="A112" s="1221"/>
      <c r="B112" s="1224" t="s">
        <v>2161</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2162</v>
      </c>
      <c r="C115" s="1225">
        <f>C112+1</f>
        <v>36</v>
      </c>
      <c r="D115" s="1236" t="s">
        <v>1257</v>
      </c>
    </row>
    <row r="116" spans="1:4" ht="3" customHeight="1" x14ac:dyDescent="0.2">
      <c r="A116" s="1221"/>
      <c r="B116" s="1228"/>
      <c r="C116" s="1225"/>
      <c r="D116" s="1236"/>
    </row>
    <row r="117" spans="1:4" x14ac:dyDescent="0.2">
      <c r="A117" s="1221"/>
      <c r="B117" s="1224" t="s">
        <v>2162</v>
      </c>
      <c r="C117" s="1225">
        <f>C115+1</f>
        <v>37</v>
      </c>
      <c r="D117" s="1236" t="s">
        <v>1827</v>
      </c>
    </row>
    <row r="118" spans="1:4" ht="3" customHeight="1" x14ac:dyDescent="0.2">
      <c r="A118" s="1221"/>
      <c r="B118" s="1228"/>
      <c r="C118" s="1225"/>
      <c r="D118" s="1236"/>
    </row>
    <row r="119" spans="1:4" x14ac:dyDescent="0.2">
      <c r="A119" s="1221"/>
      <c r="B119" s="1224" t="s">
        <v>2162</v>
      </c>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2161</v>
      </c>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2" t="str">
        <f>'Single Audit Cover'!A7</f>
        <v>Bensenville SD 2</v>
      </c>
      <c r="B1" s="2462"/>
      <c r="C1" s="2462"/>
      <c r="D1" s="2462"/>
      <c r="E1" s="2462"/>
    </row>
    <row r="2" spans="1:5" x14ac:dyDescent="0.2">
      <c r="A2" s="2463">
        <f>'Single Audit Cover'!E7</f>
        <v>19022002002</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59" t="s">
        <v>1305</v>
      </c>
    </row>
    <row r="10" spans="1:5" x14ac:dyDescent="0.2">
      <c r="A10" s="1260" t="s">
        <v>1304</v>
      </c>
      <c r="B10" s="1261" t="s">
        <v>1303</v>
      </c>
      <c r="C10" s="1261"/>
      <c r="D10" s="1262">
        <f>SUM('Acct Summary 7-8'!C7:K7)</f>
        <v>2050517</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84082</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-143420</v>
      </c>
    </row>
    <row r="19" spans="1:4" ht="13.5" thickBot="1" x14ac:dyDescent="0.25">
      <c r="A19" s="1264" t="s">
        <v>1297</v>
      </c>
      <c r="D19" s="1265">
        <f>SUM(D10:D17)</f>
        <v>1991179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4"/>
      <c r="B24" s="2464"/>
      <c r="D24" s="1267"/>
    </row>
    <row r="25" spans="1:4" x14ac:dyDescent="0.2">
      <c r="A25" s="2461"/>
      <c r="B25" s="2461"/>
      <c r="D25" s="1267"/>
    </row>
    <row r="26" spans="1:4" x14ac:dyDescent="0.2">
      <c r="A26" s="2461"/>
      <c r="B26" s="2461"/>
      <c r="D26" s="1267"/>
    </row>
    <row r="27" spans="1:4" x14ac:dyDescent="0.2">
      <c r="A27" s="2461"/>
      <c r="B27" s="2461"/>
      <c r="D27" s="1267"/>
    </row>
    <row r="28" spans="1:4" x14ac:dyDescent="0.2">
      <c r="A28" s="2461"/>
      <c r="B28" s="2461"/>
      <c r="D28" s="1267"/>
    </row>
    <row r="29" spans="1:4" x14ac:dyDescent="0.2">
      <c r="A29" s="2461"/>
      <c r="B29" s="2461"/>
      <c r="D29" s="1267"/>
    </row>
    <row r="30" spans="1:4" x14ac:dyDescent="0.2">
      <c r="A30" s="2461"/>
      <c r="B30" s="2461"/>
      <c r="D30" s="1267"/>
    </row>
    <row r="32" spans="1:4" x14ac:dyDescent="0.2">
      <c r="A32" s="1259" t="s">
        <v>1295</v>
      </c>
      <c r="D32" s="1262">
        <f>SUM(D19:D30)</f>
        <v>1991179</v>
      </c>
    </row>
    <row r="33" spans="1:4" x14ac:dyDescent="0.2">
      <c r="D33" s="1268"/>
    </row>
    <row r="34" spans="1:4" x14ac:dyDescent="0.2">
      <c r="A34" s="317" t="s">
        <v>1294</v>
      </c>
    </row>
    <row r="35" spans="1:4" x14ac:dyDescent="0.2">
      <c r="A35" s="317" t="s">
        <v>1293</v>
      </c>
      <c r="B35" s="1257" t="s">
        <v>1292</v>
      </c>
      <c r="D35" s="1269">
        <f>+' SEFA (3)'!F27</f>
        <v>1991179</v>
      </c>
    </row>
    <row r="37" spans="1:4" x14ac:dyDescent="0.2">
      <c r="A37" s="1259" t="s">
        <v>1291</v>
      </c>
    </row>
    <row r="39" spans="1:4" ht="13.35" customHeight="1" x14ac:dyDescent="0.2">
      <c r="A39" s="1266" t="s">
        <v>1290</v>
      </c>
    </row>
    <row r="40" spans="1:4" x14ac:dyDescent="0.2">
      <c r="A40" s="2461"/>
      <c r="B40" s="2461"/>
      <c r="D40" s="1267"/>
    </row>
    <row r="41" spans="1:4" x14ac:dyDescent="0.2">
      <c r="A41" s="2461"/>
      <c r="B41" s="2461"/>
      <c r="D41" s="1270"/>
    </row>
    <row r="42" spans="1:4" x14ac:dyDescent="0.2">
      <c r="A42" s="2461"/>
      <c r="B42" s="2461"/>
      <c r="D42" s="1270"/>
    </row>
    <row r="43" spans="1:4" x14ac:dyDescent="0.2">
      <c r="A43" s="2461"/>
      <c r="B43" s="2461"/>
      <c r="D43" s="1270"/>
    </row>
    <row r="44" spans="1:4" x14ac:dyDescent="0.2">
      <c r="A44" s="2461"/>
      <c r="B44" s="2461"/>
      <c r="D44" s="1270"/>
    </row>
    <row r="45" spans="1:4" x14ac:dyDescent="0.2">
      <c r="A45" s="2461"/>
      <c r="B45" s="2461"/>
      <c r="D45" s="1270"/>
    </row>
    <row r="47" spans="1:4" x14ac:dyDescent="0.2">
      <c r="B47" s="1271" t="s">
        <v>1289</v>
      </c>
      <c r="C47" s="1271"/>
      <c r="D47" s="1272">
        <f>SUM(D35:D45)</f>
        <v>1991179</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18" sqref="D18:F18"/>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Bensenville SD 2</v>
      </c>
      <c r="B1" s="2475"/>
      <c r="C1" s="2475"/>
      <c r="D1" s="2475"/>
      <c r="E1" s="2475"/>
      <c r="F1" s="2475"/>
    </row>
    <row r="2" spans="1:7" ht="13.5" customHeight="1" x14ac:dyDescent="0.2">
      <c r="A2" s="2476">
        <f>'Single Audit Cover'!E7</f>
        <v>19022002002</v>
      </c>
      <c r="B2" s="2476"/>
      <c r="C2" s="2476"/>
      <c r="D2" s="2476"/>
      <c r="E2" s="2476"/>
      <c r="F2" s="2476"/>
      <c r="G2" s="1274"/>
    </row>
    <row r="3" spans="1:7" ht="15.75" customHeight="1" x14ac:dyDescent="0.2">
      <c r="A3" s="2477" t="s">
        <v>1333</v>
      </c>
      <c r="B3" s="2477"/>
      <c r="C3" s="2477"/>
      <c r="D3" s="2477"/>
      <c r="E3" s="2477"/>
      <c r="F3" s="2477"/>
    </row>
    <row r="4" spans="1:7" ht="13.5" customHeight="1" x14ac:dyDescent="0.2">
      <c r="A4" s="2478" t="str">
        <f>'Single Audit Cover'!A4</f>
        <v>Year Ending June 30, 2018</v>
      </c>
      <c r="B4" s="2478"/>
      <c r="C4" s="2478"/>
      <c r="D4" s="2478"/>
      <c r="E4" s="2478"/>
      <c r="F4" s="2478"/>
    </row>
    <row r="5" spans="1:7" ht="8.25" customHeight="1" x14ac:dyDescent="0.2">
      <c r="C5" s="317"/>
      <c r="D5" s="317"/>
    </row>
    <row r="6" spans="1:7" ht="13.5" customHeight="1" x14ac:dyDescent="0.2">
      <c r="A6" s="1275" t="s">
        <v>1831</v>
      </c>
      <c r="C6" s="317"/>
      <c r="D6" s="317"/>
    </row>
    <row r="7" spans="1:7" ht="60.95" customHeight="1" x14ac:dyDescent="0.2">
      <c r="A7" s="2474" t="s">
        <v>2159</v>
      </c>
      <c r="B7" s="2474"/>
      <c r="C7" s="2474"/>
      <c r="D7" s="2474"/>
      <c r="E7" s="2474"/>
      <c r="F7" s="2474"/>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2074</v>
      </c>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74" t="s">
        <v>2160</v>
      </c>
      <c r="B13" s="2474"/>
      <c r="C13" s="2474"/>
      <c r="D13" s="2474"/>
      <c r="E13" s="2474"/>
      <c r="F13" s="2474"/>
    </row>
    <row r="14" spans="1:7" ht="9.75" customHeight="1" x14ac:dyDescent="0.2">
      <c r="C14" s="1259"/>
      <c r="D14" s="1259"/>
    </row>
    <row r="15" spans="1:7" ht="13.5" customHeight="1" x14ac:dyDescent="0.2">
      <c r="C15" s="1869" t="s">
        <v>1332</v>
      </c>
      <c r="D15" s="2472" t="s">
        <v>1331</v>
      </c>
      <c r="E15" s="2472"/>
      <c r="F15" s="2472"/>
    </row>
    <row r="16" spans="1:7" ht="13.5" customHeight="1" x14ac:dyDescent="0.2">
      <c r="A16" s="1281"/>
      <c r="B16" s="1275" t="s">
        <v>1330</v>
      </c>
      <c r="C16" s="1869" t="s">
        <v>1329</v>
      </c>
      <c r="D16" s="2473" t="s">
        <v>1670</v>
      </c>
      <c r="E16" s="2473"/>
      <c r="F16" s="2473"/>
    </row>
    <row r="17" spans="1:6" ht="20.45" customHeight="1" x14ac:dyDescent="0.2">
      <c r="A17" s="1282"/>
      <c r="B17" s="1283" t="s">
        <v>2154</v>
      </c>
      <c r="C17" s="1284"/>
      <c r="D17" s="2467" t="s">
        <v>2135</v>
      </c>
      <c r="E17" s="2467"/>
      <c r="F17" s="2467"/>
    </row>
    <row r="18" spans="1:6" ht="20.65" customHeight="1" x14ac:dyDescent="0.2">
      <c r="A18" s="1282"/>
      <c r="B18" s="1283"/>
      <c r="C18" s="1284"/>
      <c r="D18" s="2467"/>
      <c r="E18" s="2467"/>
      <c r="F18" s="2467"/>
    </row>
    <row r="19" spans="1:6" ht="20.65" customHeight="1" x14ac:dyDescent="0.2">
      <c r="A19" s="1282"/>
      <c r="B19" s="1283"/>
      <c r="C19" s="1284"/>
      <c r="D19" s="2467"/>
      <c r="E19" s="2467"/>
      <c r="F19" s="2467"/>
    </row>
    <row r="20" spans="1:6" ht="20.65" customHeight="1" x14ac:dyDescent="0.2">
      <c r="A20" s="1282"/>
      <c r="B20" s="1283"/>
      <c r="C20" s="1284"/>
      <c r="D20" s="2467"/>
      <c r="E20" s="2467"/>
      <c r="F20" s="2467"/>
    </row>
    <row r="21" spans="1:6" ht="20.65" customHeight="1" x14ac:dyDescent="0.2">
      <c r="A21" s="1282"/>
      <c r="B21" s="1283"/>
      <c r="C21" s="1284"/>
      <c r="D21" s="2467"/>
      <c r="E21" s="2467"/>
      <c r="F21" s="2467"/>
    </row>
    <row r="22" spans="1:6" ht="20.65" customHeight="1" x14ac:dyDescent="0.2">
      <c r="A22" s="1282"/>
      <c r="B22" s="1283"/>
      <c r="C22" s="1284"/>
      <c r="D22" s="2467"/>
      <c r="E22" s="2467"/>
      <c r="F22" s="2467"/>
    </row>
    <row r="23" spans="1:6" ht="20.65" customHeight="1" x14ac:dyDescent="0.2">
      <c r="A23" s="1282"/>
      <c r="B23" s="1283"/>
      <c r="C23" s="1284"/>
      <c r="D23" s="2467"/>
      <c r="E23" s="2467"/>
      <c r="F23" s="2467"/>
    </row>
    <row r="24" spans="1:6" ht="20.65" customHeight="1" x14ac:dyDescent="0.2">
      <c r="A24" s="1282"/>
      <c r="B24" s="1283"/>
      <c r="C24" s="1284"/>
      <c r="D24" s="2467"/>
      <c r="E24" s="2467"/>
      <c r="F24" s="2467"/>
    </row>
    <row r="25" spans="1:6" ht="20.65" customHeight="1" x14ac:dyDescent="0.2">
      <c r="A25" s="1282"/>
      <c r="B25" s="1283"/>
      <c r="C25" s="1284"/>
      <c r="D25" s="2467"/>
      <c r="E25" s="2467"/>
      <c r="F25" s="2467"/>
    </row>
    <row r="26" spans="1:6" ht="20.65" customHeight="1" x14ac:dyDescent="0.2">
      <c r="A26" s="1282"/>
      <c r="B26" s="1283"/>
      <c r="C26" s="1284"/>
      <c r="D26" s="2467"/>
      <c r="E26" s="2467"/>
      <c r="F26" s="2467"/>
    </row>
    <row r="27" spans="1:6" ht="20.65" customHeight="1" x14ac:dyDescent="0.2">
      <c r="A27" s="1282"/>
      <c r="B27" s="1283"/>
      <c r="C27" s="1284"/>
      <c r="D27" s="2467"/>
      <c r="E27" s="2467"/>
      <c r="F27" s="2467"/>
    </row>
    <row r="28" spans="1:6" ht="20.65" customHeight="1" x14ac:dyDescent="0.2">
      <c r="A28" s="1282"/>
      <c r="B28" s="1283"/>
      <c r="C28" s="1284"/>
      <c r="D28" s="2467"/>
      <c r="E28" s="2467"/>
      <c r="F28" s="2467"/>
    </row>
    <row r="29" spans="1:6" ht="20.65" customHeight="1" x14ac:dyDescent="0.2">
      <c r="A29" s="1282"/>
      <c r="B29" s="1283"/>
      <c r="C29" s="1284"/>
      <c r="D29" s="2467"/>
      <c r="E29" s="2467"/>
      <c r="F29" s="2467"/>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68" t="s">
        <v>1833</v>
      </c>
      <c r="B32" s="2468"/>
      <c r="C32" s="2468"/>
      <c r="D32" s="2468"/>
      <c r="E32" s="2468"/>
      <c r="F32" s="2468"/>
    </row>
    <row r="33" spans="1:6" ht="13.5" customHeight="1" x14ac:dyDescent="0.2">
      <c r="A33" s="328" t="s">
        <v>1509</v>
      </c>
      <c r="B33" s="328"/>
      <c r="C33" s="1287">
        <v>82196</v>
      </c>
      <c r="D33" s="1926"/>
      <c r="E33" s="1285"/>
    </row>
    <row r="34" spans="1:6" ht="13.5" customHeight="1" x14ac:dyDescent="0.2">
      <c r="A34" s="328" t="s">
        <v>1946</v>
      </c>
      <c r="B34" s="328"/>
      <c r="C34" s="1288">
        <v>1886</v>
      </c>
      <c r="D34" s="1926" t="s">
        <v>1671</v>
      </c>
      <c r="E34" s="2469">
        <f>+C33+C34</f>
        <v>84082</v>
      </c>
      <c r="F34" s="2470"/>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v>0</v>
      </c>
      <c r="D38" s="1926"/>
      <c r="E38" s="1285"/>
    </row>
    <row r="39" spans="1:6" ht="14.25" customHeight="1" x14ac:dyDescent="0.2">
      <c r="A39" s="328"/>
      <c r="B39" s="328" t="s">
        <v>1511</v>
      </c>
      <c r="C39" s="1291">
        <v>0</v>
      </c>
      <c r="D39" s="1926"/>
      <c r="E39" s="1285"/>
    </row>
    <row r="40" spans="1:6" ht="14.25" customHeight="1" x14ac:dyDescent="0.2">
      <c r="A40" s="328"/>
      <c r="B40" s="328" t="s">
        <v>1512</v>
      </c>
      <c r="C40" s="1291">
        <v>0</v>
      </c>
      <c r="D40" s="1926"/>
      <c r="E40" s="1285"/>
    </row>
    <row r="41" spans="1:6" ht="14.25" customHeight="1" x14ac:dyDescent="0.2">
      <c r="A41" s="328"/>
      <c r="B41" s="328" t="s">
        <v>1513</v>
      </c>
      <c r="C41" s="1291">
        <v>0</v>
      </c>
      <c r="D41" s="1926"/>
      <c r="E41" s="1285"/>
    </row>
    <row r="42" spans="1:6" ht="14.25" customHeight="1" x14ac:dyDescent="0.2">
      <c r="A42" s="328" t="s">
        <v>1514</v>
      </c>
      <c r="B42" s="328"/>
      <c r="C42" s="1924">
        <v>0</v>
      </c>
      <c r="D42" s="1926"/>
      <c r="E42" s="1285"/>
    </row>
    <row r="43" spans="1:6" ht="14.25" customHeight="1" x14ac:dyDescent="0.2">
      <c r="A43" s="328" t="s">
        <v>1515</v>
      </c>
      <c r="B43" s="328"/>
      <c r="C43" s="1292" t="s">
        <v>101</v>
      </c>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1" t="s">
        <v>1672</v>
      </c>
      <c r="C49" s="2471"/>
      <c r="D49" s="2471"/>
      <c r="E49" s="1398"/>
    </row>
    <row r="50" spans="1:5" s="1299" customFormat="1" ht="3.75" customHeight="1" x14ac:dyDescent="0.2">
      <c r="A50" s="1298"/>
      <c r="B50" s="1868"/>
      <c r="C50" s="1868"/>
      <c r="D50" s="1868"/>
      <c r="E50" s="1398"/>
    </row>
    <row r="51" spans="1:5" s="1299" customFormat="1" ht="20.25" customHeight="1" x14ac:dyDescent="0.2">
      <c r="A51" s="1300">
        <v>6</v>
      </c>
      <c r="B51" s="2466" t="s">
        <v>1632</v>
      </c>
      <c r="C51" s="2466"/>
      <c r="D51" s="2466"/>
    </row>
    <row r="52" spans="1:5" ht="14.25" customHeight="1" x14ac:dyDescent="0.2">
      <c r="A52" s="1300"/>
      <c r="B52" s="2466"/>
      <c r="C52" s="2466"/>
      <c r="D52" s="246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13" sqref="I1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5" t="str">
        <f>'Single Audit Cover'!A7</f>
        <v>Bensenville SD 2</v>
      </c>
      <c r="C1" s="2479"/>
      <c r="D1" s="2479"/>
      <c r="E1" s="2479"/>
      <c r="F1" s="2479"/>
      <c r="G1" s="2479"/>
      <c r="H1" s="2479"/>
      <c r="I1" s="2479"/>
      <c r="J1" s="2479"/>
      <c r="K1" s="2479"/>
      <c r="L1" s="2479"/>
      <c r="M1" s="2479"/>
    </row>
    <row r="2" spans="2:14" ht="15" x14ac:dyDescent="0.2">
      <c r="B2" s="2476">
        <f>'Single Audit Cover'!E7</f>
        <v>19022002002</v>
      </c>
      <c r="C2" s="2476"/>
      <c r="D2" s="2476"/>
      <c r="E2" s="2476"/>
      <c r="F2" s="2476"/>
      <c r="G2" s="2476"/>
      <c r="H2" s="2476"/>
      <c r="I2" s="2476"/>
      <c r="J2" s="2476"/>
      <c r="K2" s="2476"/>
      <c r="L2" s="2476"/>
      <c r="M2" s="2476"/>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1836</v>
      </c>
      <c r="D9" s="1313" t="s">
        <v>1837</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2091</v>
      </c>
      <c r="C11" s="1337"/>
      <c r="D11" s="1338"/>
      <c r="E11" s="1339"/>
      <c r="F11" s="1339"/>
      <c r="G11" s="1339"/>
      <c r="H11" s="1339"/>
      <c r="I11" s="1339"/>
      <c r="J11" s="1339"/>
      <c r="K11" s="1339"/>
      <c r="L11" s="1339">
        <f>+G11+I11+K11</f>
        <v>0</v>
      </c>
      <c r="M11" s="1339"/>
    </row>
    <row r="12" spans="2:14" ht="20.100000000000001" customHeight="1" x14ac:dyDescent="0.2">
      <c r="B12" s="1336" t="s">
        <v>2092</v>
      </c>
      <c r="C12" s="1340"/>
      <c r="D12" s="1341"/>
      <c r="E12" s="1342"/>
      <c r="F12" s="1342"/>
      <c r="G12" s="1342"/>
      <c r="H12" s="1342"/>
      <c r="I12" s="1342"/>
      <c r="J12" s="1342"/>
      <c r="K12" s="1342"/>
      <c r="L12" s="1339">
        <f t="shared" ref="L12:L23" si="0">+G12+I12+K12</f>
        <v>0</v>
      </c>
      <c r="M12" s="1342"/>
    </row>
    <row r="13" spans="2:14" ht="20.100000000000001" customHeight="1" x14ac:dyDescent="0.2">
      <c r="B13" s="1336" t="s">
        <v>2093</v>
      </c>
      <c r="C13" s="1340">
        <v>84.01</v>
      </c>
      <c r="D13" s="1341" t="s">
        <v>2095</v>
      </c>
      <c r="E13" s="1342">
        <v>224629</v>
      </c>
      <c r="F13" s="1342">
        <v>191674</v>
      </c>
      <c r="G13" s="1342">
        <v>364456</v>
      </c>
      <c r="H13" s="1342"/>
      <c r="I13" s="1342">
        <v>51847</v>
      </c>
      <c r="J13" s="1342"/>
      <c r="K13" s="1342"/>
      <c r="L13" s="1339">
        <f t="shared" si="0"/>
        <v>416303</v>
      </c>
      <c r="M13" s="1342">
        <v>424161</v>
      </c>
    </row>
    <row r="14" spans="2:14" ht="20.100000000000001" customHeight="1" x14ac:dyDescent="0.2">
      <c r="B14" s="1336" t="s">
        <v>2093</v>
      </c>
      <c r="C14" s="1340">
        <v>84.01</v>
      </c>
      <c r="D14" s="1341" t="s">
        <v>2096</v>
      </c>
      <c r="E14" s="1342"/>
      <c r="F14" s="1342">
        <v>195840</v>
      </c>
      <c r="G14" s="1342"/>
      <c r="H14" s="1342"/>
      <c r="I14" s="1342">
        <v>356138</v>
      </c>
      <c r="J14" s="1342"/>
      <c r="K14" s="1342"/>
      <c r="L14" s="1339">
        <f t="shared" si="0"/>
        <v>356138</v>
      </c>
      <c r="M14" s="1342">
        <v>421321</v>
      </c>
    </row>
    <row r="15" spans="2:14" s="1259" customFormat="1" ht="20.100000000000001" customHeight="1" x14ac:dyDescent="0.2">
      <c r="B15" s="1954" t="s">
        <v>2094</v>
      </c>
      <c r="C15" s="1955"/>
      <c r="D15" s="1956"/>
      <c r="E15" s="1957">
        <f>SUM(E13:E14)</f>
        <v>224629</v>
      </c>
      <c r="F15" s="1957">
        <f t="shared" ref="F15:K15" si="1">SUM(F13:F14)</f>
        <v>387514</v>
      </c>
      <c r="G15" s="1957">
        <f t="shared" si="1"/>
        <v>364456</v>
      </c>
      <c r="H15" s="1957">
        <f t="shared" si="1"/>
        <v>0</v>
      </c>
      <c r="I15" s="1957">
        <f t="shared" si="1"/>
        <v>407985</v>
      </c>
      <c r="J15" s="1957">
        <f t="shared" si="1"/>
        <v>0</v>
      </c>
      <c r="K15" s="1957">
        <f t="shared" si="1"/>
        <v>0</v>
      </c>
      <c r="L15" s="1958">
        <f t="shared" si="0"/>
        <v>772441</v>
      </c>
      <c r="M15" s="1957"/>
    </row>
    <row r="16" spans="2:14" ht="20.100000000000001" customHeight="1" x14ac:dyDescent="0.2">
      <c r="B16" s="1336" t="s">
        <v>2097</v>
      </c>
      <c r="C16" s="1340">
        <v>84.367000000000004</v>
      </c>
      <c r="D16" s="1341" t="s">
        <v>2099</v>
      </c>
      <c r="E16" s="1342">
        <v>28076</v>
      </c>
      <c r="F16" s="1342">
        <v>32804</v>
      </c>
      <c r="G16" s="1342">
        <v>55004</v>
      </c>
      <c r="H16" s="1342"/>
      <c r="I16" s="1342">
        <v>5876</v>
      </c>
      <c r="J16" s="1342"/>
      <c r="K16" s="1342"/>
      <c r="L16" s="1339">
        <f t="shared" si="0"/>
        <v>60880</v>
      </c>
      <c r="M16" s="1342">
        <v>61123</v>
      </c>
    </row>
    <row r="17" spans="2:14" ht="20.100000000000001" customHeight="1" x14ac:dyDescent="0.2">
      <c r="B17" s="1336" t="s">
        <v>2097</v>
      </c>
      <c r="C17" s="1340">
        <v>84.367000000000004</v>
      </c>
      <c r="D17" s="1341" t="s">
        <v>2100</v>
      </c>
      <c r="E17" s="1342"/>
      <c r="F17" s="1342">
        <v>29005</v>
      </c>
      <c r="G17" s="1342"/>
      <c r="H17" s="1342"/>
      <c r="I17" s="1342">
        <v>63012</v>
      </c>
      <c r="J17" s="1342"/>
      <c r="K17" s="1342"/>
      <c r="L17" s="1339">
        <f t="shared" si="0"/>
        <v>63012</v>
      </c>
      <c r="M17" s="1342">
        <v>65914</v>
      </c>
    </row>
    <row r="18" spans="2:14" s="1259" customFormat="1" ht="20.100000000000001" customHeight="1" x14ac:dyDescent="0.2">
      <c r="B18" s="1954" t="s">
        <v>2098</v>
      </c>
      <c r="C18" s="1955"/>
      <c r="D18" s="1956"/>
      <c r="E18" s="1957">
        <f>SUM(E16:E17)</f>
        <v>28076</v>
      </c>
      <c r="F18" s="1957">
        <f t="shared" ref="F18:K18" si="2">SUM(F16:F17)</f>
        <v>61809</v>
      </c>
      <c r="G18" s="1957">
        <f t="shared" si="2"/>
        <v>55004</v>
      </c>
      <c r="H18" s="1957">
        <f t="shared" si="2"/>
        <v>0</v>
      </c>
      <c r="I18" s="1957">
        <f t="shared" si="2"/>
        <v>68888</v>
      </c>
      <c r="J18" s="1957">
        <f t="shared" si="2"/>
        <v>0</v>
      </c>
      <c r="K18" s="1957">
        <f t="shared" si="2"/>
        <v>0</v>
      </c>
      <c r="L18" s="1958">
        <f t="shared" si="0"/>
        <v>123892</v>
      </c>
      <c r="M18" s="1957"/>
    </row>
    <row r="19" spans="2:14" ht="20.100000000000001" customHeight="1" x14ac:dyDescent="0.2">
      <c r="B19" s="1336" t="s">
        <v>2101</v>
      </c>
      <c r="C19" s="1340">
        <v>84.364999999999995</v>
      </c>
      <c r="D19" s="1341" t="s">
        <v>2102</v>
      </c>
      <c r="E19" s="1342">
        <v>5846</v>
      </c>
      <c r="F19" s="1342">
        <v>73094</v>
      </c>
      <c r="G19" s="1342">
        <v>69252</v>
      </c>
      <c r="H19" s="1342"/>
      <c r="I19" s="1342">
        <v>9688</v>
      </c>
      <c r="J19" s="1342"/>
      <c r="K19" s="1342"/>
      <c r="L19" s="1339">
        <f t="shared" si="0"/>
        <v>78940</v>
      </c>
      <c r="M19" s="1342">
        <v>90799</v>
      </c>
    </row>
    <row r="20" spans="2:14" ht="20.100000000000001" customHeight="1" x14ac:dyDescent="0.2">
      <c r="B20" s="1336" t="s">
        <v>2101</v>
      </c>
      <c r="C20" s="1340">
        <v>84.364999999999995</v>
      </c>
      <c r="D20" s="1341" t="s">
        <v>2104</v>
      </c>
      <c r="E20" s="1342"/>
      <c r="F20" s="1342">
        <v>2922</v>
      </c>
      <c r="G20" s="1342"/>
      <c r="H20" s="1342"/>
      <c r="I20" s="1342">
        <v>58791</v>
      </c>
      <c r="J20" s="1342"/>
      <c r="K20" s="1342"/>
      <c r="L20" s="1339">
        <f t="shared" si="0"/>
        <v>58791</v>
      </c>
      <c r="M20" s="1342">
        <v>94539</v>
      </c>
    </row>
    <row r="21" spans="2:14" ht="20.100000000000001" customHeight="1" x14ac:dyDescent="0.2">
      <c r="B21" s="1336" t="s">
        <v>2103</v>
      </c>
      <c r="C21" s="1340">
        <v>84.364999999999995</v>
      </c>
      <c r="D21" s="1341" t="s">
        <v>2105</v>
      </c>
      <c r="E21" s="1342">
        <v>4505</v>
      </c>
      <c r="F21" s="1342">
        <v>4364</v>
      </c>
      <c r="G21" s="1342">
        <v>7363</v>
      </c>
      <c r="H21" s="1342"/>
      <c r="I21" s="1342">
        <v>1506</v>
      </c>
      <c r="J21" s="1342"/>
      <c r="K21" s="1342"/>
      <c r="L21" s="1339">
        <f t="shared" si="0"/>
        <v>8869</v>
      </c>
      <c r="M21" s="1342">
        <v>12693</v>
      </c>
    </row>
    <row r="22" spans="2:14" ht="20.100000000000001" customHeight="1" x14ac:dyDescent="0.2">
      <c r="B22" s="1336" t="s">
        <v>2103</v>
      </c>
      <c r="C22" s="1340">
        <v>84.364999999999995</v>
      </c>
      <c r="D22" s="1341" t="s">
        <v>2106</v>
      </c>
      <c r="E22" s="1342"/>
      <c r="F22" s="1342">
        <v>126</v>
      </c>
      <c r="G22" s="1342"/>
      <c r="H22" s="1342"/>
      <c r="I22" s="1342">
        <v>911</v>
      </c>
      <c r="J22" s="1342"/>
      <c r="K22" s="1342"/>
      <c r="L22" s="1339">
        <f t="shared" si="0"/>
        <v>911</v>
      </c>
      <c r="M22" s="1342">
        <v>15484</v>
      </c>
    </row>
    <row r="23" spans="2:14" s="1259" customFormat="1" ht="20.100000000000001" customHeight="1" x14ac:dyDescent="0.2">
      <c r="B23" s="1954" t="s">
        <v>2107</v>
      </c>
      <c r="C23" s="1955"/>
      <c r="D23" s="1956"/>
      <c r="E23" s="1957">
        <f>SUM(E19:E22)</f>
        <v>10351</v>
      </c>
      <c r="F23" s="1957">
        <f t="shared" ref="F23:K23" si="3">SUM(F19:F22)</f>
        <v>80506</v>
      </c>
      <c r="G23" s="1957">
        <f t="shared" si="3"/>
        <v>76615</v>
      </c>
      <c r="H23" s="1957">
        <f t="shared" si="3"/>
        <v>0</v>
      </c>
      <c r="I23" s="1957">
        <f t="shared" si="3"/>
        <v>70896</v>
      </c>
      <c r="J23" s="1957">
        <f t="shared" si="3"/>
        <v>0</v>
      </c>
      <c r="K23" s="1957">
        <f t="shared" si="3"/>
        <v>0</v>
      </c>
      <c r="L23" s="1958">
        <f t="shared" si="0"/>
        <v>147511</v>
      </c>
      <c r="M23" s="1957"/>
    </row>
    <row r="24" spans="2:14" s="1259" customFormat="1" ht="20.100000000000001" customHeight="1" x14ac:dyDescent="0.2">
      <c r="B24" s="1954"/>
      <c r="C24" s="1955"/>
      <c r="D24" s="1956"/>
      <c r="E24" s="1957"/>
      <c r="F24" s="1957"/>
      <c r="G24" s="1957"/>
      <c r="H24" s="1957"/>
      <c r="I24" s="1957"/>
      <c r="J24" s="1957"/>
      <c r="K24" s="1957"/>
      <c r="L24" s="1958"/>
      <c r="M24" s="1957"/>
    </row>
    <row r="25" spans="2:14" s="1259" customFormat="1" ht="20.100000000000001" customHeight="1" x14ac:dyDescent="0.2">
      <c r="B25" s="1954" t="s">
        <v>2131</v>
      </c>
      <c r="C25" s="1955">
        <v>84.424000000000007</v>
      </c>
      <c r="D25" s="1956" t="s">
        <v>2132</v>
      </c>
      <c r="E25" s="1957"/>
      <c r="F25" s="1957">
        <v>2604</v>
      </c>
      <c r="G25" s="1957"/>
      <c r="H25" s="1957"/>
      <c r="I25" s="1957">
        <v>11334</v>
      </c>
      <c r="J25" s="1957"/>
      <c r="K25" s="1957"/>
      <c r="L25" s="1958">
        <f t="shared" ref="L25" si="4">+G25+I25+K25</f>
        <v>11334</v>
      </c>
      <c r="M25" s="1957">
        <v>16112</v>
      </c>
    </row>
    <row r="26" spans="2:14" ht="20.100000000000001" customHeight="1" x14ac:dyDescent="0.2">
      <c r="B26" s="1954"/>
      <c r="C26" s="1955"/>
      <c r="D26" s="1956"/>
      <c r="E26" s="1957"/>
      <c r="F26" s="1957"/>
      <c r="G26" s="1957"/>
      <c r="H26" s="1957"/>
      <c r="I26" s="1957"/>
      <c r="J26" s="1957"/>
      <c r="K26" s="1957"/>
      <c r="L26" s="1958"/>
      <c r="M26" s="1957"/>
    </row>
    <row r="27" spans="2:14" ht="20.100000000000001" customHeight="1" x14ac:dyDescent="0.2">
      <c r="B27" s="1954" t="s">
        <v>2133</v>
      </c>
      <c r="C27" s="1955">
        <v>84.402699999999996</v>
      </c>
      <c r="D27" s="1956" t="s">
        <v>2134</v>
      </c>
      <c r="E27" s="1957"/>
      <c r="F27" s="1957">
        <v>3245</v>
      </c>
      <c r="G27" s="1957">
        <v>3245</v>
      </c>
      <c r="H27" s="1957"/>
      <c r="I27" s="1957"/>
      <c r="J27" s="1957"/>
      <c r="K27" s="1957"/>
      <c r="L27" s="1958">
        <f t="shared" ref="L27" si="5">+G27+I27+K27</f>
        <v>3245</v>
      </c>
      <c r="M27" s="1957" t="s">
        <v>2135</v>
      </c>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1230</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1" t="s">
        <v>1731</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1" t="s">
        <v>331</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t="s">
        <v>2217</v>
      </c>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1390</v>
      </c>
      <c r="B70" s="2104"/>
      <c r="C70" s="2104"/>
      <c r="D70" s="2104"/>
      <c r="E70" s="2105"/>
      <c r="F70" s="2105"/>
      <c r="G70" s="2105"/>
      <c r="H70" s="2105"/>
      <c r="I70" s="21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1387</v>
      </c>
      <c r="B83" s="2106"/>
      <c r="C83" s="2106"/>
      <c r="D83" s="21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2218</v>
      </c>
      <c r="D114" s="20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1397</v>
      </c>
      <c r="D117" s="2099"/>
      <c r="E117" s="2100"/>
      <c r="F117" s="2100"/>
      <c r="G117" s="2100"/>
      <c r="H117" s="210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14" sqref="I14:I1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5" t="str">
        <f>'Single Audit Cover'!A7</f>
        <v>Bensenville SD 2</v>
      </c>
      <c r="C1" s="2479"/>
      <c r="D1" s="2479"/>
      <c r="E1" s="2479"/>
      <c r="F1" s="2479"/>
      <c r="G1" s="2479"/>
      <c r="H1" s="2479"/>
      <c r="I1" s="2479"/>
      <c r="J1" s="2479"/>
      <c r="K1" s="2479"/>
      <c r="L1" s="2479"/>
      <c r="M1" s="2479"/>
    </row>
    <row r="2" spans="2:14" ht="15" x14ac:dyDescent="0.2">
      <c r="B2" s="2476">
        <f>'Single Audit Cover'!E7</f>
        <v>19022002002</v>
      </c>
      <c r="C2" s="2476"/>
      <c r="D2" s="2476"/>
      <c r="E2" s="2476"/>
      <c r="F2" s="2476"/>
      <c r="G2" s="2476"/>
      <c r="H2" s="2476"/>
      <c r="I2" s="2476"/>
      <c r="J2" s="2476"/>
      <c r="K2" s="2476"/>
      <c r="L2" s="2476"/>
      <c r="M2" s="2476"/>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1836</v>
      </c>
      <c r="D9" s="1313" t="s">
        <v>1837</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2108</v>
      </c>
      <c r="C11" s="1340"/>
      <c r="D11" s="1341"/>
      <c r="E11" s="1342"/>
      <c r="F11" s="1342"/>
      <c r="G11" s="1342"/>
      <c r="H11" s="1339"/>
      <c r="I11" s="1339"/>
      <c r="J11" s="1339"/>
      <c r="K11" s="1339"/>
      <c r="L11" s="1339">
        <f>+G11+I11+K11</f>
        <v>0</v>
      </c>
      <c r="M11" s="1339"/>
    </row>
    <row r="12" spans="2:14" ht="20.100000000000001" customHeight="1" x14ac:dyDescent="0.2">
      <c r="B12" s="1336" t="s">
        <v>2109</v>
      </c>
      <c r="C12" s="1340"/>
      <c r="D12" s="1341"/>
      <c r="E12" s="1342"/>
      <c r="F12" s="1342"/>
      <c r="G12" s="1342"/>
      <c r="H12" s="1342"/>
      <c r="I12" s="1342"/>
      <c r="J12" s="1342"/>
      <c r="K12" s="1342"/>
      <c r="L12" s="1339">
        <f t="shared" ref="L12:L27" si="0">+G12+I12+K12</f>
        <v>0</v>
      </c>
      <c r="M12" s="1342"/>
    </row>
    <row r="13" spans="2:14" s="1259" customFormat="1" ht="20.100000000000001" customHeight="1" x14ac:dyDescent="0.2">
      <c r="B13" s="1336" t="s">
        <v>2110</v>
      </c>
      <c r="C13" s="1340">
        <v>84.027000000000001</v>
      </c>
      <c r="D13" s="1341" t="s">
        <v>2111</v>
      </c>
      <c r="E13" s="1342">
        <v>501253</v>
      </c>
      <c r="F13" s="1342"/>
      <c r="G13" s="1342">
        <v>501253</v>
      </c>
      <c r="H13" s="1957"/>
      <c r="I13" s="1342"/>
      <c r="J13" s="1342"/>
      <c r="K13" s="1342"/>
      <c r="L13" s="1339">
        <f t="shared" si="0"/>
        <v>501253</v>
      </c>
      <c r="M13" s="1957"/>
    </row>
    <row r="14" spans="2:14" s="1259" customFormat="1" ht="20.100000000000001" customHeight="1" x14ac:dyDescent="0.2">
      <c r="B14" s="1336" t="s">
        <v>2110</v>
      </c>
      <c r="C14" s="1340">
        <v>84.027000000000001</v>
      </c>
      <c r="D14" s="1341" t="s">
        <v>2112</v>
      </c>
      <c r="E14" s="1342"/>
      <c r="F14" s="1342">
        <v>473528</v>
      </c>
      <c r="G14" s="1342"/>
      <c r="H14" s="1957"/>
      <c r="I14" s="1966">
        <v>475224</v>
      </c>
      <c r="J14" s="1342"/>
      <c r="K14" s="1342"/>
      <c r="L14" s="1339">
        <f t="shared" si="0"/>
        <v>475224</v>
      </c>
      <c r="M14" s="1957"/>
    </row>
    <row r="15" spans="2:14" ht="20.100000000000001" customHeight="1" x14ac:dyDescent="0.2">
      <c r="B15" s="1336" t="s">
        <v>2113</v>
      </c>
      <c r="C15" s="1337">
        <v>84.173000000000002</v>
      </c>
      <c r="D15" s="1338" t="s">
        <v>2111</v>
      </c>
      <c r="E15" s="1339">
        <v>17049</v>
      </c>
      <c r="F15" s="1339"/>
      <c r="G15" s="1339">
        <v>17049</v>
      </c>
      <c r="H15" s="1342"/>
      <c r="I15" s="1966"/>
      <c r="J15" s="1342"/>
      <c r="K15" s="1342"/>
      <c r="L15" s="1339">
        <f t="shared" si="0"/>
        <v>17049</v>
      </c>
      <c r="M15" s="1342"/>
    </row>
    <row r="16" spans="2:14" ht="20.100000000000001" customHeight="1" x14ac:dyDescent="0.2">
      <c r="B16" s="1336" t="s">
        <v>2113</v>
      </c>
      <c r="C16" s="1340">
        <v>84.173000000000002</v>
      </c>
      <c r="D16" s="1341" t="s">
        <v>2112</v>
      </c>
      <c r="E16" s="1342"/>
      <c r="F16" s="1342">
        <v>14566</v>
      </c>
      <c r="G16" s="1342"/>
      <c r="H16" s="1342"/>
      <c r="I16" s="1966">
        <v>14916</v>
      </c>
      <c r="J16" s="1342"/>
      <c r="K16" s="1342"/>
      <c r="L16" s="1339">
        <f t="shared" si="0"/>
        <v>14916</v>
      </c>
      <c r="M16" s="1342"/>
    </row>
    <row r="17" spans="2:14" ht="20.100000000000001" customHeight="1" x14ac:dyDescent="0.2">
      <c r="B17" s="1954" t="s">
        <v>2114</v>
      </c>
      <c r="C17" s="1955"/>
      <c r="D17" s="1956"/>
      <c r="E17" s="1957">
        <f>SUM(E13:E16)</f>
        <v>518302</v>
      </c>
      <c r="F17" s="1957">
        <f t="shared" ref="F17:K17" si="1">SUM(F13:F16)</f>
        <v>488094</v>
      </c>
      <c r="G17" s="1957">
        <f t="shared" si="1"/>
        <v>518302</v>
      </c>
      <c r="H17" s="1957">
        <f t="shared" si="1"/>
        <v>0</v>
      </c>
      <c r="I17" s="1957">
        <f t="shared" si="1"/>
        <v>490140</v>
      </c>
      <c r="J17" s="1957">
        <f t="shared" si="1"/>
        <v>0</v>
      </c>
      <c r="K17" s="1957">
        <f t="shared" si="1"/>
        <v>0</v>
      </c>
      <c r="L17" s="1339">
        <f t="shared" si="0"/>
        <v>1008442</v>
      </c>
      <c r="M17" s="1342"/>
    </row>
    <row r="18" spans="2:14" ht="20.100000000000001" customHeight="1" x14ac:dyDescent="0.2">
      <c r="B18" s="1954" t="s">
        <v>2115</v>
      </c>
      <c r="C18" s="1955"/>
      <c r="D18" s="1956"/>
      <c r="E18" s="1957">
        <f>+E17+' SEFA'!E27+' SEFA'!E25+' SEFA'!E23+' SEFA'!E18+' SEFA'!E15</f>
        <v>781358</v>
      </c>
      <c r="F18" s="1957">
        <f>+F17+' SEFA'!F27+' SEFA'!F25+' SEFA'!F23+' SEFA'!F18+' SEFA'!F15</f>
        <v>1023772</v>
      </c>
      <c r="G18" s="1957">
        <f>+G17+' SEFA'!G27+' SEFA'!G25+' SEFA'!G23+' SEFA'!G18+' SEFA'!G15</f>
        <v>1017622</v>
      </c>
      <c r="H18" s="1957">
        <f>+H17+' SEFA'!H27+' SEFA'!H25+' SEFA'!H23+' SEFA'!H18+' SEFA'!H15</f>
        <v>0</v>
      </c>
      <c r="I18" s="1957">
        <f>+I17+' SEFA'!I27+' SEFA'!I25+' SEFA'!I23+' SEFA'!I18+' SEFA'!I15</f>
        <v>1049243</v>
      </c>
      <c r="J18" s="1957">
        <f>+J17+' SEFA'!J27+' SEFA'!J25+' SEFA'!J23+' SEFA'!J18+' SEFA'!J15</f>
        <v>0</v>
      </c>
      <c r="K18" s="1957">
        <f>+K17+' SEFA'!K27+' SEFA'!K25+' SEFA'!K23+' SEFA'!K18+' SEFA'!K15</f>
        <v>0</v>
      </c>
      <c r="L18" s="1339">
        <f t="shared" si="0"/>
        <v>2066865</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t="s">
        <v>2125</v>
      </c>
      <c r="C20" s="1337"/>
      <c r="D20" s="1338"/>
      <c r="E20" s="1339"/>
      <c r="F20" s="1339"/>
      <c r="G20" s="1339"/>
      <c r="H20" s="1339"/>
      <c r="I20" s="1339"/>
      <c r="J20" s="1339"/>
      <c r="K20" s="1339"/>
      <c r="L20" s="1339">
        <f t="shared" si="0"/>
        <v>0</v>
      </c>
      <c r="M20" s="1342"/>
    </row>
    <row r="21" spans="2:14" ht="20.100000000000001" customHeight="1" x14ac:dyDescent="0.2">
      <c r="B21" s="1336" t="s">
        <v>2126</v>
      </c>
      <c r="C21" s="1340"/>
      <c r="D21" s="1341"/>
      <c r="E21" s="1342"/>
      <c r="F21" s="1342"/>
      <c r="G21" s="1342"/>
      <c r="H21" s="1342"/>
      <c r="I21" s="1342"/>
      <c r="J21" s="1342"/>
      <c r="K21" s="1342"/>
      <c r="L21" s="1339">
        <f t="shared" si="0"/>
        <v>0</v>
      </c>
      <c r="M21" s="1342"/>
    </row>
    <row r="22" spans="2:14" ht="20.100000000000001" customHeight="1" x14ac:dyDescent="0.2">
      <c r="B22" s="1336" t="s">
        <v>2127</v>
      </c>
      <c r="C22" s="1340">
        <v>93.778000000000006</v>
      </c>
      <c r="D22" s="1341">
        <v>2017</v>
      </c>
      <c r="E22" s="1342">
        <v>28236</v>
      </c>
      <c r="F22" s="1342">
        <v>23805</v>
      </c>
      <c r="G22" s="1342">
        <v>52041</v>
      </c>
      <c r="H22" s="1342"/>
      <c r="I22" s="1342"/>
      <c r="J22" s="1342"/>
      <c r="K22" s="1342"/>
      <c r="L22" s="1339">
        <f t="shared" si="0"/>
        <v>52041</v>
      </c>
      <c r="M22" s="1342"/>
    </row>
    <row r="23" spans="2:14" ht="20.100000000000001" customHeight="1" x14ac:dyDescent="0.2">
      <c r="B23" s="1336" t="s">
        <v>2127</v>
      </c>
      <c r="C23" s="1340">
        <v>93.778000000000006</v>
      </c>
      <c r="D23" s="1341">
        <v>2018</v>
      </c>
      <c r="E23" s="1342"/>
      <c r="F23" s="1342">
        <v>21871</v>
      </c>
      <c r="G23" s="1342"/>
      <c r="H23" s="1342"/>
      <c r="I23" s="1342">
        <v>43685</v>
      </c>
      <c r="J23" s="1342"/>
      <c r="K23" s="1342"/>
      <c r="L23" s="1339">
        <f t="shared" si="0"/>
        <v>43685</v>
      </c>
      <c r="M23" s="1342"/>
    </row>
    <row r="24" spans="2:14" ht="20.100000000000001" customHeight="1" x14ac:dyDescent="0.2">
      <c r="B24" s="1954" t="s">
        <v>2128</v>
      </c>
      <c r="C24" s="1955"/>
      <c r="D24" s="1956"/>
      <c r="E24" s="1957">
        <f>SUM(E22:E23)</f>
        <v>28236</v>
      </c>
      <c r="F24" s="1957">
        <f t="shared" ref="F24:K24" si="2">SUM(F22:F23)</f>
        <v>45676</v>
      </c>
      <c r="G24" s="1957">
        <f t="shared" si="2"/>
        <v>52041</v>
      </c>
      <c r="H24" s="1957">
        <f t="shared" si="2"/>
        <v>0</v>
      </c>
      <c r="I24" s="1957">
        <f t="shared" si="2"/>
        <v>43685</v>
      </c>
      <c r="J24" s="1957">
        <f t="shared" si="2"/>
        <v>0</v>
      </c>
      <c r="K24" s="1957">
        <f t="shared" si="2"/>
        <v>0</v>
      </c>
      <c r="L24" s="1339">
        <f t="shared" si="0"/>
        <v>95726</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s="1259" customFormat="1" ht="20.100000000000001" customHeight="1" x14ac:dyDescent="0.2">
      <c r="B27" s="1954"/>
      <c r="C27" s="1955"/>
      <c r="D27" s="1956"/>
      <c r="E27" s="1957"/>
      <c r="F27" s="1957"/>
      <c r="G27" s="1957"/>
      <c r="H27" s="1957"/>
      <c r="I27" s="1957"/>
      <c r="J27" s="1957"/>
      <c r="K27" s="1957"/>
      <c r="L27" s="1958">
        <f t="shared" si="0"/>
        <v>0</v>
      </c>
      <c r="M27" s="1957"/>
      <c r="N27" s="1959"/>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F14" sqref="F14:F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5" t="str">
        <f>'Single Audit Cover'!A7</f>
        <v>Bensenville SD 2</v>
      </c>
      <c r="C1" s="2479"/>
      <c r="D1" s="2479"/>
      <c r="E1" s="2479"/>
      <c r="F1" s="2479"/>
      <c r="G1" s="2479"/>
      <c r="H1" s="2479"/>
      <c r="I1" s="2479"/>
      <c r="J1" s="2479"/>
      <c r="K1" s="2479"/>
      <c r="L1" s="2479"/>
      <c r="M1" s="2479"/>
    </row>
    <row r="2" spans="2:14" ht="15" x14ac:dyDescent="0.2">
      <c r="B2" s="2476">
        <f>'Single Audit Cover'!E7</f>
        <v>19022002002</v>
      </c>
      <c r="C2" s="2476"/>
      <c r="D2" s="2476"/>
      <c r="E2" s="2476"/>
      <c r="F2" s="2476"/>
      <c r="G2" s="2476"/>
      <c r="H2" s="2476"/>
      <c r="I2" s="2476"/>
      <c r="J2" s="2476"/>
      <c r="K2" s="2476"/>
      <c r="L2" s="2476"/>
      <c r="M2" s="2476"/>
      <c r="N2" s="1301"/>
    </row>
    <row r="3" spans="2:14" ht="15" x14ac:dyDescent="0.2">
      <c r="B3" s="2480" t="s">
        <v>1281</v>
      </c>
      <c r="C3" s="2480"/>
      <c r="D3" s="2480"/>
      <c r="E3" s="2480"/>
      <c r="F3" s="2480"/>
      <c r="G3" s="2480"/>
      <c r="H3" s="2480"/>
      <c r="I3" s="2480"/>
      <c r="J3" s="2480"/>
      <c r="K3" s="2480"/>
      <c r="L3" s="2480"/>
      <c r="M3" s="2480"/>
      <c r="N3" s="1301"/>
    </row>
    <row r="4" spans="2:14" ht="15" x14ac:dyDescent="0.2">
      <c r="B4" s="2481" t="str">
        <f>'Single Audit Cover'!A4</f>
        <v>Year Ending June 30, 2018</v>
      </c>
      <c r="C4" s="2481"/>
      <c r="D4" s="2481"/>
      <c r="E4" s="2481"/>
      <c r="F4" s="2481"/>
      <c r="G4" s="2481"/>
      <c r="H4" s="2481"/>
      <c r="I4" s="2481"/>
      <c r="J4" s="2481"/>
      <c r="K4" s="2481"/>
      <c r="L4" s="2481"/>
      <c r="M4" s="248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1836</v>
      </c>
      <c r="D9" s="1313" t="s">
        <v>1837</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2116</v>
      </c>
      <c r="C11" s="1340"/>
      <c r="D11" s="1341"/>
      <c r="E11" s="1342"/>
      <c r="F11" s="1342"/>
      <c r="G11" s="1342"/>
      <c r="H11" s="1339"/>
      <c r="I11" s="1339"/>
      <c r="J11" s="1339"/>
      <c r="K11" s="1339"/>
      <c r="L11" s="1339">
        <f>+G11+I11+K11</f>
        <v>0</v>
      </c>
      <c r="M11" s="1339"/>
    </row>
    <row r="12" spans="2:14" ht="20.100000000000001" customHeight="1" x14ac:dyDescent="0.2">
      <c r="B12" s="1336" t="s">
        <v>2092</v>
      </c>
      <c r="C12" s="1340"/>
      <c r="D12" s="1341"/>
      <c r="E12" s="1342"/>
      <c r="F12" s="1342"/>
      <c r="G12" s="1342"/>
      <c r="H12" s="1342"/>
      <c r="I12" s="1342"/>
      <c r="J12" s="1342"/>
      <c r="K12" s="1342"/>
      <c r="L12" s="1339">
        <f t="shared" ref="L12:L27" si="0">+G12+I12+K12</f>
        <v>0</v>
      </c>
      <c r="M12" s="1342"/>
    </row>
    <row r="13" spans="2:14" ht="20.100000000000001" customHeight="1" x14ac:dyDescent="0.2">
      <c r="B13" s="1336" t="s">
        <v>2121</v>
      </c>
      <c r="C13" s="1340"/>
      <c r="D13" s="1341"/>
      <c r="E13" s="1342"/>
      <c r="F13" s="1342"/>
      <c r="G13" s="1342"/>
      <c r="H13" s="1342"/>
      <c r="I13" s="1342"/>
      <c r="J13" s="1342"/>
      <c r="K13" s="1342"/>
      <c r="L13" s="1339">
        <f t="shared" si="0"/>
        <v>0</v>
      </c>
      <c r="M13" s="1342"/>
    </row>
    <row r="14" spans="2:14" ht="20.100000000000001" customHeight="1" x14ac:dyDescent="0.2">
      <c r="B14" s="1336" t="s">
        <v>2141</v>
      </c>
      <c r="C14" s="1340">
        <v>10.555</v>
      </c>
      <c r="D14" s="1341" t="s">
        <v>2117</v>
      </c>
      <c r="E14" s="1342">
        <v>514413</v>
      </c>
      <c r="F14" s="1342">
        <v>124761</v>
      </c>
      <c r="G14" s="1342">
        <v>514413</v>
      </c>
      <c r="H14" s="1342"/>
      <c r="I14" s="1966">
        <v>124761</v>
      </c>
      <c r="J14" s="1342"/>
      <c r="K14" s="1342"/>
      <c r="L14" s="1339">
        <f t="shared" si="0"/>
        <v>639174</v>
      </c>
      <c r="M14" s="1342" t="s">
        <v>2135</v>
      </c>
    </row>
    <row r="15" spans="2:14" s="1259" customFormat="1" ht="20.100000000000001" customHeight="1" x14ac:dyDescent="0.2">
      <c r="B15" s="1336" t="s">
        <v>2141</v>
      </c>
      <c r="C15" s="1340">
        <v>10.555</v>
      </c>
      <c r="D15" s="1341" t="s">
        <v>2118</v>
      </c>
      <c r="E15" s="1342"/>
      <c r="F15" s="1342">
        <v>526034</v>
      </c>
      <c r="G15" s="1342"/>
      <c r="H15" s="1957"/>
      <c r="I15" s="1966">
        <v>526034</v>
      </c>
      <c r="J15" s="1957"/>
      <c r="K15" s="1957"/>
      <c r="L15" s="1339">
        <f t="shared" si="0"/>
        <v>526034</v>
      </c>
      <c r="M15" s="1342" t="s">
        <v>2135</v>
      </c>
    </row>
    <row r="16" spans="2:14" ht="20.100000000000001" customHeight="1" x14ac:dyDescent="0.2">
      <c r="B16" s="1336" t="s">
        <v>2142</v>
      </c>
      <c r="C16" s="1340">
        <v>10.553000000000001</v>
      </c>
      <c r="D16" s="1341" t="s">
        <v>2119</v>
      </c>
      <c r="E16" s="1342">
        <v>131495</v>
      </c>
      <c r="F16" s="1342">
        <v>32300</v>
      </c>
      <c r="G16" s="1342">
        <v>131495</v>
      </c>
      <c r="H16" s="1342"/>
      <c r="I16" s="1966">
        <v>32300</v>
      </c>
      <c r="J16" s="1342"/>
      <c r="K16" s="1342"/>
      <c r="L16" s="1339">
        <f t="shared" si="0"/>
        <v>163795</v>
      </c>
      <c r="M16" s="1342" t="s">
        <v>2135</v>
      </c>
    </row>
    <row r="17" spans="2:14" ht="20.100000000000001" customHeight="1" x14ac:dyDescent="0.2">
      <c r="B17" s="1336" t="s">
        <v>2142</v>
      </c>
      <c r="C17" s="1340">
        <v>10.553000000000001</v>
      </c>
      <c r="D17" s="1341" t="s">
        <v>2120</v>
      </c>
      <c r="E17" s="1342"/>
      <c r="F17" s="1342">
        <v>153526</v>
      </c>
      <c r="G17" s="1342"/>
      <c r="H17" s="1342"/>
      <c r="I17" s="1966">
        <v>153526</v>
      </c>
      <c r="J17" s="1342"/>
      <c r="K17" s="1342"/>
      <c r="L17" s="1339">
        <f t="shared" si="0"/>
        <v>153526</v>
      </c>
      <c r="M17" s="1342" t="s">
        <v>2135</v>
      </c>
    </row>
    <row r="18" spans="2:14" ht="20.100000000000001" customHeight="1" x14ac:dyDescent="0.2">
      <c r="B18" s="1336" t="s">
        <v>2143</v>
      </c>
      <c r="C18" s="1340">
        <v>10.555</v>
      </c>
      <c r="D18" s="1341">
        <v>2018</v>
      </c>
      <c r="E18" s="1342"/>
      <c r="F18" s="1342">
        <v>82196</v>
      </c>
      <c r="G18" s="1342"/>
      <c r="H18" s="1342"/>
      <c r="I18" s="1966">
        <v>82196</v>
      </c>
      <c r="J18" s="1342"/>
      <c r="K18" s="1342"/>
      <c r="L18" s="1339">
        <f t="shared" si="0"/>
        <v>82196</v>
      </c>
      <c r="M18" s="1342" t="s">
        <v>2135</v>
      </c>
    </row>
    <row r="19" spans="2:14" ht="20.100000000000001" customHeight="1" x14ac:dyDescent="0.2">
      <c r="B19" s="1336" t="s">
        <v>2144</v>
      </c>
      <c r="C19" s="1340">
        <v>10.555</v>
      </c>
      <c r="D19" s="1341">
        <v>2018</v>
      </c>
      <c r="E19" s="1342"/>
      <c r="F19" s="1342">
        <v>1886</v>
      </c>
      <c r="G19" s="1342"/>
      <c r="H19" s="1342"/>
      <c r="I19" s="1966">
        <v>1886</v>
      </c>
      <c r="J19" s="1342"/>
      <c r="K19" s="1342"/>
      <c r="L19" s="1339">
        <f t="shared" si="0"/>
        <v>1886</v>
      </c>
      <c r="M19" s="1342" t="s">
        <v>2135</v>
      </c>
    </row>
    <row r="20" spans="2:14" s="1259" customFormat="1" ht="20.100000000000001" customHeight="1" x14ac:dyDescent="0.2">
      <c r="B20" s="1954" t="s">
        <v>2122</v>
      </c>
      <c r="C20" s="1955"/>
      <c r="D20" s="1956"/>
      <c r="E20" s="1957">
        <f>SUM(E14:E19)</f>
        <v>645908</v>
      </c>
      <c r="F20" s="1957">
        <f t="shared" ref="F20:K20" si="1">SUM(F14:F19)</f>
        <v>920703</v>
      </c>
      <c r="G20" s="1957">
        <f t="shared" si="1"/>
        <v>645908</v>
      </c>
      <c r="H20" s="1957">
        <f t="shared" si="1"/>
        <v>0</v>
      </c>
      <c r="I20" s="1967">
        <f t="shared" si="1"/>
        <v>920703</v>
      </c>
      <c r="J20" s="1957">
        <f t="shared" si="1"/>
        <v>0</v>
      </c>
      <c r="K20" s="1957">
        <f t="shared" si="1"/>
        <v>0</v>
      </c>
      <c r="L20" s="1958">
        <f t="shared" si="0"/>
        <v>1566611</v>
      </c>
      <c r="M20" s="1957"/>
    </row>
    <row r="21" spans="2:14" ht="20.100000000000001" customHeight="1" x14ac:dyDescent="0.2">
      <c r="B21" s="1336" t="s">
        <v>2123</v>
      </c>
      <c r="C21" s="1340">
        <v>10.558</v>
      </c>
      <c r="D21" s="1341" t="s">
        <v>2129</v>
      </c>
      <c r="E21" s="1342">
        <v>810</v>
      </c>
      <c r="F21" s="1342">
        <v>48</v>
      </c>
      <c r="G21" s="1342">
        <v>810</v>
      </c>
      <c r="H21" s="1342"/>
      <c r="I21" s="1342">
        <v>49</v>
      </c>
      <c r="J21" s="1342"/>
      <c r="K21" s="1342"/>
      <c r="L21" s="1339">
        <f t="shared" si="0"/>
        <v>859</v>
      </c>
      <c r="M21" s="1342" t="s">
        <v>2135</v>
      </c>
    </row>
    <row r="22" spans="2:14" ht="20.100000000000001" customHeight="1" x14ac:dyDescent="0.2">
      <c r="B22" s="1336" t="s">
        <v>2123</v>
      </c>
      <c r="C22" s="1340">
        <v>10.558</v>
      </c>
      <c r="D22" s="1341" t="s">
        <v>2130</v>
      </c>
      <c r="E22" s="1342"/>
      <c r="F22" s="1342">
        <v>980</v>
      </c>
      <c r="G22" s="1342"/>
      <c r="H22" s="1342"/>
      <c r="I22" s="1342">
        <v>980</v>
      </c>
      <c r="J22" s="1342"/>
      <c r="K22" s="1342"/>
      <c r="L22" s="1339">
        <f t="shared" si="0"/>
        <v>980</v>
      </c>
      <c r="M22" s="1342" t="s">
        <v>2135</v>
      </c>
    </row>
    <row r="23" spans="2:14" s="1259" customFormat="1" ht="20.100000000000001" customHeight="1" x14ac:dyDescent="0.2">
      <c r="B23" s="1386" t="s">
        <v>2136</v>
      </c>
      <c r="C23" s="1955"/>
      <c r="D23" s="1956"/>
      <c r="E23" s="1957">
        <f>SUM(E21:E22)</f>
        <v>810</v>
      </c>
      <c r="F23" s="1957">
        <f t="shared" ref="F23:K23" si="2">SUM(F21:F22)</f>
        <v>1028</v>
      </c>
      <c r="G23" s="1957">
        <f t="shared" si="2"/>
        <v>810</v>
      </c>
      <c r="H23" s="1957">
        <f t="shared" si="2"/>
        <v>0</v>
      </c>
      <c r="I23" s="1957">
        <f t="shared" si="2"/>
        <v>1029</v>
      </c>
      <c r="J23" s="1957">
        <f t="shared" si="2"/>
        <v>0</v>
      </c>
      <c r="K23" s="1957">
        <f t="shared" si="2"/>
        <v>0</v>
      </c>
      <c r="L23" s="1958">
        <f t="shared" si="0"/>
        <v>1839</v>
      </c>
      <c r="M23" s="1957"/>
    </row>
    <row r="24" spans="2:14" ht="20.100000000000001" customHeight="1" x14ac:dyDescent="0.2">
      <c r="B24" s="1336"/>
      <c r="C24" s="1340"/>
      <c r="D24" s="1341"/>
      <c r="E24" s="1342"/>
      <c r="F24" s="1342"/>
      <c r="G24" s="1342"/>
      <c r="H24" s="1342"/>
      <c r="I24" s="1342"/>
      <c r="J24" s="1342"/>
      <c r="K24" s="1342"/>
      <c r="L24" s="1339">
        <f t="shared" si="0"/>
        <v>0</v>
      </c>
      <c r="M24" s="1342"/>
    </row>
    <row r="25" spans="2:14" s="1259" customFormat="1" ht="20.100000000000001" customHeight="1" x14ac:dyDescent="0.2">
      <c r="B25" s="1954" t="s">
        <v>2124</v>
      </c>
      <c r="C25" s="1955"/>
      <c r="D25" s="1956"/>
      <c r="E25" s="1957">
        <f>+E23+E20</f>
        <v>646718</v>
      </c>
      <c r="F25" s="1957">
        <f t="shared" ref="F25:K25" si="3">+F23+F20</f>
        <v>921731</v>
      </c>
      <c r="G25" s="1957">
        <f t="shared" si="3"/>
        <v>646718</v>
      </c>
      <c r="H25" s="1957">
        <f t="shared" si="3"/>
        <v>0</v>
      </c>
      <c r="I25" s="1957">
        <f t="shared" si="3"/>
        <v>921732</v>
      </c>
      <c r="J25" s="1957">
        <f t="shared" si="3"/>
        <v>0</v>
      </c>
      <c r="K25" s="1957">
        <f t="shared" si="3"/>
        <v>0</v>
      </c>
      <c r="L25" s="1958">
        <f t="shared" si="0"/>
        <v>1568450</v>
      </c>
      <c r="M25" s="1957"/>
    </row>
    <row r="26" spans="2:14" ht="20.100000000000001" customHeight="1" x14ac:dyDescent="0.2">
      <c r="B26" s="1336"/>
      <c r="C26" s="1340"/>
      <c r="D26" s="1341"/>
      <c r="E26" s="1342"/>
      <c r="F26" s="1342"/>
      <c r="G26" s="1342"/>
      <c r="H26" s="1342"/>
      <c r="I26" s="1342"/>
      <c r="J26" s="1342"/>
      <c r="K26" s="1342"/>
      <c r="L26" s="1339">
        <f t="shared" si="0"/>
        <v>0</v>
      </c>
      <c r="M26" s="1342"/>
    </row>
    <row r="27" spans="2:14" s="1259" customFormat="1" ht="20.100000000000001" customHeight="1" x14ac:dyDescent="0.2">
      <c r="B27" s="1954" t="s">
        <v>2137</v>
      </c>
      <c r="C27" s="1955"/>
      <c r="D27" s="1956"/>
      <c r="E27" s="1957">
        <f>+E25+' SEFA (2)'!E24+' SEFA (2)'!E18</f>
        <v>1456312</v>
      </c>
      <c r="F27" s="1957">
        <f>+F25+' SEFA (2)'!F24+' SEFA (2)'!F18</f>
        <v>1991179</v>
      </c>
      <c r="G27" s="1957">
        <f>+G25+' SEFA (2)'!G24+' SEFA (2)'!G18</f>
        <v>1716381</v>
      </c>
      <c r="H27" s="1957">
        <f>+H25+' SEFA (2)'!H24+' SEFA (2)'!H18</f>
        <v>0</v>
      </c>
      <c r="I27" s="1957">
        <f>+I25+' SEFA (2)'!I24+' SEFA (2)'!I18</f>
        <v>2014660</v>
      </c>
      <c r="J27" s="1957">
        <f>+J25+' SEFA (2)'!J24+' SEFA (2)'!J18</f>
        <v>0</v>
      </c>
      <c r="K27" s="1957">
        <f>+K25+' SEFA (2)'!K24+' SEFA (2)'!K18</f>
        <v>0</v>
      </c>
      <c r="L27" s="1958">
        <f t="shared" si="0"/>
        <v>3731041</v>
      </c>
      <c r="M27" s="1957"/>
      <c r="N27" s="1959"/>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C39" sqref="C39:F39"/>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3" t="str">
        <f>'Single Audit Cover'!A7</f>
        <v>Bensenville SD 2</v>
      </c>
      <c r="C1" s="2494"/>
      <c r="D1" s="2494"/>
      <c r="E1" s="2494"/>
      <c r="F1" s="2494"/>
      <c r="G1" s="2494"/>
      <c r="H1" s="2494"/>
      <c r="I1" s="2494"/>
      <c r="J1" s="1421"/>
    </row>
    <row r="2" spans="2:10" s="317" customFormat="1" ht="12.75" customHeight="1" x14ac:dyDescent="0.2">
      <c r="B2" s="2495">
        <f>'Single Audit Cover'!E7</f>
        <v>19022002002</v>
      </c>
      <c r="C2" s="2496"/>
      <c r="D2" s="2496"/>
      <c r="E2" s="2496"/>
      <c r="F2" s="2496"/>
      <c r="G2" s="2496"/>
      <c r="H2" s="2496"/>
      <c r="I2" s="2496"/>
      <c r="J2" s="1421"/>
    </row>
    <row r="3" spans="2:10" s="317" customFormat="1" ht="12.75" customHeight="1" x14ac:dyDescent="0.2">
      <c r="B3" s="2497" t="s">
        <v>1347</v>
      </c>
      <c r="C3" s="2498"/>
      <c r="D3" s="2498"/>
      <c r="E3" s="2498"/>
      <c r="F3" s="2498"/>
      <c r="G3" s="2498"/>
      <c r="H3" s="2498"/>
      <c r="I3" s="2498"/>
      <c r="J3" s="1422"/>
    </row>
    <row r="4" spans="2:10" s="317" customFormat="1" ht="12.75" customHeight="1" x14ac:dyDescent="0.2">
      <c r="B4" s="2497" t="str">
        <f>'Single Audit Cover'!A4</f>
        <v>Year Ending June 30, 2018</v>
      </c>
      <c r="C4" s="2498"/>
      <c r="D4" s="2498"/>
      <c r="E4" s="2498"/>
      <c r="F4" s="2498"/>
      <c r="G4" s="2498"/>
      <c r="H4" s="2498"/>
      <c r="I4" s="2498"/>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7" t="s">
        <v>1346</v>
      </c>
      <c r="C7" s="2498"/>
      <c r="D7" s="2498"/>
      <c r="E7" s="2498"/>
      <c r="F7" s="2498"/>
      <c r="G7" s="2498"/>
      <c r="H7" s="2498"/>
      <c r="I7" s="2498"/>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9" t="s">
        <v>2138</v>
      </c>
      <c r="D11" s="2499"/>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2074</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2074</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2074</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2074</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t="s">
        <v>2074</v>
      </c>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500"/>
      <c r="E29" s="2500"/>
      <c r="F29" s="2500"/>
      <c r="G29" s="2500"/>
      <c r="H29" s="2500"/>
      <c r="I29" s="2500"/>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2074</v>
      </c>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501" t="s">
        <v>1852</v>
      </c>
      <c r="D37" s="2502"/>
      <c r="E37" s="2502"/>
      <c r="F37" s="2503"/>
      <c r="G37" s="2501" t="s">
        <v>1674</v>
      </c>
      <c r="H37" s="2502"/>
      <c r="I37" s="2503"/>
    </row>
    <row r="38" spans="2:9" ht="16.5" customHeight="1" x14ac:dyDescent="0.2">
      <c r="B38" s="1443" t="s">
        <v>2140</v>
      </c>
      <c r="C38" s="2489" t="s">
        <v>2139</v>
      </c>
      <c r="D38" s="2490"/>
      <c r="E38" s="2490"/>
      <c r="F38" s="2491"/>
      <c r="G38" s="2504">
        <v>920703</v>
      </c>
      <c r="H38" s="2505"/>
      <c r="I38" s="2506"/>
    </row>
    <row r="39" spans="2:9" ht="16.5" customHeight="1" x14ac:dyDescent="0.2">
      <c r="B39" s="1443"/>
      <c r="C39" s="2489"/>
      <c r="D39" s="2490"/>
      <c r="E39" s="2490"/>
      <c r="F39" s="2491"/>
      <c r="G39" s="2492"/>
      <c r="H39" s="2492"/>
      <c r="I39" s="2492"/>
    </row>
    <row r="40" spans="2:9" ht="16.5" customHeight="1" x14ac:dyDescent="0.2">
      <c r="B40" s="1443"/>
      <c r="C40" s="2489"/>
      <c r="D40" s="2490"/>
      <c r="E40" s="2490"/>
      <c r="F40" s="2491"/>
      <c r="G40" s="2492"/>
      <c r="H40" s="2492"/>
      <c r="I40" s="2492"/>
    </row>
    <row r="41" spans="2:9" ht="16.5" customHeight="1" x14ac:dyDescent="0.2">
      <c r="B41" s="1443"/>
      <c r="C41" s="2489"/>
      <c r="D41" s="2490"/>
      <c r="E41" s="2490"/>
      <c r="F41" s="2491"/>
      <c r="G41" s="2492"/>
      <c r="H41" s="2492"/>
      <c r="I41" s="2492"/>
    </row>
    <row r="42" spans="2:9" ht="16.5" customHeight="1" x14ac:dyDescent="0.2">
      <c r="B42" s="1443"/>
      <c r="C42" s="2489"/>
      <c r="D42" s="2490"/>
      <c r="E42" s="2490"/>
      <c r="F42" s="2491"/>
      <c r="G42" s="2492"/>
      <c r="H42" s="2492"/>
      <c r="I42" s="2492"/>
    </row>
    <row r="43" spans="2:9" ht="16.5" customHeight="1" x14ac:dyDescent="0.2">
      <c r="B43" s="1443"/>
      <c r="C43" s="2482" t="s">
        <v>1675</v>
      </c>
      <c r="D43" s="2483"/>
      <c r="E43" s="2483"/>
      <c r="F43" s="2484"/>
      <c r="G43" s="2485">
        <f>SUM(G38:I42)</f>
        <v>920703</v>
      </c>
      <c r="H43" s="2485"/>
      <c r="I43" s="2485"/>
    </row>
    <row r="44" spans="2:9" ht="12.75" customHeight="1" x14ac:dyDescent="0.2"/>
    <row r="45" spans="2:9" ht="12.75" customHeight="1" x14ac:dyDescent="0.2">
      <c r="B45" s="1434" t="s">
        <v>1949</v>
      </c>
      <c r="D45" s="2486">
        <v>2014660</v>
      </c>
      <c r="E45" s="2487"/>
    </row>
    <row r="46" spans="2:9" ht="5.25" customHeight="1" x14ac:dyDescent="0.2">
      <c r="B46" s="1444"/>
      <c r="D46" s="1445"/>
      <c r="E46" s="1446"/>
    </row>
    <row r="47" spans="2:9" ht="12.75" customHeight="1" x14ac:dyDescent="0.2">
      <c r="B47" s="1299" t="s">
        <v>1676</v>
      </c>
      <c r="C47" s="1299"/>
      <c r="D47" s="1447">
        <f>+G43/D45</f>
        <v>0.4570016777024411</v>
      </c>
      <c r="E47" s="1448"/>
      <c r="F47" s="1449"/>
      <c r="I47" s="1450"/>
    </row>
    <row r="48" spans="2:9" ht="9.9499999999999993" customHeight="1" x14ac:dyDescent="0.2"/>
    <row r="49" spans="1:9" x14ac:dyDescent="0.2">
      <c r="B49" s="1367" t="s">
        <v>1335</v>
      </c>
      <c r="C49" s="1281"/>
      <c r="D49" s="1281"/>
      <c r="E49" s="2488">
        <v>750000</v>
      </c>
      <c r="F49" s="2488"/>
      <c r="G49" s="2488"/>
      <c r="H49" s="322"/>
    </row>
    <row r="51" spans="1:9" ht="13.5" customHeight="1" x14ac:dyDescent="0.2">
      <c r="B51" s="1367" t="s">
        <v>1334</v>
      </c>
      <c r="C51" s="1281"/>
      <c r="E51" s="1437"/>
      <c r="F51" s="1299" t="s">
        <v>940</v>
      </c>
      <c r="G51" s="1437" t="s">
        <v>2074</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B10" sqref="B1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6.28515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3" t="str">
        <f>'Single Audit Cover'!A7</f>
        <v>Bensenville SD 2</v>
      </c>
      <c r="C1" s="2493"/>
      <c r="D1" s="2493"/>
      <c r="E1" s="2493"/>
      <c r="F1" s="2493"/>
      <c r="G1" s="2493"/>
      <c r="H1" s="2493"/>
      <c r="I1" s="2493"/>
      <c r="J1" s="2493"/>
      <c r="K1" s="2493"/>
      <c r="L1" s="1373"/>
      <c r="M1" s="1373"/>
    </row>
    <row r="2" spans="1:13" ht="12" customHeight="1" x14ac:dyDescent="0.2">
      <c r="B2" s="2495">
        <f>'Single Audit Cover'!E7</f>
        <v>19022002002</v>
      </c>
      <c r="C2" s="2495"/>
      <c r="D2" s="2495"/>
      <c r="E2" s="2495"/>
      <c r="F2" s="2495"/>
      <c r="G2" s="2495"/>
      <c r="H2" s="2495"/>
      <c r="I2" s="2495"/>
      <c r="J2" s="2495"/>
      <c r="K2" s="2495"/>
      <c r="L2" s="1374"/>
      <c r="M2" s="1375"/>
    </row>
    <row r="3" spans="1:13" ht="10.35" customHeight="1" x14ac:dyDescent="0.2">
      <c r="B3" s="2509" t="s">
        <v>1347</v>
      </c>
      <c r="C3" s="2509"/>
      <c r="D3" s="2509"/>
      <c r="E3" s="2509"/>
      <c r="F3" s="2509"/>
      <c r="G3" s="2509"/>
      <c r="H3" s="2509"/>
      <c r="I3" s="2509"/>
      <c r="J3" s="2509"/>
      <c r="K3" s="2509"/>
      <c r="L3" s="1376"/>
      <c r="M3" s="1376"/>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1950</v>
      </c>
      <c r="D10" s="1385">
        <v>1</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2011</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2145</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t="s">
        <v>2146</v>
      </c>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12" t="s">
        <v>2147</v>
      </c>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t="s">
        <v>2148</v>
      </c>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t="s">
        <v>2149</v>
      </c>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t="s">
        <v>2150</v>
      </c>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07" t="s">
        <v>2151</v>
      </c>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83</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32" sqref="B32:K32"/>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4.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Bensenville SD 2</v>
      </c>
      <c r="C1" s="2516"/>
      <c r="D1" s="2516"/>
      <c r="E1" s="2516"/>
      <c r="F1" s="2516"/>
      <c r="G1" s="2516"/>
      <c r="H1" s="2516"/>
      <c r="I1" s="2516"/>
      <c r="J1" s="2516"/>
      <c r="K1" s="2516"/>
      <c r="L1" s="1464"/>
    </row>
    <row r="2" spans="1:12" ht="12.75" customHeight="1" x14ac:dyDescent="0.2">
      <c r="B2" s="2517">
        <f>'Single Audit Cover'!E7</f>
        <v>19022002002</v>
      </c>
      <c r="C2" s="2517"/>
      <c r="D2" s="2517"/>
      <c r="E2" s="2517"/>
      <c r="F2" s="2517"/>
      <c r="G2" s="2517"/>
      <c r="H2" s="2517"/>
      <c r="I2" s="2517"/>
      <c r="J2" s="2517"/>
      <c r="K2" s="2517"/>
      <c r="L2" s="1465"/>
    </row>
    <row r="3" spans="1:12" ht="12.75" customHeight="1" x14ac:dyDescent="0.2">
      <c r="B3" s="2509" t="s">
        <v>1347</v>
      </c>
      <c r="C3" s="2509"/>
      <c r="D3" s="2509"/>
      <c r="E3" s="2509"/>
      <c r="F3" s="2509"/>
      <c r="G3" s="2509"/>
      <c r="H3" s="2509"/>
      <c r="I3" s="2509"/>
      <c r="J3" s="2509"/>
      <c r="K3" s="2509"/>
      <c r="L3" s="1376"/>
    </row>
    <row r="4" spans="1:12" ht="12.75" customHeight="1" x14ac:dyDescent="0.2">
      <c r="B4" s="2509" t="str">
        <f>'Single Audit Cover'!A4</f>
        <v>Year Ending June 30, 2018</v>
      </c>
      <c r="C4" s="2509"/>
      <c r="D4" s="2509"/>
      <c r="E4" s="2509"/>
      <c r="F4" s="2509"/>
      <c r="G4" s="2509"/>
      <c r="H4" s="2509"/>
      <c r="I4" s="2509"/>
      <c r="J4" s="2509"/>
      <c r="K4" s="2509"/>
      <c r="L4" s="1376"/>
    </row>
    <row r="5" spans="1:12" ht="5.25" customHeight="1" x14ac:dyDescent="0.2">
      <c r="B5" s="1259" t="s">
        <v>1231</v>
      </c>
      <c r="C5" s="1259"/>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1950</v>
      </c>
      <c r="D8" s="1467">
        <v>2</v>
      </c>
      <c r="E8" s="322"/>
      <c r="F8" s="1383" t="s">
        <v>1362</v>
      </c>
      <c r="G8" s="1468"/>
      <c r="H8" s="1469" t="s">
        <v>1374</v>
      </c>
      <c r="I8" s="1468" t="s">
        <v>2074</v>
      </c>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00" t="s">
        <v>2152</v>
      </c>
      <c r="G12" s="2500"/>
      <c r="H12" s="2500"/>
      <c r="I12" s="2500"/>
      <c r="J12" s="2500"/>
      <c r="K12" s="2500"/>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3"/>
      <c r="E14" s="2513"/>
      <c r="F14" s="2513"/>
      <c r="H14" s="1474" t="s">
        <v>1370</v>
      </c>
      <c r="I14" s="2514"/>
      <c r="J14" s="2514"/>
      <c r="K14" s="2514"/>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4"/>
      <c r="E16" s="2514"/>
      <c r="F16" s="2514"/>
      <c r="G16" s="2514"/>
      <c r="H16" s="2514"/>
      <c r="I16" s="2514"/>
      <c r="J16" s="2514"/>
      <c r="K16" s="2514"/>
      <c r="L16" s="322"/>
    </row>
    <row r="17" spans="2:12" ht="13.5" customHeight="1" x14ac:dyDescent="0.2">
      <c r="B17" s="1386" t="s">
        <v>1368</v>
      </c>
      <c r="C17" s="1386"/>
      <c r="D17" s="2515"/>
      <c r="E17" s="2515"/>
      <c r="F17" s="2515"/>
      <c r="G17" s="2515"/>
      <c r="H17" s="2515"/>
      <c r="I17" s="2515"/>
      <c r="J17" s="2515"/>
      <c r="K17" s="2515"/>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8" t="s">
        <v>2153</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508" t="s">
        <v>2154</v>
      </c>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0.75" customHeight="1" x14ac:dyDescent="0.2">
      <c r="B32" s="2508"/>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0" customHeight="1" x14ac:dyDescent="0.2">
      <c r="B35" s="2508"/>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0.75" customHeight="1" x14ac:dyDescent="0.2">
      <c r="B38" s="2508"/>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&amp;C&amp;"Times New Roman,Regular"&amp;11 84</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view="pageLayout" topLeftCell="A25" zoomScaleNormal="110" workbookViewId="0">
      <selection activeCell="C38" sqref="C38"/>
    </sheetView>
  </sheetViews>
  <sheetFormatPr defaultColWidth="9.140625" defaultRowHeight="12.75" x14ac:dyDescent="0.2"/>
  <cols>
    <col min="1" max="1" width="4.7109375" style="317" customWidth="1"/>
    <col min="2" max="2" width="10.5703125" style="317" customWidth="1"/>
    <col min="3" max="3" width="62.85546875" style="317" customWidth="1"/>
    <col min="4" max="4" width="3" style="317" customWidth="1"/>
    <col min="5" max="5" width="18.7109375" style="1257" bestFit="1"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493" t="str">
        <f>'Single Audit Cover'!A7</f>
        <v>Bensenville SD 2</v>
      </c>
      <c r="C1" s="2493"/>
      <c r="D1" s="2493"/>
      <c r="E1" s="2493"/>
      <c r="F1" s="1490"/>
    </row>
    <row r="2" spans="2:6" s="1281" customFormat="1" ht="12.75" customHeight="1" x14ac:dyDescent="0.2">
      <c r="B2" s="2495">
        <f>'Single Audit Cover'!E7</f>
        <v>19022002002</v>
      </c>
      <c r="C2" s="2495"/>
      <c r="D2" s="2495"/>
      <c r="E2" s="2495"/>
      <c r="F2" s="1491"/>
    </row>
    <row r="3" spans="2:6" ht="12.75" customHeight="1" x14ac:dyDescent="0.2">
      <c r="B3" s="2509" t="s">
        <v>1867</v>
      </c>
      <c r="C3" s="2509"/>
      <c r="D3" s="2509"/>
      <c r="E3" s="2509"/>
      <c r="F3" s="1273"/>
    </row>
    <row r="4" spans="2:6" s="1281" customFormat="1" ht="12.75" customHeight="1" x14ac:dyDescent="0.2">
      <c r="B4" s="2519" t="str">
        <f>'Single Audit Cover'!A4</f>
        <v>Year Ending June 30, 2018</v>
      </c>
      <c r="C4" s="2519"/>
      <c r="D4" s="2519"/>
      <c r="E4" s="2519"/>
      <c r="F4" s="1492"/>
    </row>
    <row r="5" spans="2:6" s="1281" customFormat="1" ht="40.15" customHeight="1" x14ac:dyDescent="0.2">
      <c r="B5" s="1493"/>
      <c r="C5" s="328"/>
      <c r="D5" s="328"/>
      <c r="E5" s="1477"/>
      <c r="F5" s="328"/>
    </row>
    <row r="6" spans="2:6" s="1281" customFormat="1" ht="13.5" customHeight="1" x14ac:dyDescent="0.2">
      <c r="B6" s="1494" t="s">
        <v>1382</v>
      </c>
      <c r="C6" s="1494" t="s">
        <v>1381</v>
      </c>
      <c r="D6" s="1494"/>
      <c r="E6" s="1494" t="s">
        <v>1868</v>
      </c>
    </row>
    <row r="7" spans="2:6" ht="13.5" customHeight="1" x14ac:dyDescent="0.2">
      <c r="B7" s="1495"/>
      <c r="C7" s="324"/>
      <c r="D7" s="324"/>
      <c r="E7" s="1960"/>
      <c r="F7" s="324"/>
    </row>
    <row r="8" spans="2:6" ht="25.5" x14ac:dyDescent="0.2">
      <c r="B8" s="1964" t="s">
        <v>2155</v>
      </c>
      <c r="C8" s="1963" t="s">
        <v>2146</v>
      </c>
      <c r="D8" s="324"/>
      <c r="E8" s="1965" t="s">
        <v>2156</v>
      </c>
      <c r="F8" s="324"/>
    </row>
    <row r="9" spans="2:6" ht="13.5" customHeight="1" x14ac:dyDescent="0.2">
      <c r="B9" s="1496"/>
      <c r="C9" s="323"/>
      <c r="D9" s="323"/>
      <c r="E9" s="1961"/>
      <c r="F9" s="323"/>
    </row>
    <row r="10" spans="2:6" ht="25.5" x14ac:dyDescent="0.2">
      <c r="B10" s="1964" t="s">
        <v>2157</v>
      </c>
      <c r="C10" s="1963" t="s">
        <v>2146</v>
      </c>
      <c r="D10" s="323"/>
      <c r="E10" s="1965" t="s">
        <v>2158</v>
      </c>
      <c r="F10" s="323"/>
    </row>
    <row r="11" spans="2:6" ht="13.5" customHeight="1" x14ac:dyDescent="0.2">
      <c r="B11" s="1495"/>
      <c r="C11" s="323"/>
      <c r="D11" s="323"/>
      <c r="E11" s="1961"/>
      <c r="F11" s="323"/>
    </row>
    <row r="12" spans="2:6" ht="13.5" customHeight="1" x14ac:dyDescent="0.2">
      <c r="B12" s="1495"/>
      <c r="C12" s="323"/>
      <c r="D12" s="323"/>
      <c r="E12" s="1961"/>
      <c r="F12" s="323"/>
    </row>
    <row r="13" spans="2:6" ht="13.5" customHeight="1" x14ac:dyDescent="0.2">
      <c r="B13" s="1495"/>
      <c r="C13" s="323"/>
      <c r="D13" s="323"/>
      <c r="E13" s="1961"/>
      <c r="F13" s="323"/>
    </row>
    <row r="14" spans="2:6" ht="13.5" customHeight="1" x14ac:dyDescent="0.2">
      <c r="B14" s="1495"/>
      <c r="C14" s="323"/>
      <c r="D14" s="323"/>
      <c r="E14" s="1961"/>
      <c r="F14" s="323"/>
    </row>
    <row r="15" spans="2:6" ht="13.5" customHeight="1" x14ac:dyDescent="0.2">
      <c r="B15" s="1495"/>
      <c r="C15" s="323"/>
      <c r="D15" s="323"/>
      <c r="E15" s="1961"/>
      <c r="F15" s="323"/>
    </row>
    <row r="16" spans="2:6" ht="13.5" customHeight="1" x14ac:dyDescent="0.2">
      <c r="B16" s="1495"/>
      <c r="C16" s="323"/>
      <c r="D16" s="323"/>
      <c r="E16" s="1961"/>
      <c r="F16" s="323"/>
    </row>
    <row r="17" spans="2:6" ht="13.5" customHeight="1" x14ac:dyDescent="0.2">
      <c r="B17" s="1495"/>
      <c r="C17" s="323"/>
      <c r="D17" s="323"/>
      <c r="E17" s="1961"/>
      <c r="F17" s="323"/>
    </row>
    <row r="18" spans="2:6" ht="13.5" customHeight="1" x14ac:dyDescent="0.2">
      <c r="B18" s="1495"/>
      <c r="C18" s="323"/>
      <c r="D18" s="323"/>
      <c r="E18" s="1961"/>
      <c r="F18" s="323"/>
    </row>
    <row r="19" spans="2:6" ht="13.5" customHeight="1" x14ac:dyDescent="0.2">
      <c r="B19" s="1495"/>
      <c r="C19" s="323"/>
      <c r="D19" s="323"/>
      <c r="E19" s="1961"/>
      <c r="F19" s="323"/>
    </row>
    <row r="20" spans="2:6" ht="13.5" customHeight="1" x14ac:dyDescent="0.2">
      <c r="B20" s="1495"/>
      <c r="C20" s="323"/>
      <c r="D20" s="323"/>
      <c r="E20" s="1961"/>
      <c r="F20" s="323"/>
    </row>
    <row r="21" spans="2:6" ht="13.5" customHeight="1" x14ac:dyDescent="0.2">
      <c r="B21" s="1495"/>
      <c r="C21" s="323"/>
      <c r="D21" s="323"/>
      <c r="E21" s="1961"/>
      <c r="F21" s="323"/>
    </row>
    <row r="22" spans="2:6" ht="13.5" customHeight="1" x14ac:dyDescent="0.2">
      <c r="B22" s="1495"/>
      <c r="C22" s="323"/>
      <c r="D22" s="323"/>
      <c r="E22" s="1961"/>
      <c r="F22" s="323"/>
    </row>
    <row r="23" spans="2:6" ht="13.5" customHeight="1" x14ac:dyDescent="0.2">
      <c r="B23" s="1495"/>
      <c r="C23" s="323"/>
      <c r="D23" s="323"/>
      <c r="E23" s="1961"/>
      <c r="F23" s="323"/>
    </row>
    <row r="24" spans="2:6" ht="13.5" customHeight="1" x14ac:dyDescent="0.2">
      <c r="B24" s="1495"/>
      <c r="C24" s="323"/>
      <c r="D24" s="323"/>
      <c r="E24" s="1961"/>
      <c r="F24" s="323"/>
    </row>
    <row r="25" spans="2:6" ht="13.5" customHeight="1" x14ac:dyDescent="0.2">
      <c r="B25" s="1495"/>
      <c r="C25" s="323"/>
      <c r="D25" s="323"/>
      <c r="E25" s="1961"/>
      <c r="F25" s="323"/>
    </row>
    <row r="26" spans="2:6" ht="13.5" customHeight="1" x14ac:dyDescent="0.2">
      <c r="B26" s="1495"/>
      <c r="C26" s="323"/>
      <c r="D26" s="323"/>
      <c r="E26" s="1961"/>
      <c r="F26" s="323"/>
    </row>
    <row r="27" spans="2:6" ht="13.5" customHeight="1" x14ac:dyDescent="0.2">
      <c r="B27" s="1495"/>
      <c r="C27" s="323"/>
      <c r="D27" s="323"/>
      <c r="E27" s="1961"/>
      <c r="F27" s="323"/>
    </row>
    <row r="28" spans="2:6" ht="13.5" customHeight="1" x14ac:dyDescent="0.2">
      <c r="B28" s="1495"/>
      <c r="C28" s="323"/>
      <c r="D28" s="323"/>
      <c r="E28" s="1961"/>
      <c r="F28" s="323"/>
    </row>
    <row r="29" spans="2:6" ht="13.5" customHeight="1" x14ac:dyDescent="0.2">
      <c r="B29" s="1495"/>
      <c r="C29" s="323"/>
      <c r="D29" s="323"/>
      <c r="E29" s="1961"/>
      <c r="F29" s="323"/>
    </row>
    <row r="30" spans="2:6" ht="13.5" customHeight="1" x14ac:dyDescent="0.2">
      <c r="B30" s="1495"/>
      <c r="C30" s="323"/>
      <c r="D30" s="323"/>
      <c r="E30" s="1961"/>
      <c r="F30" s="323"/>
    </row>
    <row r="31" spans="2:6" ht="13.5" customHeight="1" x14ac:dyDescent="0.2">
      <c r="B31" s="1495"/>
      <c r="C31" s="323"/>
      <c r="D31" s="323"/>
      <c r="E31" s="1961"/>
      <c r="F31" s="323"/>
    </row>
    <row r="32" spans="2:6" ht="13.5" customHeight="1" x14ac:dyDescent="0.2">
      <c r="B32" s="1497"/>
      <c r="C32" s="323"/>
      <c r="D32" s="323"/>
      <c r="E32" s="1961"/>
      <c r="F32" s="323"/>
    </row>
    <row r="33" spans="2:6" ht="13.5" customHeight="1" x14ac:dyDescent="0.2">
      <c r="B33" s="1498"/>
      <c r="C33" s="323"/>
      <c r="D33" s="323"/>
      <c r="E33" s="1961"/>
      <c r="F33" s="323"/>
    </row>
    <row r="34" spans="2:6" ht="13.5" customHeight="1" x14ac:dyDescent="0.2">
      <c r="B34" s="1499"/>
      <c r="C34" s="323"/>
      <c r="D34" s="323"/>
      <c r="E34" s="1961"/>
      <c r="F34" s="323"/>
    </row>
    <row r="35" spans="2:6" ht="13.5" customHeight="1" x14ac:dyDescent="0.2">
      <c r="B35" s="1498"/>
      <c r="C35" s="323"/>
      <c r="D35" s="323"/>
      <c r="E35" s="1961"/>
      <c r="F35" s="323"/>
    </row>
    <row r="36" spans="2:6" ht="13.5" customHeight="1" x14ac:dyDescent="0.2">
      <c r="B36" s="1499"/>
      <c r="C36" s="323"/>
      <c r="D36" s="323"/>
      <c r="E36" s="1961"/>
      <c r="F36" s="323"/>
    </row>
    <row r="37" spans="2:6" ht="13.5" customHeight="1" x14ac:dyDescent="0.2">
      <c r="B37" s="1499"/>
      <c r="C37" s="323"/>
      <c r="D37" s="323"/>
      <c r="E37" s="1961"/>
      <c r="F37" s="323"/>
    </row>
    <row r="38" spans="2:6" ht="13.5" customHeight="1" x14ac:dyDescent="0.2">
      <c r="B38" s="1498"/>
      <c r="C38" s="323"/>
      <c r="D38" s="323"/>
      <c r="E38" s="1961"/>
      <c r="F38" s="323"/>
    </row>
    <row r="39" spans="2:6" ht="13.5" customHeight="1" x14ac:dyDescent="0.2">
      <c r="B39" s="1499"/>
      <c r="C39" s="323"/>
      <c r="D39" s="323"/>
      <c r="E39" s="1961"/>
      <c r="F39" s="323"/>
    </row>
    <row r="40" spans="2:6" ht="13.5" customHeight="1" x14ac:dyDescent="0.2">
      <c r="B40" s="1498"/>
      <c r="C40" s="323"/>
      <c r="D40" s="323"/>
      <c r="E40" s="1961"/>
      <c r="F40" s="323"/>
    </row>
    <row r="41" spans="2:6" ht="13.5" customHeight="1" x14ac:dyDescent="0.2">
      <c r="B41" s="1500"/>
      <c r="C41" s="323"/>
      <c r="D41" s="323"/>
      <c r="E41" s="1961"/>
      <c r="F41" s="323"/>
    </row>
    <row r="42" spans="2:6" ht="13.5" customHeight="1" x14ac:dyDescent="0.2">
      <c r="B42" s="1501"/>
      <c r="C42" s="323"/>
      <c r="D42" s="323"/>
      <c r="E42" s="1961"/>
      <c r="F42" s="323"/>
    </row>
    <row r="43" spans="2:6" ht="12.75" customHeight="1" x14ac:dyDescent="0.2">
      <c r="B43" s="1502"/>
      <c r="C43" s="1503"/>
      <c r="D43" s="1503"/>
      <c r="E43" s="1962"/>
      <c r="F43" s="323"/>
    </row>
    <row r="44" spans="2:6" ht="12.2" customHeight="1" x14ac:dyDescent="0.2">
      <c r="B44" s="1256" t="s">
        <v>1380</v>
      </c>
      <c r="C44" s="322"/>
      <c r="D44" s="322"/>
    </row>
    <row r="45" spans="2:6" ht="12.2" customHeight="1" x14ac:dyDescent="0.2">
      <c r="B45" s="1504" t="s">
        <v>1869</v>
      </c>
    </row>
    <row r="46" spans="2:6" ht="12.2" customHeight="1" x14ac:dyDescent="0.2">
      <c r="B46" s="1504" t="s">
        <v>1870</v>
      </c>
    </row>
    <row r="47" spans="2:6" ht="12.2" customHeight="1" x14ac:dyDescent="0.2">
      <c r="B47" s="1505" t="s">
        <v>1379</v>
      </c>
    </row>
    <row r="48" spans="2:6" ht="12.2" customHeight="1" x14ac:dyDescent="0.2">
      <c r="B48" s="1505" t="s">
        <v>1378</v>
      </c>
    </row>
    <row r="49" spans="2:6" ht="12.2" customHeight="1" x14ac:dyDescent="0.2">
      <c r="B49" s="1505" t="s">
        <v>1377</v>
      </c>
    </row>
    <row r="50" spans="2:6" ht="12.2" customHeight="1" x14ac:dyDescent="0.2">
      <c r="B50" s="1505" t="s">
        <v>1376</v>
      </c>
    </row>
    <row r="53" spans="2:6" ht="12.75" customHeight="1" x14ac:dyDescent="0.2"/>
    <row r="54" spans="2:6" ht="12.75" customHeight="1" x14ac:dyDescent="0.2">
      <c r="B54" s="1266"/>
    </row>
    <row r="55" spans="2:6" ht="12.75" customHeight="1" x14ac:dyDescent="0.2"/>
    <row r="56" spans="2:6" ht="12.75" customHeight="1" x14ac:dyDescent="0.2">
      <c r="B56" s="322"/>
      <c r="C56" s="322"/>
      <c r="D56" s="322"/>
      <c r="E56" s="1382"/>
      <c r="F56" s="322"/>
    </row>
    <row r="57" spans="2:6" ht="12.75" customHeight="1" x14ac:dyDescent="0.2">
      <c r="B57" s="322"/>
      <c r="C57" s="322"/>
      <c r="D57" s="322"/>
      <c r="E57" s="1382"/>
      <c r="F57" s="322"/>
    </row>
    <row r="58" spans="2:6" ht="12.75" customHeight="1" x14ac:dyDescent="0.2">
      <c r="B58" s="322"/>
      <c r="C58" s="322"/>
      <c r="D58" s="322"/>
      <c r="E58" s="1382"/>
      <c r="F58" s="322"/>
    </row>
    <row r="59" spans="2:6" ht="12.75" customHeight="1" x14ac:dyDescent="0.2">
      <c r="B59" s="322"/>
      <c r="C59" s="322"/>
      <c r="D59" s="322"/>
      <c r="E59" s="1382"/>
      <c r="F59" s="322"/>
    </row>
    <row r="60" spans="2:6" ht="12.75" customHeight="1" x14ac:dyDescent="0.2">
      <c r="B60" s="322"/>
      <c r="C60" s="322"/>
      <c r="D60" s="322"/>
      <c r="E60" s="1382"/>
      <c r="F60" s="322"/>
    </row>
    <row r="61" spans="2:6" ht="12.75" customHeight="1" x14ac:dyDescent="0.2">
      <c r="B61" s="322"/>
      <c r="C61" s="322"/>
      <c r="D61" s="322"/>
      <c r="E61" s="1382"/>
      <c r="F61" s="322"/>
    </row>
    <row r="62" spans="2:6" ht="12.75" customHeight="1" x14ac:dyDescent="0.2">
      <c r="B62" s="322"/>
      <c r="C62" s="322"/>
      <c r="D62" s="322"/>
      <c r="E62" s="1382"/>
      <c r="F62" s="322"/>
    </row>
    <row r="63" spans="2:6" ht="12.75" customHeight="1" x14ac:dyDescent="0.2">
      <c r="B63" s="322"/>
      <c r="C63" s="322"/>
      <c r="D63" s="322"/>
      <c r="E63" s="1382"/>
      <c r="F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Footer>&amp;C&amp;"Times New Roman,Regular"&amp;11 85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404</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664994944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2.9015999999999998E-3</v>
      </c>
      <c r="E10" s="356" t="s">
        <v>1062</v>
      </c>
      <c r="F10" s="355">
        <v>5.228E-3</v>
      </c>
      <c r="G10" s="356" t="s">
        <v>1062</v>
      </c>
      <c r="H10" s="355">
        <v>9.7799999999999992E-4</v>
      </c>
      <c r="I10" s="356" t="s">
        <v>1063</v>
      </c>
      <c r="J10" s="1753">
        <f>ROUND(D10+F10+H10,5)</f>
        <v>9.11E-3</v>
      </c>
      <c r="K10" s="222"/>
      <c r="L10" s="355">
        <v>1.2E-5</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33945313</v>
      </c>
      <c r="E16" s="356"/>
      <c r="F16" s="1754">
        <f>SUM('Acct Summary 7-8'!C17,'Acct Summary 7-8'!D17,'Acct Summary 7-8'!F17)</f>
        <v>30880282</v>
      </c>
      <c r="G16" s="356"/>
      <c r="H16" s="1754">
        <f>SUM(D16-F16)</f>
        <v>3065031</v>
      </c>
      <c r="I16" s="222"/>
      <c r="J16" s="1754">
        <f>SUM('Acct Summary 7-8'!C81,'Acct Summary 7-8'!D81,'Acct Summary 7-8'!F81,'Acct Summary 7-8'!I81)</f>
        <v>18628344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2161</v>
      </c>
      <c r="C31" s="367" t="s">
        <v>607</v>
      </c>
      <c r="D31" s="237" t="s">
        <v>1132</v>
      </c>
      <c r="E31" s="222"/>
      <c r="F31" s="222"/>
      <c r="G31" s="363"/>
      <c r="H31" s="1756">
        <f>IF(B31="X",(J7*0.069),IF(B32="X",(J7*0.138),"Enter x in a.or b."))</f>
        <v>45884651.136000007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35721000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577</v>
      </c>
      <c r="B2" s="2136"/>
      <c r="C2" s="2136"/>
      <c r="D2" s="2136"/>
      <c r="E2" s="2136"/>
      <c r="F2" s="2136"/>
      <c r="G2" s="2136"/>
      <c r="H2" s="2136"/>
      <c r="I2" s="2136"/>
      <c r="J2" s="2136"/>
      <c r="K2" s="2136"/>
      <c r="L2" s="2136"/>
      <c r="M2" s="2136"/>
      <c r="N2" s="2136"/>
      <c r="O2" s="2136"/>
      <c r="P2" s="2136"/>
      <c r="Q2" s="2136"/>
      <c r="R2" s="2136"/>
    </row>
    <row r="3" spans="1:18" ht="12.75" x14ac:dyDescent="0.2">
      <c r="A3" s="2137" t="s">
        <v>1480</v>
      </c>
      <c r="B3" s="2137"/>
      <c r="C3" s="2137"/>
      <c r="D3" s="2137"/>
      <c r="E3" s="2137"/>
      <c r="F3" s="2137"/>
      <c r="G3" s="2137"/>
      <c r="H3" s="2137"/>
      <c r="I3" s="2137"/>
      <c r="J3" s="2137"/>
      <c r="K3" s="2137"/>
      <c r="L3" s="2137"/>
      <c r="M3" s="2137"/>
      <c r="N3" s="2137"/>
      <c r="O3" s="2137"/>
      <c r="P3" s="2137"/>
      <c r="Q3" s="2137"/>
      <c r="R3" s="2137"/>
    </row>
    <row r="4" spans="1:18" x14ac:dyDescent="0.2">
      <c r="A4" s="2138" t="s">
        <v>1635</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Bensenville SD 2</v>
      </c>
      <c r="E7" s="391"/>
      <c r="G7" s="252"/>
      <c r="H7" s="387"/>
      <c r="I7" s="387"/>
      <c r="J7" s="387"/>
      <c r="K7" s="387"/>
      <c r="L7" s="329"/>
      <c r="M7" s="329"/>
      <c r="N7" s="329"/>
      <c r="O7" s="329"/>
      <c r="P7" s="329"/>
    </row>
    <row r="8" spans="1:18" ht="12.75" x14ac:dyDescent="0.2">
      <c r="A8" s="329"/>
      <c r="B8" s="329"/>
      <c r="C8" s="389" t="s">
        <v>1187</v>
      </c>
      <c r="D8" s="392">
        <f>COVER!A13</f>
        <v>19022002002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18628344</v>
      </c>
      <c r="I12" s="404"/>
      <c r="J12" s="404"/>
      <c r="K12" s="405">
        <f>TRUNC((H12/H13*100000),5)/100000</f>
        <v>0.61795158669999994</v>
      </c>
      <c r="L12" s="406"/>
      <c r="M12" s="360" t="s">
        <v>1206</v>
      </c>
      <c r="N12" s="360"/>
      <c r="O12" s="407">
        <v>0.35</v>
      </c>
      <c r="P12" s="218"/>
      <c r="Q12" s="218"/>
    </row>
    <row r="13" spans="1:18" s="408" customFormat="1" ht="12.75" x14ac:dyDescent="0.2">
      <c r="A13" s="218"/>
      <c r="B13" s="401"/>
      <c r="C13" s="2134" t="s">
        <v>1391</v>
      </c>
      <c r="D13" s="2135"/>
      <c r="E13" s="218"/>
      <c r="F13" s="409" t="s">
        <v>826</v>
      </c>
      <c r="G13" s="402"/>
      <c r="H13" s="403">
        <f>SUM('Acct Summary 7-8'!C8+'Acct Summary 7-8'!D8+'Acct Summary 7-8'!F8+'Acct Summary 7-8'!I8)+H14</f>
        <v>30145313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-3800000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30880282</v>
      </c>
      <c r="I17" s="404"/>
      <c r="J17" s="416"/>
      <c r="K17" s="405">
        <f>TRUNC((H17/H18*100000),5)/100000</f>
        <v>1.0243808714</v>
      </c>
      <c r="L17" s="406"/>
      <c r="M17" s="417" t="s">
        <v>1233</v>
      </c>
      <c r="O17" s="418" t="str">
        <f>IF(AND(O16="2", J20 &gt; 2),"1",IF(AND(O16 = "1", J20 &gt; 2),"2",IF(AND(O16="1", J20 &gt;1),"1","0")))</f>
        <v>0</v>
      </c>
      <c r="P17" s="218"/>
    </row>
    <row r="18" spans="1:18" s="408" customFormat="1" ht="11.25" x14ac:dyDescent="0.2">
      <c r="A18" s="218"/>
      <c r="B18" s="401"/>
      <c r="C18" s="2134" t="s">
        <v>1384</v>
      </c>
      <c r="D18" s="2135"/>
      <c r="E18" s="218"/>
      <c r="F18" s="419" t="s">
        <v>827</v>
      </c>
      <c r="G18" s="402"/>
      <c r="H18" s="403">
        <f>SUM('Acct Summary 7-8'!C8+'Acct Summary 7-8'!D8+'Acct Summary 7-8'!F8+'Acct Summary 7-8'!I8)+H19</f>
        <v>30145313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-3800000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21.244178600000001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1" t="s">
        <v>1479</v>
      </c>
      <c r="D24" s="2131"/>
      <c r="E24" s="218"/>
      <c r="F24" s="218" t="s">
        <v>465</v>
      </c>
      <c r="G24" s="402"/>
      <c r="H24" s="403">
        <f>SUM('Assets-Liab 5-6'!C4+'Assets-Liab 5-6'!D4+'Assets-Liab 5-6'!F4+'Assets-Liab 5-6'!I4+'Assets-Liab 5-6'!C5+'Assets-Liab 5-6'!D5+'Assets-Liab 5-6'!F5+'Assets-Liab 5-6'!I5)</f>
        <v>18628344</v>
      </c>
      <c r="I24" s="422"/>
      <c r="J24" s="422"/>
      <c r="K24" s="423">
        <f>TRUNC(((H24/H25*100000)/100000),2)</f>
        <v>217.16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85778.561109999995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5149388.3488600003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35721000</v>
      </c>
      <c r="I32" s="420"/>
      <c r="J32" s="420"/>
      <c r="K32" s="423">
        <f>TRUNC(100-((((H32/H33*100))*100)/100),2)</f>
        <v>22.15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45884651.136000007</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1" t="s">
        <v>1030</v>
      </c>
      <c r="B3" s="2142"/>
      <c r="C3" s="1580"/>
      <c r="D3" s="1581"/>
      <c r="E3" s="1581"/>
      <c r="F3" s="1581"/>
      <c r="G3" s="1581"/>
      <c r="H3" s="1581"/>
      <c r="I3" s="1581"/>
      <c r="J3" s="1581"/>
      <c r="K3" s="1581"/>
      <c r="L3" s="1581"/>
      <c r="M3" s="1582"/>
      <c r="N3" s="1583"/>
    </row>
    <row r="4" spans="1:14" ht="13.5" customHeight="1" x14ac:dyDescent="0.2">
      <c r="A4" s="463" t="s">
        <v>1750</v>
      </c>
      <c r="B4" s="464"/>
      <c r="C4" s="465">
        <v>15103355</v>
      </c>
      <c r="D4" s="466">
        <v>1602119</v>
      </c>
      <c r="E4" s="466">
        <v>4293480</v>
      </c>
      <c r="F4" s="466">
        <v>1401880</v>
      </c>
      <c r="G4" s="466">
        <v>195262</v>
      </c>
      <c r="H4" s="466"/>
      <c r="I4" s="466">
        <v>520990</v>
      </c>
      <c r="J4" s="467">
        <v>170040</v>
      </c>
      <c r="K4" s="466">
        <v>1379</v>
      </c>
      <c r="L4" s="466">
        <v>29597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15103355</v>
      </c>
      <c r="D13" s="1758">
        <f t="shared" ref="D13:L13" si="0">SUM(D4:D12)</f>
        <v>1602119</v>
      </c>
      <c r="E13" s="1758">
        <f t="shared" si="0"/>
        <v>4293480</v>
      </c>
      <c r="F13" s="1758">
        <f t="shared" si="0"/>
        <v>1401880</v>
      </c>
      <c r="G13" s="1758">
        <f t="shared" si="0"/>
        <v>195262</v>
      </c>
      <c r="H13" s="1758">
        <f t="shared" si="0"/>
        <v>0</v>
      </c>
      <c r="I13" s="1758">
        <f t="shared" si="0"/>
        <v>520990</v>
      </c>
      <c r="J13" s="1758">
        <f t="shared" si="0"/>
        <v>170040</v>
      </c>
      <c r="K13" s="1758">
        <f t="shared" si="0"/>
        <v>1379</v>
      </c>
      <c r="L13" s="1758">
        <f t="shared" si="0"/>
        <v>29597</v>
      </c>
      <c r="M13" s="468"/>
      <c r="N13" s="469"/>
    </row>
    <row r="14" spans="1:14" ht="18" customHeight="1" thickTop="1" x14ac:dyDescent="0.2">
      <c r="A14" s="2143" t="s">
        <v>149</v>
      </c>
      <c r="B14" s="214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535904</v>
      </c>
      <c r="N16" s="484"/>
    </row>
    <row r="17" spans="1:14" s="485" customFormat="1" ht="12.75" customHeight="1" x14ac:dyDescent="0.2">
      <c r="A17" s="482" t="s">
        <v>1470</v>
      </c>
      <c r="B17" s="483">
        <v>230</v>
      </c>
      <c r="C17" s="477"/>
      <c r="D17" s="477"/>
      <c r="E17" s="477"/>
      <c r="F17" s="477"/>
      <c r="G17" s="477"/>
      <c r="H17" s="477"/>
      <c r="I17" s="477"/>
      <c r="J17" s="477"/>
      <c r="K17" s="477"/>
      <c r="L17" s="477"/>
      <c r="M17" s="467">
        <v>86227944</v>
      </c>
      <c r="N17" s="484"/>
    </row>
    <row r="18" spans="1:14" s="485" customFormat="1" ht="12.75" customHeight="1" x14ac:dyDescent="0.2">
      <c r="A18" s="482" t="s">
        <v>1471</v>
      </c>
      <c r="B18" s="483">
        <v>240</v>
      </c>
      <c r="C18" s="477"/>
      <c r="D18" s="477"/>
      <c r="E18" s="477"/>
      <c r="F18" s="477"/>
      <c r="G18" s="477"/>
      <c r="H18" s="477"/>
      <c r="I18" s="477"/>
      <c r="J18" s="477"/>
      <c r="K18" s="477"/>
      <c r="L18" s="477"/>
      <c r="M18" s="467">
        <v>1194524</v>
      </c>
      <c r="N18" s="484"/>
    </row>
    <row r="19" spans="1:14" s="485" customFormat="1" ht="12.75" customHeight="1" x14ac:dyDescent="0.2">
      <c r="A19" s="482" t="s">
        <v>1472</v>
      </c>
      <c r="B19" s="483">
        <v>250</v>
      </c>
      <c r="C19" s="477"/>
      <c r="D19" s="477"/>
      <c r="E19" s="477"/>
      <c r="F19" s="477"/>
      <c r="G19" s="477"/>
      <c r="H19" s="477"/>
      <c r="I19" s="477"/>
      <c r="J19" s="477"/>
      <c r="K19" s="477"/>
      <c r="L19" s="477"/>
      <c r="M19" s="467">
        <v>6583312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4293480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31427520</v>
      </c>
    </row>
    <row r="23" spans="1:14" ht="13.5" customHeight="1" thickBot="1" x14ac:dyDescent="0.25">
      <c r="A23" s="1757" t="s">
        <v>664</v>
      </c>
      <c r="B23" s="1762"/>
      <c r="C23" s="468"/>
      <c r="D23" s="468"/>
      <c r="E23" s="468"/>
      <c r="F23" s="468"/>
      <c r="G23" s="468"/>
      <c r="H23" s="468"/>
      <c r="I23" s="468"/>
      <c r="J23" s="468"/>
      <c r="K23" s="468"/>
      <c r="L23" s="468"/>
      <c r="M23" s="1709">
        <f>SUM(M15:M22)</f>
        <v>94541684</v>
      </c>
      <c r="N23" s="1709">
        <f>SUM(N21:N22)</f>
        <v>35721000</v>
      </c>
    </row>
    <row r="24" spans="1:14" ht="18" customHeight="1" thickTop="1" x14ac:dyDescent="0.2">
      <c r="A24" s="2145" t="s">
        <v>619</v>
      </c>
      <c r="B24" s="2146"/>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29597</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29597</v>
      </c>
      <c r="M34" s="468"/>
      <c r="N34" s="480"/>
    </row>
    <row r="35" spans="1:14" ht="18" customHeight="1" thickTop="1" x14ac:dyDescent="0.2">
      <c r="A35" s="2147" t="s">
        <v>550</v>
      </c>
      <c r="B35" s="214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35721000</v>
      </c>
    </row>
    <row r="37" spans="1:14" ht="13.5" thickBot="1" x14ac:dyDescent="0.25">
      <c r="A37" s="1757" t="s">
        <v>674</v>
      </c>
      <c r="B37" s="1762"/>
      <c r="C37" s="477"/>
      <c r="D37" s="477"/>
      <c r="E37" s="477"/>
      <c r="F37" s="477"/>
      <c r="G37" s="477"/>
      <c r="H37" s="477"/>
      <c r="I37" s="477"/>
      <c r="J37" s="477"/>
      <c r="K37" s="477"/>
      <c r="L37" s="480"/>
      <c r="M37" s="468"/>
      <c r="N37" s="1709">
        <f>SUM(N36:N36)</f>
        <v>35721000</v>
      </c>
    </row>
    <row r="38" spans="1:14" s="329" customFormat="1" ht="13.5" customHeight="1" thickTop="1" x14ac:dyDescent="0.2">
      <c r="A38" s="496" t="s">
        <v>440</v>
      </c>
      <c r="B38" s="483">
        <v>714</v>
      </c>
      <c r="C38" s="466"/>
      <c r="D38" s="466">
        <v>1602119</v>
      </c>
      <c r="E38" s="466">
        <v>4293480</v>
      </c>
      <c r="F38" s="466">
        <v>1401880</v>
      </c>
      <c r="G38" s="466">
        <v>195262</v>
      </c>
      <c r="H38" s="466"/>
      <c r="I38" s="466">
        <v>520990</v>
      </c>
      <c r="J38" s="467">
        <v>170040</v>
      </c>
      <c r="K38" s="466">
        <v>1379</v>
      </c>
      <c r="L38" s="481"/>
      <c r="M38" s="497"/>
      <c r="N38" s="497"/>
    </row>
    <row r="39" spans="1:14" s="329" customFormat="1" ht="13.5" customHeight="1" x14ac:dyDescent="0.2">
      <c r="A39" s="496" t="s">
        <v>360</v>
      </c>
      <c r="B39" s="483">
        <v>730</v>
      </c>
      <c r="C39" s="466">
        <v>15103355</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94541684</v>
      </c>
      <c r="N40" s="497"/>
    </row>
    <row r="41" spans="1:14" ht="13.5" customHeight="1" thickBot="1" x14ac:dyDescent="0.25">
      <c r="A41" s="1757" t="s">
        <v>676</v>
      </c>
      <c r="B41" s="1727"/>
      <c r="C41" s="1709">
        <f>(SUM(C34,C37,C38,C39))</f>
        <v>15103355</v>
      </c>
      <c r="D41" s="1709">
        <f t="shared" ref="D41:L41" si="2">SUM(D34,D37,D38:D39)</f>
        <v>1602119</v>
      </c>
      <c r="E41" s="1709">
        <f t="shared" si="2"/>
        <v>4293480</v>
      </c>
      <c r="F41" s="1709">
        <f t="shared" si="2"/>
        <v>1401880</v>
      </c>
      <c r="G41" s="1709">
        <f t="shared" si="2"/>
        <v>195262</v>
      </c>
      <c r="H41" s="1709">
        <f t="shared" si="2"/>
        <v>0</v>
      </c>
      <c r="I41" s="1709">
        <f t="shared" si="2"/>
        <v>520990</v>
      </c>
      <c r="J41" s="1709">
        <f t="shared" si="2"/>
        <v>170040</v>
      </c>
      <c r="K41" s="1709">
        <f t="shared" si="2"/>
        <v>1379</v>
      </c>
      <c r="L41" s="1709">
        <f t="shared" si="2"/>
        <v>29597</v>
      </c>
      <c r="M41" s="1709">
        <f>SUM(M40)</f>
        <v>94541684</v>
      </c>
      <c r="N41" s="1709">
        <f>SUM(N37)</f>
        <v>35721000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D44" sqref="D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9" t="s">
        <v>1237</v>
      </c>
      <c r="B3" s="2170"/>
      <c r="C3" s="1594"/>
      <c r="D3" s="1595"/>
      <c r="E3" s="1595"/>
      <c r="F3" s="1595"/>
      <c r="G3" s="1595"/>
      <c r="H3" s="1595"/>
      <c r="I3" s="1595"/>
      <c r="J3" s="1595"/>
      <c r="K3" s="1596"/>
      <c r="L3" s="506"/>
    </row>
    <row r="4" spans="1:13" ht="15.75" customHeight="1" x14ac:dyDescent="0.2">
      <c r="A4" s="1952" t="s">
        <v>1579</v>
      </c>
      <c r="B4" s="1953">
        <v>1000</v>
      </c>
      <c r="C4" s="1763">
        <f>'Revenues 9-14'!C109</f>
        <v>22920337</v>
      </c>
      <c r="D4" s="1763">
        <f>'Revenues 9-14'!D109</f>
        <v>4112038</v>
      </c>
      <c r="E4" s="1763">
        <f>'Revenues 9-14'!E109</f>
        <v>608655</v>
      </c>
      <c r="F4" s="1763">
        <f>'Revenues 9-14'!F109</f>
        <v>624636</v>
      </c>
      <c r="G4" s="1763">
        <f>'Revenues 9-14'!G109</f>
        <v>727900</v>
      </c>
      <c r="H4" s="1763">
        <f>'Revenues 9-14'!H109</f>
        <v>0</v>
      </c>
      <c r="I4" s="1763">
        <f>'Revenues 9-14'!I109</f>
        <v>9849</v>
      </c>
      <c r="J4" s="1763">
        <f>'Revenues 9-14'!J109</f>
        <v>219736</v>
      </c>
      <c r="K4" s="1763">
        <f>'Revenues 9-14'!K109</f>
        <v>3</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3649794</v>
      </c>
      <c r="D6" s="1764">
        <f>'Revenues 9-14'!D173</f>
        <v>0</v>
      </c>
      <c r="E6" s="1764">
        <f>'Revenues 9-14'!E173</f>
        <v>2106118</v>
      </c>
      <c r="F6" s="1764">
        <f>'Revenues 9-14'!F173</f>
        <v>578142</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2050517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28620648</v>
      </c>
      <c r="D8" s="1709">
        <f t="shared" ref="D8:K8" si="0">SUM(D4:D7)</f>
        <v>4112038</v>
      </c>
      <c r="E8" s="1709">
        <f t="shared" si="0"/>
        <v>2714773</v>
      </c>
      <c r="F8" s="1709">
        <f t="shared" si="0"/>
        <v>1202778</v>
      </c>
      <c r="G8" s="1709">
        <f t="shared" si="0"/>
        <v>727900</v>
      </c>
      <c r="H8" s="1709">
        <f t="shared" si="0"/>
        <v>0</v>
      </c>
      <c r="I8" s="1709">
        <f t="shared" si="0"/>
        <v>9849</v>
      </c>
      <c r="J8" s="1709">
        <f t="shared" si="0"/>
        <v>219736</v>
      </c>
      <c r="K8" s="1709">
        <f t="shared" si="0"/>
        <v>3</v>
      </c>
      <c r="L8" s="347"/>
    </row>
    <row r="9" spans="1:13" ht="15.75" thickTop="1" x14ac:dyDescent="0.2">
      <c r="A9" s="514" t="s">
        <v>1752</v>
      </c>
      <c r="B9" s="515">
        <v>3998</v>
      </c>
      <c r="C9" s="481">
        <v>6087329</v>
      </c>
      <c r="D9" s="516"/>
      <c r="E9" s="481"/>
      <c r="F9" s="481"/>
      <c r="G9" s="517"/>
      <c r="H9" s="481"/>
      <c r="I9" s="509" t="s">
        <v>1231</v>
      </c>
      <c r="J9" s="478"/>
      <c r="K9" s="481"/>
      <c r="L9" s="347"/>
    </row>
    <row r="10" spans="1:13" s="519" customFormat="1" ht="13.5" thickBot="1" x14ac:dyDescent="0.25">
      <c r="A10" s="1757" t="s">
        <v>1235</v>
      </c>
      <c r="B10" s="1730"/>
      <c r="C10" s="1709">
        <f>SUM(C8:C9)</f>
        <v>34707977</v>
      </c>
      <c r="D10" s="1709">
        <f t="shared" ref="D10:K10" si="1">SUM(D8:D9)</f>
        <v>4112038</v>
      </c>
      <c r="E10" s="1709">
        <f t="shared" si="1"/>
        <v>2714773</v>
      </c>
      <c r="F10" s="1709">
        <f t="shared" si="1"/>
        <v>1202778</v>
      </c>
      <c r="G10" s="1709">
        <f t="shared" si="1"/>
        <v>727900</v>
      </c>
      <c r="H10" s="1709">
        <f t="shared" si="1"/>
        <v>0</v>
      </c>
      <c r="I10" s="1709">
        <f t="shared" si="1"/>
        <v>9849</v>
      </c>
      <c r="J10" s="1709">
        <f t="shared" si="1"/>
        <v>219736</v>
      </c>
      <c r="K10" s="1709">
        <f t="shared" si="1"/>
        <v>3</v>
      </c>
      <c r="L10" s="518"/>
    </row>
    <row r="11" spans="1:13" s="519" customFormat="1" ht="16.7" customHeight="1" thickTop="1" x14ac:dyDescent="0.2">
      <c r="A11" s="2143" t="s">
        <v>1238</v>
      </c>
      <c r="B11" s="2144"/>
      <c r="C11" s="1591"/>
      <c r="D11" s="1592"/>
      <c r="E11" s="1592"/>
      <c r="F11" s="1592"/>
      <c r="G11" s="1592"/>
      <c r="H11" s="1592"/>
      <c r="I11" s="1592"/>
      <c r="J11" s="1592"/>
      <c r="K11" s="1593"/>
      <c r="L11" s="518"/>
    </row>
    <row r="12" spans="1:13" ht="15.75" customHeight="1" x14ac:dyDescent="0.2">
      <c r="A12" s="1597" t="s">
        <v>476</v>
      </c>
      <c r="B12" s="1599">
        <v>1000</v>
      </c>
      <c r="C12" s="1763">
        <f>'Expenditures 15-22'!K33</f>
        <v>17453920</v>
      </c>
      <c r="D12" s="520" t="s">
        <v>1231</v>
      </c>
      <c r="E12" s="468" t="s">
        <v>1231</v>
      </c>
      <c r="F12" s="468" t="s">
        <v>1231</v>
      </c>
      <c r="G12" s="1763">
        <f>'Expenditures 15-22'!K229</f>
        <v>281030</v>
      </c>
      <c r="H12" s="521"/>
      <c r="I12" s="468" t="s">
        <v>1231</v>
      </c>
      <c r="J12" s="468" t="s">
        <v>1231</v>
      </c>
      <c r="K12" s="521" t="s">
        <v>1231</v>
      </c>
      <c r="L12" s="347"/>
    </row>
    <row r="13" spans="1:13" ht="15.75" customHeight="1" x14ac:dyDescent="0.2">
      <c r="A13" s="1597" t="s">
        <v>477</v>
      </c>
      <c r="B13" s="1599">
        <v>2000</v>
      </c>
      <c r="C13" s="1764">
        <f>'Expenditures 15-22'!K74</f>
        <v>6570698</v>
      </c>
      <c r="D13" s="1764">
        <f>'Expenditures 15-22'!K129</f>
        <v>3643859</v>
      </c>
      <c r="E13" s="469" t="s">
        <v>1231</v>
      </c>
      <c r="F13" s="1764">
        <f>'Expenditures 15-22'!K184</f>
        <v>1141005</v>
      </c>
      <c r="G13" s="1764">
        <f>'Expenditures 15-22'!K279</f>
        <v>366866</v>
      </c>
      <c r="H13" s="1764">
        <f>'Expenditures 15-22'!K303</f>
        <v>0</v>
      </c>
      <c r="I13" s="468" t="s">
        <v>1231</v>
      </c>
      <c r="J13" s="1764">
        <f>'Expenditures 15-22'!K330</f>
        <v>225442</v>
      </c>
      <c r="K13" s="1768">
        <f>'Expenditures 15-22'!K352</f>
        <v>0</v>
      </c>
      <c r="L13" s="347"/>
    </row>
    <row r="14" spans="1:13" ht="15.75" customHeight="1" x14ac:dyDescent="0.2">
      <c r="A14" s="1597" t="s">
        <v>469</v>
      </c>
      <c r="B14" s="1599">
        <v>3000</v>
      </c>
      <c r="C14" s="1764">
        <f>'Expenditures 15-22'!K75</f>
        <v>374955</v>
      </c>
      <c r="D14" s="1764">
        <f>'Expenditures 15-22'!K130</f>
        <v>2685</v>
      </c>
      <c r="E14" s="520" t="s">
        <v>1231</v>
      </c>
      <c r="F14" s="1764">
        <f>'Expenditures 15-22'!K185</f>
        <v>0</v>
      </c>
      <c r="G14" s="1764">
        <f>'Expenditures 15-22'!K280</f>
        <v>28379</v>
      </c>
      <c r="H14" s="512"/>
      <c r="I14" s="468" t="s">
        <v>1231</v>
      </c>
      <c r="J14" s="468" t="s">
        <v>1231</v>
      </c>
      <c r="K14" s="512" t="s">
        <v>1231</v>
      </c>
      <c r="L14" s="347"/>
    </row>
    <row r="15" spans="1:13" ht="15.75" customHeight="1" x14ac:dyDescent="0.2">
      <c r="A15" s="1597" t="s">
        <v>109</v>
      </c>
      <c r="B15" s="1599">
        <v>4000</v>
      </c>
      <c r="C15" s="1764">
        <f>'Expenditures 15-22'!K102</f>
        <v>1693160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3049319</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26092733</v>
      </c>
      <c r="D17" s="1709">
        <f t="shared" si="2"/>
        <v>3646544</v>
      </c>
      <c r="E17" s="1709">
        <f t="shared" si="2"/>
        <v>3049319</v>
      </c>
      <c r="F17" s="1709">
        <f t="shared" si="2"/>
        <v>1141005</v>
      </c>
      <c r="G17" s="1709">
        <f t="shared" si="2"/>
        <v>676275</v>
      </c>
      <c r="H17" s="1709">
        <f t="shared" si="2"/>
        <v>0</v>
      </c>
      <c r="I17" s="468"/>
      <c r="J17" s="1709">
        <f>SUM(J12:J16)</f>
        <v>225442</v>
      </c>
      <c r="K17" s="1709">
        <f>SUM(K12:K16)</f>
        <v>0</v>
      </c>
      <c r="L17" s="347"/>
    </row>
    <row r="18" spans="1:12" ht="15" customHeight="1" thickTop="1" x14ac:dyDescent="0.2">
      <c r="A18" s="1765" t="s">
        <v>1753</v>
      </c>
      <c r="B18" s="1766">
        <v>4180</v>
      </c>
      <c r="C18" s="1763">
        <f t="shared" ref="C18:H18" si="3">C9</f>
        <v>6087329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32180062</v>
      </c>
      <c r="D19" s="1709">
        <f t="shared" si="4"/>
        <v>3646544</v>
      </c>
      <c r="E19" s="1709">
        <f t="shared" si="4"/>
        <v>3049319</v>
      </c>
      <c r="F19" s="1709">
        <f t="shared" si="4"/>
        <v>1141005</v>
      </c>
      <c r="G19" s="1709">
        <f t="shared" si="4"/>
        <v>676275</v>
      </c>
      <c r="H19" s="1709">
        <f t="shared" si="4"/>
        <v>0</v>
      </c>
      <c r="I19" s="468"/>
      <c r="J19" s="1709">
        <f>SUM(J17:J18)</f>
        <v>225442</v>
      </c>
      <c r="K19" s="1709">
        <f>SUM(K17:K18)</f>
        <v>0</v>
      </c>
      <c r="L19" s="347"/>
    </row>
    <row r="20" spans="1:12" ht="16.5" thickTop="1" thickBot="1" x14ac:dyDescent="0.25">
      <c r="A20" s="2159" t="s">
        <v>1754</v>
      </c>
      <c r="B20" s="2160"/>
      <c r="C20" s="1767">
        <f>C8-C17</f>
        <v>2527915</v>
      </c>
      <c r="D20" s="1767">
        <f t="shared" ref="D20:K20" si="5">D8-D17</f>
        <v>465494</v>
      </c>
      <c r="E20" s="1767">
        <f t="shared" si="5"/>
        <v>-334546</v>
      </c>
      <c r="F20" s="1767">
        <f t="shared" si="5"/>
        <v>61773</v>
      </c>
      <c r="G20" s="1767">
        <f t="shared" si="5"/>
        <v>51625</v>
      </c>
      <c r="H20" s="1767">
        <f t="shared" si="5"/>
        <v>0</v>
      </c>
      <c r="I20" s="1767">
        <f t="shared" si="5"/>
        <v>9849</v>
      </c>
      <c r="J20" s="1767">
        <f t="shared" si="5"/>
        <v>-5706</v>
      </c>
      <c r="K20" s="1767">
        <f t="shared" si="5"/>
        <v>3</v>
      </c>
      <c r="L20" s="347"/>
    </row>
    <row r="21" spans="1:12" ht="16.7" customHeight="1" thickTop="1" x14ac:dyDescent="0.2">
      <c r="A21" s="2171" t="s">
        <v>616</v>
      </c>
      <c r="B21" s="2172"/>
      <c r="C21" s="1591"/>
      <c r="D21" s="1592"/>
      <c r="E21" s="1592"/>
      <c r="F21" s="1592"/>
      <c r="G21" s="1592"/>
      <c r="H21" s="1592"/>
      <c r="I21" s="1592"/>
      <c r="J21" s="1592"/>
      <c r="K21" s="1593"/>
      <c r="L21" s="524"/>
    </row>
    <row r="22" spans="1:12" ht="15.75" customHeight="1" collapsed="1" x14ac:dyDescent="0.2">
      <c r="A22" s="2167" t="s">
        <v>617</v>
      </c>
      <c r="B22" s="2168"/>
      <c r="C22" s="477"/>
      <c r="D22" s="477"/>
      <c r="E22" s="477"/>
      <c r="F22" s="477"/>
      <c r="G22" s="477"/>
      <c r="H22" s="477"/>
      <c r="I22" s="477"/>
      <c r="J22" s="477"/>
      <c r="K22" s="477"/>
      <c r="L22" s="347"/>
    </row>
    <row r="23" spans="1:12" s="485" customFormat="1" ht="15.75" customHeight="1" x14ac:dyDescent="0.2">
      <c r="A23" s="2163" t="s">
        <v>311</v>
      </c>
      <c r="B23" s="216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65" t="s">
        <v>1038</v>
      </c>
      <c r="B32" s="2166"/>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3800000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v>3800000</v>
      </c>
      <c r="E43" s="467">
        <v>287533</v>
      </c>
      <c r="F43" s="467"/>
      <c r="G43" s="467"/>
      <c r="H43" s="467"/>
      <c r="I43" s="467"/>
      <c r="J43" s="467"/>
      <c r="K43" s="467"/>
      <c r="L43" s="524"/>
    </row>
    <row r="44" spans="1:12" s="485" customFormat="1" ht="13.5" customHeight="1" thickBot="1" x14ac:dyDescent="0.25">
      <c r="A44" s="2173" t="s">
        <v>392</v>
      </c>
      <c r="B44" s="2174"/>
      <c r="C44" s="1724">
        <f>SUM(C24:C43)</f>
        <v>0</v>
      </c>
      <c r="D44" s="1724">
        <f t="shared" ref="D44:K44" si="6">SUM(D24:D43)</f>
        <v>3800000</v>
      </c>
      <c r="E44" s="1724">
        <f t="shared" si="6"/>
        <v>4087533</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7" t="s">
        <v>110</v>
      </c>
      <c r="B45" s="2168"/>
      <c r="C45" s="528"/>
      <c r="D45" s="528"/>
      <c r="E45" s="528"/>
      <c r="F45" s="528"/>
      <c r="G45" s="528"/>
      <c r="H45" s="528"/>
      <c r="I45" s="528"/>
      <c r="J45" s="528"/>
      <c r="K45" s="528"/>
      <c r="L45" s="347"/>
    </row>
    <row r="46" spans="1:12" s="485" customFormat="1" ht="15.75" customHeight="1" x14ac:dyDescent="0.2">
      <c r="A46" s="2175" t="s">
        <v>111</v>
      </c>
      <c r="B46" s="2176"/>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v>3800000</v>
      </c>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v>3800000</v>
      </c>
      <c r="D75" s="531">
        <v>287533</v>
      </c>
      <c r="E75" s="530"/>
      <c r="F75" s="532"/>
      <c r="G75" s="532"/>
      <c r="H75" s="532"/>
      <c r="I75" s="530"/>
      <c r="J75" s="530"/>
      <c r="K75" s="532"/>
      <c r="L75" s="524"/>
    </row>
    <row r="76" spans="1:12" s="485" customFormat="1" ht="14.25" thickTop="1" thickBot="1" x14ac:dyDescent="0.25">
      <c r="A76" s="2149" t="s">
        <v>460</v>
      </c>
      <c r="B76" s="2150"/>
      <c r="C76" s="1724">
        <f t="shared" ref="C76:K76" si="7">SUM(C47:C75)</f>
        <v>3800000</v>
      </c>
      <c r="D76" s="1724">
        <f t="shared" si="7"/>
        <v>4087533</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51" t="s">
        <v>1239</v>
      </c>
      <c r="B77" s="2152"/>
      <c r="C77" s="1724">
        <f t="shared" ref="C77:K77" si="8">C44-C76</f>
        <v>-3800000</v>
      </c>
      <c r="D77" s="1724">
        <f t="shared" si="8"/>
        <v>-287533</v>
      </c>
      <c r="E77" s="1724">
        <f t="shared" si="8"/>
        <v>4087533</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55" t="s">
        <v>618</v>
      </c>
      <c r="B78" s="2156"/>
      <c r="C78" s="1723">
        <f t="shared" ref="C78:K78" si="9">C20+C77</f>
        <v>-1272085</v>
      </c>
      <c r="D78" s="1723">
        <f t="shared" si="9"/>
        <v>177961</v>
      </c>
      <c r="E78" s="1723">
        <f t="shared" si="9"/>
        <v>3752987</v>
      </c>
      <c r="F78" s="1723">
        <f t="shared" si="9"/>
        <v>61773</v>
      </c>
      <c r="G78" s="1723">
        <f t="shared" si="9"/>
        <v>51625</v>
      </c>
      <c r="H78" s="1723">
        <f t="shared" si="9"/>
        <v>0</v>
      </c>
      <c r="I78" s="1723">
        <f t="shared" si="9"/>
        <v>9849</v>
      </c>
      <c r="J78" s="1723">
        <f t="shared" si="9"/>
        <v>-5706</v>
      </c>
      <c r="K78" s="1723">
        <f t="shared" si="9"/>
        <v>3</v>
      </c>
      <c r="L78" s="533"/>
    </row>
    <row r="79" spans="1:12" ht="13.5" thickTop="1" x14ac:dyDescent="0.2">
      <c r="A79" s="1515" t="s">
        <v>2070</v>
      </c>
      <c r="B79" s="534"/>
      <c r="C79" s="478">
        <v>16375440</v>
      </c>
      <c r="D79" s="535">
        <v>1424158</v>
      </c>
      <c r="E79" s="535">
        <v>540493</v>
      </c>
      <c r="F79" s="535">
        <v>1340107</v>
      </c>
      <c r="G79" s="535">
        <v>143637</v>
      </c>
      <c r="H79" s="535">
        <v>0</v>
      </c>
      <c r="I79" s="535">
        <v>511141</v>
      </c>
      <c r="J79" s="535">
        <v>175746</v>
      </c>
      <c r="K79" s="535">
        <v>1376</v>
      </c>
      <c r="L79" s="347"/>
    </row>
    <row r="80" spans="1:12" x14ac:dyDescent="0.2">
      <c r="A80" s="2161" t="s">
        <v>1895</v>
      </c>
      <c r="B80" s="2162"/>
      <c r="C80" s="467"/>
      <c r="D80" s="467"/>
      <c r="E80" s="467"/>
      <c r="F80" s="467"/>
      <c r="G80" s="467"/>
      <c r="H80" s="467"/>
      <c r="I80" s="467"/>
      <c r="J80" s="467"/>
      <c r="K80" s="467"/>
      <c r="L80" s="347"/>
    </row>
    <row r="81" spans="1:12" ht="13.5" thickBot="1" x14ac:dyDescent="0.25">
      <c r="A81" s="2153" t="s">
        <v>2071</v>
      </c>
      <c r="B81" s="2154"/>
      <c r="C81" s="1709">
        <f>(SUM(C78:C80))</f>
        <v>15103355</v>
      </c>
      <c r="D81" s="1709">
        <f>SUM(D78:D80)</f>
        <v>1602119</v>
      </c>
      <c r="E81" s="1709">
        <f t="shared" ref="E81:K81" si="10">SUM(E78:E80)</f>
        <v>4293480</v>
      </c>
      <c r="F81" s="1709">
        <f t="shared" si="10"/>
        <v>1401880</v>
      </c>
      <c r="G81" s="1709">
        <f t="shared" si="10"/>
        <v>195262</v>
      </c>
      <c r="H81" s="1709">
        <f t="shared" si="10"/>
        <v>0</v>
      </c>
      <c r="I81" s="1709">
        <f t="shared" si="10"/>
        <v>520990</v>
      </c>
      <c r="J81" s="1709">
        <f t="shared" si="10"/>
        <v>170040</v>
      </c>
      <c r="K81" s="1709">
        <f t="shared" si="10"/>
        <v>1379</v>
      </c>
      <c r="L81" s="347"/>
    </row>
    <row r="82" spans="1:12" ht="0.75" customHeight="1" thickTop="1" thickBot="1" x14ac:dyDescent="0.25">
      <c r="A82" s="536" t="s">
        <v>361</v>
      </c>
      <c r="B82" s="537"/>
      <c r="C82" s="538">
        <f>(C81-C79)</f>
        <v>-1272085</v>
      </c>
      <c r="D82" s="538">
        <f t="shared" ref="D82:K82" si="11">(D81-D79)</f>
        <v>177961</v>
      </c>
      <c r="E82" s="538">
        <f t="shared" si="11"/>
        <v>3752987</v>
      </c>
      <c r="F82" s="538">
        <f t="shared" si="11"/>
        <v>61773</v>
      </c>
      <c r="G82" s="538">
        <f t="shared" si="11"/>
        <v>51625</v>
      </c>
      <c r="H82" s="538">
        <f t="shared" si="11"/>
        <v>0</v>
      </c>
      <c r="I82" s="538">
        <f t="shared" si="11"/>
        <v>9849</v>
      </c>
      <c r="J82" s="538">
        <f t="shared" si="11"/>
        <v>-5706</v>
      </c>
      <c r="K82" s="538">
        <f t="shared" si="11"/>
        <v>3</v>
      </c>
    </row>
    <row r="83" spans="1:12" ht="14.25" hidden="1" thickTop="1" thickBot="1" x14ac:dyDescent="0.25">
      <c r="A83" s="539" t="s">
        <v>362</v>
      </c>
      <c r="B83" s="464"/>
      <c r="C83" s="540">
        <f>C82/C81</f>
        <v>-8.4225326094765032E-2</v>
      </c>
      <c r="D83" s="540">
        <f t="shared" ref="D83:K83" si="12">D82/D81</f>
        <v>0.11107851539117881</v>
      </c>
      <c r="E83" s="540">
        <f t="shared" si="12"/>
        <v>0.87411307377698277</v>
      </c>
      <c r="F83" s="540">
        <f t="shared" si="12"/>
        <v>4.4064399235312579E-2</v>
      </c>
      <c r="G83" s="540">
        <f t="shared" si="12"/>
        <v>0.26438836025442736</v>
      </c>
      <c r="H83" s="540" t="e">
        <f t="shared" si="12"/>
        <v>#DIV/0!</v>
      </c>
      <c r="I83" s="540">
        <f t="shared" si="12"/>
        <v>1.8904393558417627E-2</v>
      </c>
      <c r="J83" s="540">
        <f t="shared" si="12"/>
        <v>-3.3556810162314751E-2</v>
      </c>
      <c r="K83" s="540">
        <f t="shared" si="12"/>
        <v>2.1754894851341551E-3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107" sqref="C10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7" t="s">
        <v>1902</v>
      </c>
      <c r="B1" s="452"/>
      <c r="C1" s="453" t="s">
        <v>445</v>
      </c>
      <c r="D1" s="453" t="s">
        <v>446</v>
      </c>
      <c r="E1" s="453" t="s">
        <v>447</v>
      </c>
      <c r="F1" s="453" t="s">
        <v>448</v>
      </c>
      <c r="G1" s="453" t="s">
        <v>449</v>
      </c>
      <c r="H1" s="453" t="s">
        <v>450</v>
      </c>
      <c r="I1" s="453" t="s">
        <v>451</v>
      </c>
      <c r="J1" s="453" t="s">
        <v>452</v>
      </c>
      <c r="K1" s="453" t="s">
        <v>780</v>
      </c>
    </row>
    <row r="2" spans="1:12" ht="36" x14ac:dyDescent="0.2">
      <c r="A2" s="215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19251047</v>
      </c>
      <c r="D5" s="481">
        <v>3454833</v>
      </c>
      <c r="E5" s="466">
        <v>277463</v>
      </c>
      <c r="F5" s="548">
        <v>578592</v>
      </c>
      <c r="G5" s="466">
        <v>283364</v>
      </c>
      <c r="H5" s="466"/>
      <c r="I5" s="466">
        <v>8652</v>
      </c>
      <c r="J5" s="467">
        <v>205813</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2505256</v>
      </c>
      <c r="D7" s="466"/>
      <c r="E7" s="468"/>
      <c r="F7" s="467"/>
      <c r="G7" s="467"/>
      <c r="H7" s="467"/>
      <c r="I7" s="468"/>
      <c r="J7" s="468"/>
      <c r="K7" s="468"/>
    </row>
    <row r="8" spans="1:12" x14ac:dyDescent="0.2">
      <c r="A8" s="463" t="s">
        <v>433</v>
      </c>
      <c r="B8" s="470">
        <v>1150</v>
      </c>
      <c r="C8" s="475"/>
      <c r="D8" s="475"/>
      <c r="E8" s="477"/>
      <c r="F8" s="477"/>
      <c r="G8" s="481">
        <v>400532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21756303</v>
      </c>
      <c r="D12" s="1728">
        <f t="shared" si="0"/>
        <v>3454833</v>
      </c>
      <c r="E12" s="1728">
        <f t="shared" si="0"/>
        <v>277463</v>
      </c>
      <c r="F12" s="1728">
        <f t="shared" si="0"/>
        <v>578592</v>
      </c>
      <c r="G12" s="1728">
        <f t="shared" si="0"/>
        <v>683896</v>
      </c>
      <c r="H12" s="1728">
        <f t="shared" si="0"/>
        <v>0</v>
      </c>
      <c r="I12" s="1728">
        <f t="shared" si="0"/>
        <v>8652</v>
      </c>
      <c r="J12" s="1728">
        <f t="shared" si="0"/>
        <v>205813</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586744</v>
      </c>
      <c r="D16" s="466"/>
      <c r="E16" s="466">
        <v>326731</v>
      </c>
      <c r="F16" s="466"/>
      <c r="G16" s="466">
        <v>43755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586744</v>
      </c>
      <c r="D18" s="1731">
        <f t="shared" ref="D18:K18" si="1">SUM(D14:D17)</f>
        <v>0</v>
      </c>
      <c r="E18" s="1731">
        <f t="shared" si="1"/>
        <v>326731</v>
      </c>
      <c r="F18" s="1731">
        <f t="shared" si="1"/>
        <v>0</v>
      </c>
      <c r="G18" s="1731">
        <f t="shared" si="1"/>
        <v>43755</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16896</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11369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28265</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22434</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22434</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37639</v>
      </c>
      <c r="D65" s="466">
        <v>2205</v>
      </c>
      <c r="E65" s="466">
        <v>4461</v>
      </c>
      <c r="F65" s="467">
        <v>3365</v>
      </c>
      <c r="G65" s="466">
        <v>249</v>
      </c>
      <c r="H65" s="466"/>
      <c r="I65" s="466">
        <v>1197</v>
      </c>
      <c r="J65" s="467">
        <v>110</v>
      </c>
      <c r="K65" s="466">
        <v>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37639</v>
      </c>
      <c r="D67" s="1709">
        <f t="shared" ref="D67:K67" si="2">SUM(D65:D66)</f>
        <v>2205</v>
      </c>
      <c r="E67" s="1709">
        <f t="shared" si="2"/>
        <v>4461</v>
      </c>
      <c r="F67" s="1709">
        <f t="shared" si="2"/>
        <v>3365</v>
      </c>
      <c r="G67" s="1709">
        <f t="shared" si="2"/>
        <v>249</v>
      </c>
      <c r="H67" s="1709">
        <f t="shared" si="2"/>
        <v>0</v>
      </c>
      <c r="I67" s="1709">
        <f t="shared" si="2"/>
        <v>1197</v>
      </c>
      <c r="J67" s="1709">
        <f t="shared" si="2"/>
        <v>110</v>
      </c>
      <c r="K67" s="1709">
        <f t="shared" si="2"/>
        <v>3</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138359</v>
      </c>
      <c r="D69" s="468"/>
      <c r="E69" s="468"/>
      <c r="F69" s="468"/>
      <c r="G69" s="468"/>
      <c r="H69" s="468"/>
      <c r="I69" s="468"/>
      <c r="J69" s="468"/>
      <c r="K69" s="468"/>
    </row>
    <row r="70" spans="1:11" ht="12.75" customHeight="1" x14ac:dyDescent="0.2">
      <c r="A70" s="463" t="s">
        <v>1054</v>
      </c>
      <c r="B70" s="470">
        <v>1612</v>
      </c>
      <c r="C70" s="551">
        <v>19560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157919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v>4250</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12634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16884</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28637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28637</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30000</v>
      </c>
      <c r="E95" s="521"/>
      <c r="F95" s="521"/>
      <c r="G95" s="521"/>
      <c r="H95" s="521"/>
      <c r="I95" s="521"/>
      <c r="J95" s="521"/>
      <c r="K95" s="521"/>
    </row>
    <row r="96" spans="1:11" ht="12.75" customHeight="1" x14ac:dyDescent="0.2">
      <c r="A96" s="463" t="s">
        <v>409</v>
      </c>
      <c r="B96" s="470">
        <v>1920</v>
      </c>
      <c r="C96" s="551">
        <v>5651</v>
      </c>
      <c r="D96" s="551">
        <v>625000</v>
      </c>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115579</v>
      </c>
      <c r="D99" s="466"/>
      <c r="E99" s="466"/>
      <c r="F99" s="466"/>
      <c r="G99" s="466"/>
      <c r="H99" s="466"/>
      <c r="I99" s="468"/>
      <c r="J99" s="467">
        <v>13813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150992</v>
      </c>
      <c r="D104" s="466"/>
      <c r="E104" s="481"/>
      <c r="F104" s="467">
        <v>13470</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35724</v>
      </c>
      <c r="D107" s="466"/>
      <c r="E107" s="466"/>
      <c r="F107" s="466">
        <v>6775</v>
      </c>
      <c r="G107" s="466"/>
      <c r="H107" s="466"/>
      <c r="I107" s="466"/>
      <c r="J107" s="467"/>
      <c r="K107" s="466"/>
    </row>
    <row r="108" spans="1:12" ht="12.75" customHeight="1" thickBot="1" x14ac:dyDescent="0.25">
      <c r="A108" s="1729" t="s">
        <v>508</v>
      </c>
      <c r="B108" s="1733"/>
      <c r="C108" s="1728">
        <f>SUM(C95:C107)</f>
        <v>307946</v>
      </c>
      <c r="D108" s="1728">
        <f t="shared" ref="D108:K108" si="3">SUM(D95:D107)</f>
        <v>655000</v>
      </c>
      <c r="E108" s="1728">
        <f t="shared" si="3"/>
        <v>0</v>
      </c>
      <c r="F108" s="1728">
        <f t="shared" si="3"/>
        <v>20245</v>
      </c>
      <c r="G108" s="1728">
        <f t="shared" si="3"/>
        <v>0</v>
      </c>
      <c r="H108" s="1728">
        <f t="shared" si="3"/>
        <v>0</v>
      </c>
      <c r="I108" s="1728">
        <f t="shared" si="3"/>
        <v>0</v>
      </c>
      <c r="J108" s="1728">
        <f t="shared" si="3"/>
        <v>13813</v>
      </c>
      <c r="K108" s="1709">
        <f t="shared" si="3"/>
        <v>0</v>
      </c>
    </row>
    <row r="109" spans="1:12" ht="14.25" thickTop="1" thickBot="1" x14ac:dyDescent="0.25">
      <c r="A109" s="1734" t="s">
        <v>266</v>
      </c>
      <c r="B109" s="1735" t="s">
        <v>591</v>
      </c>
      <c r="C109" s="1736">
        <f t="shared" ref="C109:K109" si="4">SUM(C12,C18,C40,C63,C67,C75,C82,C93,C108,)</f>
        <v>22920337</v>
      </c>
      <c r="D109" s="1736">
        <f t="shared" si="4"/>
        <v>4112038</v>
      </c>
      <c r="E109" s="1736">
        <f t="shared" si="4"/>
        <v>608655</v>
      </c>
      <c r="F109" s="1736">
        <f t="shared" si="4"/>
        <v>624636</v>
      </c>
      <c r="G109" s="1736">
        <f t="shared" si="4"/>
        <v>727900</v>
      </c>
      <c r="H109" s="1736">
        <f t="shared" si="4"/>
        <v>0</v>
      </c>
      <c r="I109" s="1736">
        <f t="shared" si="4"/>
        <v>9849</v>
      </c>
      <c r="J109" s="1736">
        <f t="shared" si="4"/>
        <v>219736</v>
      </c>
      <c r="K109" s="1723">
        <f t="shared" si="4"/>
        <v>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2055059</v>
      </c>
      <c r="D117" s="481"/>
      <c r="E117" s="466">
        <v>2106118</v>
      </c>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2055059</v>
      </c>
      <c r="D121" s="1728">
        <f t="shared" si="5"/>
        <v>0</v>
      </c>
      <c r="E121" s="1728">
        <f t="shared" si="5"/>
        <v>2106118</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162307</v>
      </c>
      <c r="D124" s="561"/>
      <c r="E124" s="468"/>
      <c r="F124" s="548"/>
      <c r="G124" s="468"/>
      <c r="H124" s="468"/>
      <c r="I124" s="468"/>
      <c r="J124" s="468"/>
      <c r="K124" s="468"/>
    </row>
    <row r="125" spans="1:11" ht="12.75" customHeight="1" x14ac:dyDescent="0.2">
      <c r="A125" s="463" t="s">
        <v>1521</v>
      </c>
      <c r="B125" s="562">
        <v>3105</v>
      </c>
      <c r="C125" s="466">
        <v>154781</v>
      </c>
      <c r="D125" s="561"/>
      <c r="E125" s="468"/>
      <c r="F125" s="466"/>
      <c r="G125" s="468"/>
      <c r="H125" s="468"/>
      <c r="I125" s="468"/>
      <c r="J125" s="468"/>
      <c r="K125" s="468"/>
    </row>
    <row r="126" spans="1:11" ht="12.75" customHeight="1" x14ac:dyDescent="0.2">
      <c r="A126" s="463" t="s">
        <v>922</v>
      </c>
      <c r="B126" s="562">
        <v>3110</v>
      </c>
      <c r="C126" s="551">
        <v>190959</v>
      </c>
      <c r="D126" s="466"/>
      <c r="E126" s="468"/>
      <c r="F126" s="466"/>
      <c r="G126" s="468"/>
      <c r="H126" s="468"/>
      <c r="I126" s="468"/>
      <c r="J126" s="468"/>
      <c r="K126" s="468"/>
    </row>
    <row r="127" spans="1:11" ht="12.75" customHeight="1" x14ac:dyDescent="0.2">
      <c r="A127" s="463" t="s">
        <v>107</v>
      </c>
      <c r="B127" s="562">
        <v>3120</v>
      </c>
      <c r="C127" s="466">
        <v>21951</v>
      </c>
      <c r="D127" s="561"/>
      <c r="E127" s="468"/>
      <c r="F127" s="466"/>
      <c r="G127" s="468"/>
      <c r="H127" s="468"/>
      <c r="I127" s="468"/>
      <c r="J127" s="468"/>
      <c r="K127" s="468"/>
    </row>
    <row r="128" spans="1:11" ht="12.75" customHeight="1" x14ac:dyDescent="0.2">
      <c r="A128" s="463" t="s">
        <v>1522</v>
      </c>
      <c r="B128" s="562">
        <v>3130</v>
      </c>
      <c r="C128" s="466">
        <v>3612</v>
      </c>
      <c r="D128" s="561"/>
      <c r="E128" s="468"/>
      <c r="F128" s="466"/>
      <c r="G128" s="468"/>
      <c r="H128" s="468"/>
      <c r="I128" s="468"/>
      <c r="J128" s="468"/>
      <c r="K128" s="468"/>
    </row>
    <row r="129" spans="1:11" ht="12.75" customHeight="1" x14ac:dyDescent="0.2">
      <c r="A129" s="463" t="s">
        <v>139</v>
      </c>
      <c r="B129" s="562">
        <v>3145</v>
      </c>
      <c r="C129" s="466">
        <v>3316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536926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381810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381810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11486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257679</v>
      </c>
      <c r="G151" s="467"/>
      <c r="H151" s="468"/>
      <c r="I151" s="468"/>
      <c r="J151" s="468"/>
      <c r="K151" s="468"/>
    </row>
    <row r="152" spans="1:11" ht="12.75" customHeight="1" x14ac:dyDescent="0.2">
      <c r="A152" s="463" t="s">
        <v>1117</v>
      </c>
      <c r="B152" s="562">
        <v>3510</v>
      </c>
      <c r="C152" s="551"/>
      <c r="D152" s="466"/>
      <c r="E152" s="561"/>
      <c r="F152" s="466">
        <v>320463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578142</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661622</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v>2891</v>
      </c>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7" t="s">
        <v>418</v>
      </c>
      <c r="B172" s="2178"/>
      <c r="C172" s="1743">
        <f t="shared" ref="C172:K172" si="6">SUM(C131,C140,C144,C145:C149,C154,C155:C170,C171)</f>
        <v>1594735</v>
      </c>
      <c r="D172" s="1743">
        <f t="shared" si="6"/>
        <v>0</v>
      </c>
      <c r="E172" s="1743">
        <f t="shared" si="6"/>
        <v>0</v>
      </c>
      <c r="F172" s="1743">
        <f t="shared" si="6"/>
        <v>578142</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3649794</v>
      </c>
      <c r="D173" s="1736">
        <f>SUM(D121,D172)</f>
        <v>0</v>
      </c>
      <c r="E173" s="1736">
        <f>SUM(E121,E172)</f>
        <v>2106118</v>
      </c>
      <c r="F173" s="1736">
        <f t="shared" ref="F173:K173" si="7">SUM(F121,F172)</f>
        <v>578142</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9" t="s">
        <v>1572</v>
      </c>
      <c r="B175" s="218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3" t="s">
        <v>1764</v>
      </c>
      <c r="B178" s="218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7" t="s">
        <v>1763</v>
      </c>
      <c r="B179" s="218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5" t="s">
        <v>818</v>
      </c>
      <c r="B184" s="218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1" t="s">
        <v>1903</v>
      </c>
      <c r="B185" s="2182"/>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650795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185826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1028</v>
      </c>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837649</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387514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387514</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2604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2604</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14566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473528</v>
      </c>
      <c r="D220" s="466"/>
      <c r="E220" s="468"/>
      <c r="F220" s="466"/>
      <c r="G220" s="466"/>
      <c r="H220" s="468"/>
      <c r="I220" s="468"/>
      <c r="J220" s="468"/>
      <c r="K220" s="468"/>
    </row>
    <row r="221" spans="1:11" ht="12.75" customHeight="1" x14ac:dyDescent="0.2">
      <c r="A221" s="463" t="s">
        <v>1114</v>
      </c>
      <c r="B221" s="470">
        <v>4625</v>
      </c>
      <c r="C221" s="551">
        <v>3245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491339</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4490</v>
      </c>
      <c r="D263" s="468"/>
      <c r="E263" s="468"/>
      <c r="F263" s="578"/>
      <c r="G263" s="573"/>
      <c r="H263" s="468"/>
      <c r="I263" s="468"/>
      <c r="J263" s="468"/>
      <c r="K263" s="468"/>
    </row>
    <row r="264" spans="1:11" ht="12.75" customHeight="1" thickTop="1" thickBot="1" x14ac:dyDescent="0.25">
      <c r="A264" s="463" t="s">
        <v>1532</v>
      </c>
      <c r="B264" s="470">
        <v>4909</v>
      </c>
      <c r="C264" s="576">
        <v>76016</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61809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45676</v>
      </c>
      <c r="D270" s="576"/>
      <c r="E270" s="468"/>
      <c r="F270" s="576"/>
      <c r="G270" s="576"/>
      <c r="H270" s="468"/>
      <c r="I270" s="468"/>
      <c r="J270" s="468"/>
      <c r="K270" s="468"/>
    </row>
    <row r="271" spans="1:11" ht="12.75" customHeight="1" thickTop="1" thickBot="1" x14ac:dyDescent="0.25">
      <c r="A271" s="463" t="s">
        <v>395</v>
      </c>
      <c r="B271" s="470">
        <v>4992</v>
      </c>
      <c r="C271" s="575">
        <v>143420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2050517</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2050517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28620648</v>
      </c>
      <c r="D275" s="1736">
        <f t="shared" si="12"/>
        <v>4112038</v>
      </c>
      <c r="E275" s="1736">
        <f t="shared" si="12"/>
        <v>2714773</v>
      </c>
      <c r="F275" s="1736">
        <f t="shared" si="12"/>
        <v>1202778</v>
      </c>
      <c r="G275" s="1736">
        <f t="shared" si="12"/>
        <v>727900</v>
      </c>
      <c r="H275" s="1736">
        <f t="shared" si="12"/>
        <v>0</v>
      </c>
      <c r="I275" s="1736">
        <f t="shared" si="12"/>
        <v>9849</v>
      </c>
      <c r="J275" s="1736">
        <f t="shared" si="12"/>
        <v>219736</v>
      </c>
      <c r="K275" s="1723">
        <f t="shared" si="12"/>
        <v>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C107" sqref="C107"/>
      <selection pane="bottomLeft" activeCell="E63" sqref="E63: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5" t="s">
        <v>315</v>
      </c>
      <c r="B3" s="2196"/>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9774835</v>
      </c>
      <c r="D5" s="466">
        <v>3024024</v>
      </c>
      <c r="E5" s="466">
        <v>225623</v>
      </c>
      <c r="F5" s="466">
        <v>597794</v>
      </c>
      <c r="G5" s="466">
        <v>66885</v>
      </c>
      <c r="H5" s="466">
        <v>4424</v>
      </c>
      <c r="I5" s="467">
        <v>13915</v>
      </c>
      <c r="J5" s="467"/>
      <c r="K5" s="1692">
        <f>SUM(C5:J5)</f>
        <v>13707500</v>
      </c>
      <c r="L5" s="466">
        <v>13872470</v>
      </c>
    </row>
    <row r="6" spans="1:14" x14ac:dyDescent="0.2">
      <c r="A6" s="1525" t="s">
        <v>1508</v>
      </c>
      <c r="B6" s="615" t="s">
        <v>1506</v>
      </c>
      <c r="C6" s="477"/>
      <c r="D6" s="477"/>
      <c r="E6" s="466"/>
      <c r="F6" s="477"/>
      <c r="G6" s="477"/>
      <c r="H6" s="477"/>
      <c r="I6" s="477"/>
      <c r="J6" s="477"/>
      <c r="K6" s="1692">
        <f>SUM(C6,E6)</f>
        <v>0</v>
      </c>
      <c r="L6" s="466">
        <v>0</v>
      </c>
    </row>
    <row r="7" spans="1:14" x14ac:dyDescent="0.2">
      <c r="A7" s="1525" t="s">
        <v>165</v>
      </c>
      <c r="B7" s="615" t="s">
        <v>1024</v>
      </c>
      <c r="C7" s="467">
        <v>302252</v>
      </c>
      <c r="D7" s="467">
        <v>101314</v>
      </c>
      <c r="E7" s="467"/>
      <c r="F7" s="467">
        <v>17713</v>
      </c>
      <c r="G7" s="467">
        <v>83</v>
      </c>
      <c r="H7" s="467"/>
      <c r="I7" s="467"/>
      <c r="J7" s="467"/>
      <c r="K7" s="1692">
        <f t="shared" ref="K7:K32" si="0">SUM(C7:J7)</f>
        <v>421362</v>
      </c>
      <c r="L7" s="466">
        <v>425819</v>
      </c>
    </row>
    <row r="8" spans="1:14" x14ac:dyDescent="0.2">
      <c r="A8" s="1525" t="s">
        <v>166</v>
      </c>
      <c r="B8" s="615">
        <v>1200</v>
      </c>
      <c r="C8" s="466">
        <v>2034492</v>
      </c>
      <c r="D8" s="466">
        <v>582068</v>
      </c>
      <c r="E8" s="466">
        <v>76164</v>
      </c>
      <c r="F8" s="466">
        <v>28499</v>
      </c>
      <c r="G8" s="466"/>
      <c r="H8" s="466">
        <v>355699</v>
      </c>
      <c r="I8" s="467"/>
      <c r="J8" s="467"/>
      <c r="K8" s="1692">
        <f t="shared" si="0"/>
        <v>3076922</v>
      </c>
      <c r="L8" s="466">
        <v>3042929</v>
      </c>
    </row>
    <row r="9" spans="1:14" x14ac:dyDescent="0.2">
      <c r="A9" s="1525" t="s">
        <v>745</v>
      </c>
      <c r="B9" s="615" t="s">
        <v>1025</v>
      </c>
      <c r="C9" s="467"/>
      <c r="D9" s="467"/>
      <c r="E9" s="467"/>
      <c r="F9" s="467"/>
      <c r="G9" s="467"/>
      <c r="H9" s="467"/>
      <c r="I9" s="467"/>
      <c r="J9" s="467"/>
      <c r="K9" s="1692">
        <f t="shared" si="0"/>
        <v>0</v>
      </c>
      <c r="L9" s="466">
        <v>0</v>
      </c>
    </row>
    <row r="10" spans="1:14" x14ac:dyDescent="0.2">
      <c r="A10" s="1525" t="s">
        <v>746</v>
      </c>
      <c r="B10" s="615">
        <v>1250</v>
      </c>
      <c r="C10" s="466"/>
      <c r="D10" s="466"/>
      <c r="E10" s="466"/>
      <c r="F10" s="466"/>
      <c r="G10" s="466"/>
      <c r="H10" s="466"/>
      <c r="I10" s="467"/>
      <c r="J10" s="467"/>
      <c r="K10" s="1692">
        <f t="shared" si="0"/>
        <v>0</v>
      </c>
      <c r="L10" s="466">
        <v>0</v>
      </c>
    </row>
    <row r="11" spans="1:14" x14ac:dyDescent="0.2">
      <c r="A11" s="1525" t="s">
        <v>1192</v>
      </c>
      <c r="B11" s="615" t="s">
        <v>163</v>
      </c>
      <c r="C11" s="467"/>
      <c r="D11" s="467"/>
      <c r="E11" s="467"/>
      <c r="F11" s="467"/>
      <c r="G11" s="467"/>
      <c r="H11" s="467"/>
      <c r="I11" s="467"/>
      <c r="J11" s="467"/>
      <c r="K11" s="1692">
        <f t="shared" si="0"/>
        <v>0</v>
      </c>
      <c r="L11" s="466">
        <v>0</v>
      </c>
    </row>
    <row r="12" spans="1:14" x14ac:dyDescent="0.2">
      <c r="A12" s="1525" t="s">
        <v>1019</v>
      </c>
      <c r="B12" s="615">
        <v>1300</v>
      </c>
      <c r="C12" s="466"/>
      <c r="D12" s="466"/>
      <c r="E12" s="466"/>
      <c r="F12" s="466"/>
      <c r="G12" s="466"/>
      <c r="H12" s="466"/>
      <c r="I12" s="467"/>
      <c r="J12" s="467"/>
      <c r="K12" s="1692">
        <f t="shared" si="0"/>
        <v>0</v>
      </c>
      <c r="L12" s="466">
        <v>0</v>
      </c>
    </row>
    <row r="13" spans="1:14" x14ac:dyDescent="0.2">
      <c r="A13" s="1525" t="s">
        <v>747</v>
      </c>
      <c r="B13" s="615">
        <v>1400</v>
      </c>
      <c r="C13" s="466"/>
      <c r="D13" s="466"/>
      <c r="E13" s="466"/>
      <c r="F13" s="466"/>
      <c r="G13" s="466"/>
      <c r="H13" s="466"/>
      <c r="I13" s="467"/>
      <c r="J13" s="467"/>
      <c r="K13" s="1692">
        <f t="shared" si="0"/>
        <v>0</v>
      </c>
      <c r="L13" s="466">
        <v>0</v>
      </c>
    </row>
    <row r="14" spans="1:14" x14ac:dyDescent="0.2">
      <c r="A14" s="1525" t="s">
        <v>1020</v>
      </c>
      <c r="B14" s="615">
        <v>1500</v>
      </c>
      <c r="C14" s="466"/>
      <c r="D14" s="466"/>
      <c r="E14" s="466">
        <v>4850</v>
      </c>
      <c r="F14" s="466"/>
      <c r="G14" s="466"/>
      <c r="H14" s="466"/>
      <c r="I14" s="467"/>
      <c r="J14" s="467"/>
      <c r="K14" s="1692">
        <f t="shared" si="0"/>
        <v>4850</v>
      </c>
      <c r="L14" s="466">
        <v>5196</v>
      </c>
    </row>
    <row r="15" spans="1:14" x14ac:dyDescent="0.2">
      <c r="A15" s="1525" t="s">
        <v>1021</v>
      </c>
      <c r="B15" s="615">
        <v>1600</v>
      </c>
      <c r="C15" s="466">
        <v>136460</v>
      </c>
      <c r="D15" s="466">
        <v>25903</v>
      </c>
      <c r="E15" s="466"/>
      <c r="F15" s="466">
        <v>9818</v>
      </c>
      <c r="G15" s="466"/>
      <c r="H15" s="466"/>
      <c r="I15" s="467"/>
      <c r="J15" s="467"/>
      <c r="K15" s="1692">
        <f t="shared" si="0"/>
        <v>172181</v>
      </c>
      <c r="L15" s="466">
        <v>221583</v>
      </c>
    </row>
    <row r="16" spans="1:14" x14ac:dyDescent="0.2">
      <c r="A16" s="1525" t="s">
        <v>1044</v>
      </c>
      <c r="B16" s="615" t="s">
        <v>444</v>
      </c>
      <c r="C16" s="466"/>
      <c r="D16" s="466"/>
      <c r="E16" s="466"/>
      <c r="F16" s="466"/>
      <c r="G16" s="466"/>
      <c r="H16" s="466"/>
      <c r="I16" s="467"/>
      <c r="J16" s="467"/>
      <c r="K16" s="1692">
        <f t="shared" si="0"/>
        <v>0</v>
      </c>
      <c r="L16" s="466">
        <v>0</v>
      </c>
    </row>
    <row r="17" spans="1:12" x14ac:dyDescent="0.2">
      <c r="A17" s="1525" t="s">
        <v>748</v>
      </c>
      <c r="B17" s="615" t="s">
        <v>164</v>
      </c>
      <c r="C17" s="467"/>
      <c r="D17" s="467"/>
      <c r="E17" s="467"/>
      <c r="F17" s="467"/>
      <c r="G17" s="467"/>
      <c r="H17" s="467"/>
      <c r="I17" s="467"/>
      <c r="J17" s="467"/>
      <c r="K17" s="1692">
        <f t="shared" si="0"/>
        <v>0</v>
      </c>
      <c r="L17" s="466">
        <v>0</v>
      </c>
    </row>
    <row r="18" spans="1:12" x14ac:dyDescent="0.2">
      <c r="A18" s="1525" t="s">
        <v>1148</v>
      </c>
      <c r="B18" s="615">
        <v>1800</v>
      </c>
      <c r="C18" s="466">
        <v>54054</v>
      </c>
      <c r="D18" s="466">
        <v>784</v>
      </c>
      <c r="E18" s="466">
        <v>711</v>
      </c>
      <c r="F18" s="466">
        <v>5420</v>
      </c>
      <c r="G18" s="466"/>
      <c r="H18" s="466"/>
      <c r="I18" s="467"/>
      <c r="J18" s="467"/>
      <c r="K18" s="1692">
        <f t="shared" si="0"/>
        <v>60969</v>
      </c>
      <c r="L18" s="466">
        <v>64075</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762</v>
      </c>
      <c r="B20" s="603" t="s">
        <v>749</v>
      </c>
      <c r="C20" s="477"/>
      <c r="D20" s="477"/>
      <c r="E20" s="477"/>
      <c r="F20" s="477"/>
      <c r="G20" s="477"/>
      <c r="H20" s="474"/>
      <c r="I20" s="617"/>
      <c r="J20" s="475"/>
      <c r="K20" s="1692">
        <f t="shared" si="0"/>
        <v>0</v>
      </c>
      <c r="L20" s="471">
        <v>0</v>
      </c>
    </row>
    <row r="21" spans="1:12" x14ac:dyDescent="0.2">
      <c r="A21" s="1526" t="s">
        <v>763</v>
      </c>
      <c r="B21" s="603" t="s">
        <v>750</v>
      </c>
      <c r="C21" s="477"/>
      <c r="D21" s="477"/>
      <c r="E21" s="477"/>
      <c r="F21" s="477"/>
      <c r="G21" s="477"/>
      <c r="H21" s="474"/>
      <c r="I21" s="617"/>
      <c r="J21" s="477"/>
      <c r="K21" s="1692">
        <f t="shared" si="0"/>
        <v>0</v>
      </c>
      <c r="L21" s="471">
        <v>0</v>
      </c>
    </row>
    <row r="22" spans="1:12" x14ac:dyDescent="0.2">
      <c r="A22" s="1526" t="s">
        <v>764</v>
      </c>
      <c r="B22" s="603" t="s">
        <v>751</v>
      </c>
      <c r="C22" s="477"/>
      <c r="D22" s="477"/>
      <c r="E22" s="477"/>
      <c r="F22" s="477"/>
      <c r="G22" s="477"/>
      <c r="H22" s="474"/>
      <c r="I22" s="617"/>
      <c r="J22" s="477"/>
      <c r="K22" s="1692">
        <f t="shared" si="0"/>
        <v>0</v>
      </c>
      <c r="L22" s="471">
        <v>0</v>
      </c>
    </row>
    <row r="23" spans="1:12" x14ac:dyDescent="0.2">
      <c r="A23" s="1526" t="s">
        <v>765</v>
      </c>
      <c r="B23" s="603" t="s">
        <v>752</v>
      </c>
      <c r="C23" s="477"/>
      <c r="D23" s="477"/>
      <c r="E23" s="477"/>
      <c r="F23" s="477"/>
      <c r="G23" s="477"/>
      <c r="H23" s="474"/>
      <c r="I23" s="617"/>
      <c r="J23" s="477"/>
      <c r="K23" s="1692">
        <f t="shared" si="0"/>
        <v>0</v>
      </c>
      <c r="L23" s="471">
        <v>0</v>
      </c>
    </row>
    <row r="24" spans="1:12" ht="12.75" customHeight="1" x14ac:dyDescent="0.2">
      <c r="A24" s="1526" t="s">
        <v>766</v>
      </c>
      <c r="B24" s="603" t="s">
        <v>753</v>
      </c>
      <c r="C24" s="477"/>
      <c r="D24" s="477"/>
      <c r="E24" s="477"/>
      <c r="F24" s="477"/>
      <c r="G24" s="477"/>
      <c r="H24" s="474"/>
      <c r="I24" s="617"/>
      <c r="J24" s="477"/>
      <c r="K24" s="1692">
        <f t="shared" si="0"/>
        <v>0</v>
      </c>
      <c r="L24" s="471">
        <v>0</v>
      </c>
    </row>
    <row r="25" spans="1:12" ht="12.75" customHeight="1" x14ac:dyDescent="0.2">
      <c r="A25" s="1526" t="s">
        <v>835</v>
      </c>
      <c r="B25" s="603" t="s">
        <v>754</v>
      </c>
      <c r="C25" s="477"/>
      <c r="D25" s="477"/>
      <c r="E25" s="477"/>
      <c r="F25" s="477"/>
      <c r="G25" s="477"/>
      <c r="H25" s="474"/>
      <c r="I25" s="617"/>
      <c r="J25" s="477"/>
      <c r="K25" s="1692">
        <f t="shared" si="0"/>
        <v>0</v>
      </c>
      <c r="L25" s="471">
        <v>0</v>
      </c>
    </row>
    <row r="26" spans="1:12" x14ac:dyDescent="0.2">
      <c r="A26" s="1526" t="s">
        <v>643</v>
      </c>
      <c r="B26" s="603" t="s">
        <v>755</v>
      </c>
      <c r="C26" s="477"/>
      <c r="D26" s="477"/>
      <c r="E26" s="477"/>
      <c r="F26" s="477"/>
      <c r="G26" s="477"/>
      <c r="H26" s="474"/>
      <c r="I26" s="617"/>
      <c r="J26" s="477"/>
      <c r="K26" s="1692">
        <f t="shared" si="0"/>
        <v>0</v>
      </c>
      <c r="L26" s="471">
        <v>0</v>
      </c>
    </row>
    <row r="27" spans="1:12" x14ac:dyDescent="0.2">
      <c r="A27" s="1526" t="s">
        <v>644</v>
      </c>
      <c r="B27" s="603" t="s">
        <v>756</v>
      </c>
      <c r="C27" s="477"/>
      <c r="D27" s="477"/>
      <c r="E27" s="477"/>
      <c r="F27" s="477"/>
      <c r="G27" s="477"/>
      <c r="H27" s="474"/>
      <c r="I27" s="617"/>
      <c r="J27" s="477"/>
      <c r="K27" s="1692">
        <f t="shared" si="0"/>
        <v>0</v>
      </c>
      <c r="L27" s="471">
        <v>0</v>
      </c>
    </row>
    <row r="28" spans="1:12" x14ac:dyDescent="0.2">
      <c r="A28" s="1526" t="s">
        <v>152</v>
      </c>
      <c r="B28" s="603" t="s">
        <v>757</v>
      </c>
      <c r="C28" s="477"/>
      <c r="D28" s="477"/>
      <c r="E28" s="477"/>
      <c r="F28" s="477"/>
      <c r="G28" s="477"/>
      <c r="H28" s="474"/>
      <c r="I28" s="617"/>
      <c r="J28" s="477"/>
      <c r="K28" s="1692">
        <f t="shared" si="0"/>
        <v>0</v>
      </c>
      <c r="L28" s="471">
        <v>0</v>
      </c>
    </row>
    <row r="29" spans="1:12" x14ac:dyDescent="0.2">
      <c r="A29" s="1526" t="s">
        <v>153</v>
      </c>
      <c r="B29" s="603" t="s">
        <v>758</v>
      </c>
      <c r="C29" s="477"/>
      <c r="D29" s="477"/>
      <c r="E29" s="477"/>
      <c r="F29" s="477"/>
      <c r="G29" s="477"/>
      <c r="H29" s="474"/>
      <c r="I29" s="617"/>
      <c r="J29" s="477"/>
      <c r="K29" s="1692">
        <f t="shared" si="0"/>
        <v>0</v>
      </c>
      <c r="L29" s="471">
        <v>0</v>
      </c>
    </row>
    <row r="30" spans="1:12" x14ac:dyDescent="0.2">
      <c r="A30" s="1526" t="s">
        <v>154</v>
      </c>
      <c r="B30" s="603" t="s">
        <v>759</v>
      </c>
      <c r="C30" s="477"/>
      <c r="D30" s="477"/>
      <c r="E30" s="477"/>
      <c r="F30" s="477"/>
      <c r="G30" s="477"/>
      <c r="H30" s="474"/>
      <c r="I30" s="617"/>
      <c r="J30" s="477"/>
      <c r="K30" s="1692">
        <f t="shared" si="0"/>
        <v>0</v>
      </c>
      <c r="L30" s="471">
        <v>0</v>
      </c>
    </row>
    <row r="31" spans="1:12" x14ac:dyDescent="0.2">
      <c r="A31" s="1526" t="s">
        <v>155</v>
      </c>
      <c r="B31" s="603" t="s">
        <v>760</v>
      </c>
      <c r="C31" s="477"/>
      <c r="D31" s="477"/>
      <c r="E31" s="477"/>
      <c r="F31" s="477"/>
      <c r="G31" s="477"/>
      <c r="H31" s="474"/>
      <c r="I31" s="617"/>
      <c r="J31" s="477"/>
      <c r="K31" s="1692">
        <f t="shared" si="0"/>
        <v>0</v>
      </c>
      <c r="L31" s="471">
        <v>0</v>
      </c>
    </row>
    <row r="32" spans="1:12" x14ac:dyDescent="0.2">
      <c r="A32" s="1527" t="s">
        <v>1191</v>
      </c>
      <c r="B32" s="615" t="s">
        <v>761</v>
      </c>
      <c r="C32" s="477"/>
      <c r="D32" s="477"/>
      <c r="E32" s="477"/>
      <c r="F32" s="477"/>
      <c r="G32" s="477"/>
      <c r="H32" s="474">
        <v>10136</v>
      </c>
      <c r="I32" s="617"/>
      <c r="J32" s="480"/>
      <c r="K32" s="1692">
        <f t="shared" si="0"/>
        <v>10136</v>
      </c>
      <c r="L32" s="471">
        <v>3939</v>
      </c>
    </row>
    <row r="33" spans="1:14" ht="12.75" customHeight="1" thickBot="1" x14ac:dyDescent="0.25">
      <c r="A33" s="1689" t="s">
        <v>1767</v>
      </c>
      <c r="B33" s="1690" t="s">
        <v>591</v>
      </c>
      <c r="C33" s="1691">
        <f>SUM(C5:C32)</f>
        <v>12302093</v>
      </c>
      <c r="D33" s="1691">
        <f t="shared" ref="D33:L33" si="1">SUM(D5:D32)</f>
        <v>3734093</v>
      </c>
      <c r="E33" s="1691">
        <f t="shared" si="1"/>
        <v>307348</v>
      </c>
      <c r="F33" s="1691">
        <f t="shared" si="1"/>
        <v>659244</v>
      </c>
      <c r="G33" s="1691">
        <f t="shared" si="1"/>
        <v>66968</v>
      </c>
      <c r="H33" s="1691">
        <f t="shared" si="1"/>
        <v>370259</v>
      </c>
      <c r="I33" s="1691">
        <f t="shared" si="1"/>
        <v>13915</v>
      </c>
      <c r="J33" s="1691">
        <f t="shared" si="1"/>
        <v>0</v>
      </c>
      <c r="K33" s="1691">
        <f t="shared" si="1"/>
        <v>17453920</v>
      </c>
      <c r="L33" s="1691">
        <f t="shared" si="1"/>
        <v>17636011</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367390</v>
      </c>
      <c r="D36" s="481">
        <v>94569</v>
      </c>
      <c r="E36" s="481"/>
      <c r="F36" s="481"/>
      <c r="G36" s="481"/>
      <c r="H36" s="481">
        <v>534</v>
      </c>
      <c r="I36" s="467"/>
      <c r="J36" s="467"/>
      <c r="K36" s="1692">
        <f t="shared" ref="K36:K41" si="2">SUM(C36:J36)</f>
        <v>462493</v>
      </c>
      <c r="L36" s="466">
        <v>562507</v>
      </c>
    </row>
    <row r="37" spans="1:14" x14ac:dyDescent="0.2">
      <c r="A37" s="1525" t="s">
        <v>1151</v>
      </c>
      <c r="B37" s="615">
        <v>2120</v>
      </c>
      <c r="C37" s="466"/>
      <c r="D37" s="466"/>
      <c r="E37" s="466"/>
      <c r="F37" s="466"/>
      <c r="G37" s="466"/>
      <c r="H37" s="466"/>
      <c r="I37" s="467"/>
      <c r="J37" s="467"/>
      <c r="K37" s="1692">
        <f t="shared" si="2"/>
        <v>0</v>
      </c>
      <c r="L37" s="466">
        <v>0</v>
      </c>
    </row>
    <row r="38" spans="1:14" x14ac:dyDescent="0.2">
      <c r="A38" s="1525" t="s">
        <v>207</v>
      </c>
      <c r="B38" s="615">
        <v>2130</v>
      </c>
      <c r="C38" s="466">
        <v>151079</v>
      </c>
      <c r="D38" s="466">
        <v>31781</v>
      </c>
      <c r="E38" s="466">
        <v>41963</v>
      </c>
      <c r="F38" s="466">
        <v>7649</v>
      </c>
      <c r="G38" s="466">
        <v>10088</v>
      </c>
      <c r="H38" s="466"/>
      <c r="I38" s="467"/>
      <c r="J38" s="467"/>
      <c r="K38" s="1692">
        <f t="shared" si="2"/>
        <v>242560</v>
      </c>
      <c r="L38" s="466">
        <v>231509</v>
      </c>
    </row>
    <row r="39" spans="1:14" x14ac:dyDescent="0.2">
      <c r="A39" s="1525" t="s">
        <v>208</v>
      </c>
      <c r="B39" s="615">
        <v>2140</v>
      </c>
      <c r="C39" s="466"/>
      <c r="D39" s="466"/>
      <c r="E39" s="466"/>
      <c r="F39" s="466"/>
      <c r="G39" s="466"/>
      <c r="H39" s="466"/>
      <c r="I39" s="467"/>
      <c r="J39" s="467"/>
      <c r="K39" s="1692">
        <f t="shared" si="2"/>
        <v>0</v>
      </c>
      <c r="L39" s="466">
        <v>0</v>
      </c>
    </row>
    <row r="40" spans="1:14" x14ac:dyDescent="0.2">
      <c r="A40" s="1525" t="s">
        <v>209</v>
      </c>
      <c r="B40" s="615">
        <v>2150</v>
      </c>
      <c r="C40" s="466"/>
      <c r="D40" s="466"/>
      <c r="E40" s="466"/>
      <c r="F40" s="466"/>
      <c r="G40" s="466"/>
      <c r="H40" s="466"/>
      <c r="I40" s="467"/>
      <c r="J40" s="467"/>
      <c r="K40" s="1692">
        <f t="shared" si="2"/>
        <v>0</v>
      </c>
      <c r="L40" s="466">
        <v>0</v>
      </c>
    </row>
    <row r="41" spans="1:14" x14ac:dyDescent="0.2">
      <c r="A41" s="1525" t="s">
        <v>1768</v>
      </c>
      <c r="B41" s="615">
        <v>2190</v>
      </c>
      <c r="C41" s="466"/>
      <c r="D41" s="466"/>
      <c r="E41" s="466"/>
      <c r="F41" s="466"/>
      <c r="G41" s="466"/>
      <c r="H41" s="466"/>
      <c r="I41" s="467"/>
      <c r="J41" s="467"/>
      <c r="K41" s="1692">
        <f t="shared" si="2"/>
        <v>0</v>
      </c>
      <c r="L41" s="466">
        <v>25220</v>
      </c>
    </row>
    <row r="42" spans="1:14" ht="12.75" customHeight="1" thickBot="1" x14ac:dyDescent="0.25">
      <c r="A42" s="1689" t="s">
        <v>581</v>
      </c>
      <c r="B42" s="1690" t="s">
        <v>740</v>
      </c>
      <c r="C42" s="1691">
        <f>SUM(C36:C41)</f>
        <v>518469</v>
      </c>
      <c r="D42" s="1691">
        <f t="shared" ref="D42:L42" si="3">SUM(D36:D41)</f>
        <v>126350</v>
      </c>
      <c r="E42" s="1691">
        <f t="shared" si="3"/>
        <v>41963</v>
      </c>
      <c r="F42" s="1691">
        <f t="shared" si="3"/>
        <v>7649</v>
      </c>
      <c r="G42" s="1691">
        <f t="shared" si="3"/>
        <v>10088</v>
      </c>
      <c r="H42" s="1691">
        <f t="shared" si="3"/>
        <v>534</v>
      </c>
      <c r="I42" s="1691">
        <f t="shared" si="3"/>
        <v>0</v>
      </c>
      <c r="J42" s="1691">
        <f t="shared" si="3"/>
        <v>0</v>
      </c>
      <c r="K42" s="1691">
        <f t="shared" si="3"/>
        <v>705053</v>
      </c>
      <c r="L42" s="1691">
        <f t="shared" si="3"/>
        <v>819236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408595</v>
      </c>
      <c r="D44" s="481">
        <v>110778</v>
      </c>
      <c r="E44" s="481">
        <v>128442</v>
      </c>
      <c r="F44" s="481">
        <v>26958</v>
      </c>
      <c r="G44" s="481"/>
      <c r="H44" s="481">
        <v>6189</v>
      </c>
      <c r="I44" s="467"/>
      <c r="J44" s="467"/>
      <c r="K44" s="1693">
        <f>SUM(C44:J44)</f>
        <v>680962</v>
      </c>
      <c r="L44" s="481">
        <v>785944</v>
      </c>
    </row>
    <row r="45" spans="1:14" x14ac:dyDescent="0.2">
      <c r="A45" s="1525" t="s">
        <v>869</v>
      </c>
      <c r="B45" s="615">
        <v>2220</v>
      </c>
      <c r="C45" s="466">
        <v>430327</v>
      </c>
      <c r="D45" s="466">
        <v>107664</v>
      </c>
      <c r="E45" s="466">
        <v>592</v>
      </c>
      <c r="F45" s="466">
        <v>33499</v>
      </c>
      <c r="G45" s="466"/>
      <c r="H45" s="466"/>
      <c r="I45" s="467"/>
      <c r="J45" s="467"/>
      <c r="K45" s="1693">
        <f>SUM(C45:J45)</f>
        <v>572082</v>
      </c>
      <c r="L45" s="466">
        <v>605178</v>
      </c>
    </row>
    <row r="46" spans="1:14" x14ac:dyDescent="0.2">
      <c r="A46" s="1525" t="s">
        <v>870</v>
      </c>
      <c r="B46" s="615">
        <v>2230</v>
      </c>
      <c r="C46" s="466"/>
      <c r="D46" s="466"/>
      <c r="E46" s="466"/>
      <c r="F46" s="466">
        <v>25009</v>
      </c>
      <c r="G46" s="466"/>
      <c r="H46" s="466"/>
      <c r="I46" s="467"/>
      <c r="J46" s="467"/>
      <c r="K46" s="1693">
        <f>SUM(C46:J46)</f>
        <v>25009</v>
      </c>
      <c r="L46" s="466">
        <v>23826</v>
      </c>
    </row>
    <row r="47" spans="1:14" ht="12.75" customHeight="1" thickBot="1" x14ac:dyDescent="0.25">
      <c r="A47" s="1689" t="s">
        <v>582</v>
      </c>
      <c r="B47" s="1690" t="s">
        <v>32</v>
      </c>
      <c r="C47" s="1691">
        <f>SUM(C44:C46)</f>
        <v>838922</v>
      </c>
      <c r="D47" s="1691">
        <f t="shared" ref="D47:K47" si="4">SUM(D44:D46)</f>
        <v>218442</v>
      </c>
      <c r="E47" s="1691">
        <f t="shared" si="4"/>
        <v>129034</v>
      </c>
      <c r="F47" s="1691">
        <f t="shared" si="4"/>
        <v>85466</v>
      </c>
      <c r="G47" s="1691">
        <f t="shared" si="4"/>
        <v>0</v>
      </c>
      <c r="H47" s="1691">
        <f t="shared" si="4"/>
        <v>6189</v>
      </c>
      <c r="I47" s="1691">
        <f t="shared" si="4"/>
        <v>0</v>
      </c>
      <c r="J47" s="1691">
        <f t="shared" si="4"/>
        <v>0</v>
      </c>
      <c r="K47" s="1691">
        <f t="shared" si="4"/>
        <v>1278053</v>
      </c>
      <c r="L47" s="1691">
        <f>SUM(L44:L46)</f>
        <v>1414948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146212</v>
      </c>
      <c r="F49" s="481">
        <v>140</v>
      </c>
      <c r="G49" s="481"/>
      <c r="H49" s="481">
        <v>18271</v>
      </c>
      <c r="I49" s="467"/>
      <c r="J49" s="467"/>
      <c r="K49" s="1693">
        <f>SUM(C49:J49)</f>
        <v>164623</v>
      </c>
      <c r="L49" s="481">
        <v>150059</v>
      </c>
    </row>
    <row r="50" spans="1:14" x14ac:dyDescent="0.2">
      <c r="A50" s="1525" t="s">
        <v>872</v>
      </c>
      <c r="B50" s="615">
        <v>2320</v>
      </c>
      <c r="C50" s="466">
        <v>333362</v>
      </c>
      <c r="D50" s="466">
        <v>81387</v>
      </c>
      <c r="E50" s="466">
        <v>20075</v>
      </c>
      <c r="F50" s="466">
        <v>2483</v>
      </c>
      <c r="G50" s="466"/>
      <c r="H50" s="466">
        <v>15205</v>
      </c>
      <c r="I50" s="467"/>
      <c r="J50" s="467"/>
      <c r="K50" s="1693">
        <f>SUM(C50:J50)</f>
        <v>452512</v>
      </c>
      <c r="L50" s="466">
        <v>452119</v>
      </c>
    </row>
    <row r="51" spans="1:14" x14ac:dyDescent="0.2">
      <c r="A51" s="1525" t="s">
        <v>44</v>
      </c>
      <c r="B51" s="615">
        <v>2330</v>
      </c>
      <c r="C51" s="466">
        <v>38409</v>
      </c>
      <c r="D51" s="466">
        <v>557</v>
      </c>
      <c r="E51" s="466"/>
      <c r="F51" s="466"/>
      <c r="G51" s="466"/>
      <c r="H51" s="466"/>
      <c r="I51" s="467"/>
      <c r="J51" s="467"/>
      <c r="K51" s="1693">
        <f>SUM(C51:J51)</f>
        <v>38966</v>
      </c>
      <c r="L51" s="466">
        <v>35000</v>
      </c>
    </row>
    <row r="52" spans="1:14" ht="22.5" x14ac:dyDescent="0.2">
      <c r="A52" s="1526" t="s">
        <v>316</v>
      </c>
      <c r="B52" s="628" t="s">
        <v>384</v>
      </c>
      <c r="C52" s="474"/>
      <c r="D52" s="474">
        <v>52752</v>
      </c>
      <c r="E52" s="474">
        <v>1354</v>
      </c>
      <c r="F52" s="474"/>
      <c r="G52" s="474"/>
      <c r="H52" s="474"/>
      <c r="I52" s="474"/>
      <c r="J52" s="474"/>
      <c r="K52" s="1693">
        <f>SUM(C52:J52)</f>
        <v>54106</v>
      </c>
      <c r="L52" s="474">
        <v>89702</v>
      </c>
    </row>
    <row r="53" spans="1:14" ht="12.75" customHeight="1" thickBot="1" x14ac:dyDescent="0.25">
      <c r="A53" s="1689" t="s">
        <v>741</v>
      </c>
      <c r="B53" s="1690" t="s">
        <v>33</v>
      </c>
      <c r="C53" s="1691">
        <f>SUM(C49:C52)</f>
        <v>371771</v>
      </c>
      <c r="D53" s="1691">
        <f t="shared" ref="D53:L53" si="5">SUM(D49:D52)</f>
        <v>134696</v>
      </c>
      <c r="E53" s="1691">
        <f t="shared" si="5"/>
        <v>167641</v>
      </c>
      <c r="F53" s="1691">
        <f t="shared" si="5"/>
        <v>2623</v>
      </c>
      <c r="G53" s="1691">
        <f t="shared" si="5"/>
        <v>0</v>
      </c>
      <c r="H53" s="1691">
        <f t="shared" si="5"/>
        <v>33476</v>
      </c>
      <c r="I53" s="1691">
        <f t="shared" si="5"/>
        <v>0</v>
      </c>
      <c r="J53" s="1691">
        <f t="shared" si="5"/>
        <v>0</v>
      </c>
      <c r="K53" s="1691">
        <f t="shared" si="5"/>
        <v>710207</v>
      </c>
      <c r="L53" s="1691">
        <f t="shared" si="5"/>
        <v>726880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1129016</v>
      </c>
      <c r="D55" s="481">
        <v>361069</v>
      </c>
      <c r="E55" s="481">
        <v>6947</v>
      </c>
      <c r="F55" s="481">
        <v>9134</v>
      </c>
      <c r="G55" s="481"/>
      <c r="H55" s="481">
        <v>1838</v>
      </c>
      <c r="I55" s="467"/>
      <c r="J55" s="467"/>
      <c r="K55" s="1693">
        <f>SUM(C55:J55)</f>
        <v>1508004</v>
      </c>
      <c r="L55" s="481">
        <v>1497949</v>
      </c>
    </row>
    <row r="56" spans="1:14" ht="12.75" customHeight="1" x14ac:dyDescent="0.2">
      <c r="A56" s="1529"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1129016</v>
      </c>
      <c r="D57" s="1695">
        <f t="shared" ref="D57:K57" si="6">SUM(D55:D56)</f>
        <v>361069</v>
      </c>
      <c r="E57" s="1695">
        <f t="shared" si="6"/>
        <v>6947</v>
      </c>
      <c r="F57" s="1695">
        <f t="shared" si="6"/>
        <v>9134</v>
      </c>
      <c r="G57" s="1695">
        <f t="shared" si="6"/>
        <v>0</v>
      </c>
      <c r="H57" s="1695">
        <f t="shared" si="6"/>
        <v>1838</v>
      </c>
      <c r="I57" s="1695">
        <f t="shared" si="6"/>
        <v>0</v>
      </c>
      <c r="J57" s="1695">
        <f t="shared" si="6"/>
        <v>0</v>
      </c>
      <c r="K57" s="1695">
        <f t="shared" si="6"/>
        <v>1508004</v>
      </c>
      <c r="L57" s="1691">
        <f>SUM(L55:L56)</f>
        <v>1497949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172994</v>
      </c>
      <c r="D59" s="481">
        <v>38617</v>
      </c>
      <c r="E59" s="481">
        <v>1907</v>
      </c>
      <c r="F59" s="481">
        <v>194</v>
      </c>
      <c r="G59" s="481"/>
      <c r="H59" s="481">
        <v>1893</v>
      </c>
      <c r="I59" s="467"/>
      <c r="J59" s="467"/>
      <c r="K59" s="1693">
        <f t="shared" ref="K59:K64" si="7">SUM(C59:J59)</f>
        <v>215605</v>
      </c>
      <c r="L59" s="481">
        <v>214442</v>
      </c>
      <c r="M59" s="610"/>
      <c r="N59" s="610"/>
    </row>
    <row r="60" spans="1:14" s="343" customFormat="1" x14ac:dyDescent="0.2">
      <c r="A60" s="1525" t="s">
        <v>483</v>
      </c>
      <c r="B60" s="615">
        <v>2520</v>
      </c>
      <c r="C60" s="466">
        <v>178687</v>
      </c>
      <c r="D60" s="466">
        <v>57019</v>
      </c>
      <c r="E60" s="466">
        <v>5802</v>
      </c>
      <c r="F60" s="466"/>
      <c r="G60" s="466"/>
      <c r="H60" s="466"/>
      <c r="I60" s="467"/>
      <c r="J60" s="467"/>
      <c r="K60" s="1693">
        <f t="shared" si="7"/>
        <v>241508</v>
      </c>
      <c r="L60" s="466">
        <v>243625</v>
      </c>
      <c r="M60" s="610"/>
      <c r="N60" s="610"/>
    </row>
    <row r="61" spans="1:14" s="343" customFormat="1" x14ac:dyDescent="0.2">
      <c r="A61" s="1525" t="s">
        <v>206</v>
      </c>
      <c r="B61" s="615">
        <v>2540</v>
      </c>
      <c r="C61" s="466"/>
      <c r="D61" s="466"/>
      <c r="E61" s="466"/>
      <c r="F61" s="466"/>
      <c r="G61" s="466"/>
      <c r="H61" s="466"/>
      <c r="I61" s="467"/>
      <c r="J61" s="467"/>
      <c r="K61" s="1693">
        <f t="shared" si="7"/>
        <v>0</v>
      </c>
      <c r="L61" s="466">
        <v>0</v>
      </c>
      <c r="M61" s="610"/>
      <c r="N61" s="610"/>
    </row>
    <row r="62" spans="1:14" s="343" customFormat="1" x14ac:dyDescent="0.2">
      <c r="A62" s="1525" t="s">
        <v>1010</v>
      </c>
      <c r="B62" s="615">
        <v>2550</v>
      </c>
      <c r="C62" s="466"/>
      <c r="D62" s="466"/>
      <c r="E62" s="466"/>
      <c r="F62" s="466"/>
      <c r="G62" s="466"/>
      <c r="H62" s="466"/>
      <c r="I62" s="467"/>
      <c r="J62" s="467"/>
      <c r="K62" s="1693">
        <f t="shared" si="7"/>
        <v>0</v>
      </c>
      <c r="L62" s="466">
        <v>0</v>
      </c>
      <c r="M62" s="610"/>
      <c r="N62" s="610"/>
    </row>
    <row r="63" spans="1:14" s="610" customFormat="1" x14ac:dyDescent="0.2">
      <c r="A63" s="1525" t="s">
        <v>102</v>
      </c>
      <c r="B63" s="615">
        <v>2560</v>
      </c>
      <c r="C63" s="466">
        <v>186233</v>
      </c>
      <c r="D63" s="466"/>
      <c r="E63" s="466">
        <v>743923</v>
      </c>
      <c r="F63" s="466">
        <v>22511</v>
      </c>
      <c r="G63" s="466">
        <v>3053</v>
      </c>
      <c r="H63" s="466"/>
      <c r="I63" s="467"/>
      <c r="J63" s="467"/>
      <c r="K63" s="1693">
        <f t="shared" si="7"/>
        <v>955720</v>
      </c>
      <c r="L63" s="466">
        <v>976894</v>
      </c>
    </row>
    <row r="64" spans="1:14" s="610" customFormat="1" x14ac:dyDescent="0.2">
      <c r="A64" s="1530" t="s">
        <v>103</v>
      </c>
      <c r="B64" s="631">
        <v>2570</v>
      </c>
      <c r="C64" s="481"/>
      <c r="D64" s="481"/>
      <c r="E64" s="481">
        <v>11500</v>
      </c>
      <c r="F64" s="481">
        <v>10130</v>
      </c>
      <c r="G64" s="481">
        <v>5302</v>
      </c>
      <c r="H64" s="481"/>
      <c r="I64" s="467"/>
      <c r="J64" s="467"/>
      <c r="K64" s="1693">
        <f t="shared" si="7"/>
        <v>26932</v>
      </c>
      <c r="L64" s="481">
        <v>27237</v>
      </c>
    </row>
    <row r="65" spans="1:14" s="343" customFormat="1" ht="12.75" customHeight="1" thickBot="1" x14ac:dyDescent="0.25">
      <c r="A65" s="1689" t="s">
        <v>743</v>
      </c>
      <c r="B65" s="1690" t="s">
        <v>35</v>
      </c>
      <c r="C65" s="1691">
        <f>SUM(C59:C64)</f>
        <v>537914</v>
      </c>
      <c r="D65" s="1691">
        <f t="shared" ref="D65:L65" si="8">SUM(D59:D64)</f>
        <v>95636</v>
      </c>
      <c r="E65" s="1691">
        <f t="shared" si="8"/>
        <v>763132</v>
      </c>
      <c r="F65" s="1691">
        <f t="shared" si="8"/>
        <v>32835</v>
      </c>
      <c r="G65" s="1691">
        <f t="shared" si="8"/>
        <v>8355</v>
      </c>
      <c r="H65" s="1691">
        <f t="shared" si="8"/>
        <v>1893</v>
      </c>
      <c r="I65" s="1691">
        <f t="shared" si="8"/>
        <v>0</v>
      </c>
      <c r="J65" s="1691">
        <f t="shared" si="8"/>
        <v>0</v>
      </c>
      <c r="K65" s="1691">
        <f t="shared" si="8"/>
        <v>1439765</v>
      </c>
      <c r="L65" s="1691">
        <f t="shared" si="8"/>
        <v>1462198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v>0</v>
      </c>
      <c r="M67" s="610"/>
      <c r="N67" s="610"/>
    </row>
    <row r="68" spans="1:14" s="343" customFormat="1" x14ac:dyDescent="0.2">
      <c r="A68" s="1525" t="s">
        <v>628</v>
      </c>
      <c r="B68" s="615">
        <v>2620</v>
      </c>
      <c r="C68" s="466"/>
      <c r="D68" s="466"/>
      <c r="E68" s="466"/>
      <c r="F68" s="466"/>
      <c r="G68" s="466"/>
      <c r="H68" s="466"/>
      <c r="I68" s="467"/>
      <c r="J68" s="467"/>
      <c r="K68" s="1693">
        <f>SUM(C68:J68)</f>
        <v>0</v>
      </c>
      <c r="L68" s="466">
        <v>0</v>
      </c>
      <c r="M68" s="610"/>
      <c r="N68" s="610"/>
    </row>
    <row r="69" spans="1:14" s="343" customFormat="1" x14ac:dyDescent="0.2">
      <c r="A69" s="1525" t="s">
        <v>1121</v>
      </c>
      <c r="B69" s="615">
        <v>2630</v>
      </c>
      <c r="C69" s="466"/>
      <c r="D69" s="466"/>
      <c r="E69" s="466"/>
      <c r="F69" s="466"/>
      <c r="G69" s="466"/>
      <c r="H69" s="466"/>
      <c r="I69" s="467"/>
      <c r="J69" s="467"/>
      <c r="K69" s="1693">
        <f>SUM(C69:J69)</f>
        <v>0</v>
      </c>
      <c r="L69" s="466">
        <v>13</v>
      </c>
      <c r="M69" s="610"/>
      <c r="N69" s="610"/>
    </row>
    <row r="70" spans="1:14" s="343" customFormat="1" x14ac:dyDescent="0.2">
      <c r="A70" s="1525" t="s">
        <v>423</v>
      </c>
      <c r="B70" s="615">
        <v>2640</v>
      </c>
      <c r="C70" s="466"/>
      <c r="D70" s="466"/>
      <c r="E70" s="466">
        <v>16863</v>
      </c>
      <c r="F70" s="466">
        <v>180</v>
      </c>
      <c r="G70" s="466"/>
      <c r="H70" s="466"/>
      <c r="I70" s="467"/>
      <c r="J70" s="467"/>
      <c r="K70" s="1693">
        <f>SUM(C70:J70)</f>
        <v>17043</v>
      </c>
      <c r="L70" s="466">
        <v>8404</v>
      </c>
      <c r="M70" s="610"/>
      <c r="N70" s="610"/>
    </row>
    <row r="71" spans="1:14" s="343" customFormat="1" x14ac:dyDescent="0.2">
      <c r="A71" s="1525" t="s">
        <v>424</v>
      </c>
      <c r="B71" s="615">
        <v>2660</v>
      </c>
      <c r="C71" s="466">
        <v>329145</v>
      </c>
      <c r="D71" s="466">
        <v>61432</v>
      </c>
      <c r="E71" s="466">
        <v>50326</v>
      </c>
      <c r="F71" s="466">
        <v>119238</v>
      </c>
      <c r="G71" s="466">
        <v>271218</v>
      </c>
      <c r="H71" s="466"/>
      <c r="I71" s="467">
        <v>7797</v>
      </c>
      <c r="J71" s="467"/>
      <c r="K71" s="1693">
        <f>SUM(C71:J71)</f>
        <v>839156</v>
      </c>
      <c r="L71" s="466">
        <v>1000605</v>
      </c>
      <c r="M71" s="610"/>
      <c r="N71" s="610"/>
    </row>
    <row r="72" spans="1:14" s="343" customFormat="1" ht="12.75" customHeight="1" thickBot="1" x14ac:dyDescent="0.25">
      <c r="A72" s="1689" t="s">
        <v>37</v>
      </c>
      <c r="B72" s="1696" t="s">
        <v>36</v>
      </c>
      <c r="C72" s="1691">
        <f>SUM(C67:C71)</f>
        <v>329145</v>
      </c>
      <c r="D72" s="1691">
        <f t="shared" ref="D72:K72" si="9">SUM(D67:D71)</f>
        <v>61432</v>
      </c>
      <c r="E72" s="1691">
        <f t="shared" si="9"/>
        <v>67189</v>
      </c>
      <c r="F72" s="1691">
        <f t="shared" si="9"/>
        <v>119418</v>
      </c>
      <c r="G72" s="1691">
        <f t="shared" si="9"/>
        <v>271218</v>
      </c>
      <c r="H72" s="1691">
        <f t="shared" si="9"/>
        <v>0</v>
      </c>
      <c r="I72" s="1691">
        <f t="shared" si="9"/>
        <v>7797</v>
      </c>
      <c r="J72" s="1691">
        <f t="shared" si="9"/>
        <v>0</v>
      </c>
      <c r="K72" s="1691">
        <f t="shared" si="9"/>
        <v>856199</v>
      </c>
      <c r="L72" s="1691">
        <f>SUM(L67:L71)</f>
        <v>1009022</v>
      </c>
      <c r="M72" s="610"/>
      <c r="N72" s="610"/>
    </row>
    <row r="73" spans="1:14" s="343" customFormat="1" ht="14.25" thickTop="1" thickBot="1" x14ac:dyDescent="0.25">
      <c r="A73" s="1531" t="s">
        <v>1037</v>
      </c>
      <c r="B73" s="633" t="s">
        <v>595</v>
      </c>
      <c r="C73" s="573">
        <v>44285</v>
      </c>
      <c r="D73" s="573">
        <v>211</v>
      </c>
      <c r="E73" s="573">
        <v>17367</v>
      </c>
      <c r="F73" s="573">
        <v>81</v>
      </c>
      <c r="G73" s="573">
        <v>11473</v>
      </c>
      <c r="H73" s="573"/>
      <c r="I73" s="531"/>
      <c r="J73" s="531"/>
      <c r="K73" s="1691">
        <f>SUM(C73:J73)</f>
        <v>73417</v>
      </c>
      <c r="L73" s="576">
        <v>100567</v>
      </c>
      <c r="M73" s="610"/>
      <c r="N73" s="610"/>
    </row>
    <row r="74" spans="1:14" ht="12.75" customHeight="1" thickTop="1" thickBot="1" x14ac:dyDescent="0.25">
      <c r="A74" s="1689" t="s">
        <v>865</v>
      </c>
      <c r="B74" s="1697">
        <v>2000</v>
      </c>
      <c r="C74" s="1698">
        <f>SUM(C42,C47,C53,C57,C65,C72,C73)</f>
        <v>3769522</v>
      </c>
      <c r="D74" s="1698">
        <f t="shared" ref="D74:K74" si="10">SUM(D42,D47,D53,D57,D65,D72,D73)</f>
        <v>997836</v>
      </c>
      <c r="E74" s="1698">
        <f t="shared" si="10"/>
        <v>1193273</v>
      </c>
      <c r="F74" s="1698">
        <f t="shared" si="10"/>
        <v>257206</v>
      </c>
      <c r="G74" s="1698">
        <f t="shared" si="10"/>
        <v>301134</v>
      </c>
      <c r="H74" s="1698">
        <f t="shared" si="10"/>
        <v>43930</v>
      </c>
      <c r="I74" s="1698">
        <f t="shared" si="10"/>
        <v>7797</v>
      </c>
      <c r="J74" s="1698">
        <f t="shared" si="10"/>
        <v>0</v>
      </c>
      <c r="K74" s="1698">
        <f t="shared" si="10"/>
        <v>6570698</v>
      </c>
      <c r="L74" s="1698">
        <f>SUM(L42,L47,L53,L57,L65,L72,L73)</f>
        <v>7030800</v>
      </c>
    </row>
    <row r="75" spans="1:14" s="259" customFormat="1" ht="15.75" customHeight="1" thickTop="1" thickBot="1" x14ac:dyDescent="0.25">
      <c r="A75" s="1631" t="s">
        <v>49</v>
      </c>
      <c r="B75" s="1632" t="s">
        <v>596</v>
      </c>
      <c r="C75" s="573">
        <v>252329</v>
      </c>
      <c r="D75" s="573">
        <v>63105</v>
      </c>
      <c r="E75" s="573">
        <v>21606</v>
      </c>
      <c r="F75" s="573">
        <v>26218</v>
      </c>
      <c r="G75" s="573">
        <v>6947</v>
      </c>
      <c r="H75" s="573"/>
      <c r="I75" s="531">
        <v>4750</v>
      </c>
      <c r="J75" s="531"/>
      <c r="K75" s="1691">
        <f>SUM(C75:J75)</f>
        <v>374955</v>
      </c>
      <c r="L75" s="576">
        <v>366343</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13688</v>
      </c>
      <c r="F78" s="617"/>
      <c r="G78" s="617"/>
      <c r="H78" s="635"/>
      <c r="I78" s="477"/>
      <c r="J78" s="477"/>
      <c r="K78" s="1692">
        <f t="shared" ref="K78:K83" si="11">SUM(C78:J78)</f>
        <v>13688</v>
      </c>
      <c r="L78" s="481">
        <v>13750</v>
      </c>
    </row>
    <row r="79" spans="1:14" x14ac:dyDescent="0.2">
      <c r="A79" s="1525" t="s">
        <v>322</v>
      </c>
      <c r="B79" s="615">
        <v>4120</v>
      </c>
      <c r="C79" s="617"/>
      <c r="D79" s="617"/>
      <c r="E79" s="466">
        <v>12102</v>
      </c>
      <c r="F79" s="617"/>
      <c r="G79" s="617"/>
      <c r="H79" s="466">
        <v>6363</v>
      </c>
      <c r="I79" s="477"/>
      <c r="J79" s="477"/>
      <c r="K79" s="1692">
        <f t="shared" si="11"/>
        <v>18465</v>
      </c>
      <c r="L79" s="466">
        <v>11921</v>
      </c>
    </row>
    <row r="80" spans="1:14" x14ac:dyDescent="0.2">
      <c r="A80" s="1525" t="s">
        <v>323</v>
      </c>
      <c r="B80" s="615">
        <v>4130</v>
      </c>
      <c r="C80" s="617"/>
      <c r="D80" s="617"/>
      <c r="E80" s="466"/>
      <c r="F80" s="617"/>
      <c r="G80" s="617"/>
      <c r="H80" s="466"/>
      <c r="I80" s="477"/>
      <c r="J80" s="477"/>
      <c r="K80" s="1692">
        <f t="shared" si="11"/>
        <v>0</v>
      </c>
      <c r="L80" s="466">
        <v>0</v>
      </c>
    </row>
    <row r="81" spans="1:12" x14ac:dyDescent="0.2">
      <c r="A81" s="1525" t="s">
        <v>721</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722</v>
      </c>
      <c r="B83" s="629">
        <v>4190</v>
      </c>
      <c r="C83" s="617"/>
      <c r="D83" s="617"/>
      <c r="E83" s="466">
        <v>114137</v>
      </c>
      <c r="F83" s="617"/>
      <c r="G83" s="617"/>
      <c r="H83" s="466"/>
      <c r="I83" s="477"/>
      <c r="J83" s="477"/>
      <c r="K83" s="1692">
        <f t="shared" si="11"/>
        <v>114137</v>
      </c>
      <c r="L83" s="466">
        <v>104000</v>
      </c>
    </row>
    <row r="84" spans="1:12" ht="13.5" thickBot="1" x14ac:dyDescent="0.25">
      <c r="A84" s="1689" t="s">
        <v>1565</v>
      </c>
      <c r="B84" s="1699">
        <v>4100</v>
      </c>
      <c r="C84" s="617"/>
      <c r="D84" s="617"/>
      <c r="E84" s="1691">
        <f>SUM(E78:E83)</f>
        <v>139927</v>
      </c>
      <c r="F84" s="617"/>
      <c r="G84" s="617"/>
      <c r="H84" s="1691">
        <f>SUM(H78:H83)</f>
        <v>6363</v>
      </c>
      <c r="I84" s="477"/>
      <c r="J84" s="477"/>
      <c r="K84" s="1691">
        <f>SUM(K78:K83)</f>
        <v>146290</v>
      </c>
      <c r="L84" s="1691">
        <f>SUM(L78:L83)</f>
        <v>129671</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723</v>
      </c>
      <c r="B86" s="638">
        <v>4220</v>
      </c>
      <c r="C86" s="617"/>
      <c r="D86" s="617"/>
      <c r="E86" s="639"/>
      <c r="F86" s="617"/>
      <c r="G86" s="617"/>
      <c r="H86" s="467">
        <v>1546870</v>
      </c>
      <c r="I86" s="477"/>
      <c r="J86" s="477"/>
      <c r="K86" s="1698">
        <f t="shared" ref="K86:K98" si="12">H86</f>
        <v>1546870</v>
      </c>
      <c r="L86" s="530">
        <v>1700350</v>
      </c>
    </row>
    <row r="87" spans="1:12" ht="14.25" thickTop="1" thickBot="1" x14ac:dyDescent="0.25">
      <c r="A87" s="1534" t="s">
        <v>724</v>
      </c>
      <c r="B87" s="640">
        <v>4230</v>
      </c>
      <c r="C87" s="617"/>
      <c r="D87" s="617"/>
      <c r="E87" s="639"/>
      <c r="F87" s="617"/>
      <c r="G87" s="617"/>
      <c r="H87" s="467"/>
      <c r="I87" s="477"/>
      <c r="J87" s="477"/>
      <c r="K87" s="1698">
        <f t="shared" si="12"/>
        <v>0</v>
      </c>
      <c r="L87" s="530">
        <v>0</v>
      </c>
    </row>
    <row r="88" spans="1:12" ht="12.75" customHeight="1" thickTop="1" thickBot="1" x14ac:dyDescent="0.25">
      <c r="A88" s="1534" t="s">
        <v>789</v>
      </c>
      <c r="B88" s="640">
        <v>4240</v>
      </c>
      <c r="C88" s="617"/>
      <c r="D88" s="617"/>
      <c r="E88" s="639"/>
      <c r="F88" s="617"/>
      <c r="G88" s="617"/>
      <c r="H88" s="467"/>
      <c r="I88" s="477"/>
      <c r="J88" s="477"/>
      <c r="K88" s="1698">
        <f t="shared" si="12"/>
        <v>0</v>
      </c>
      <c r="L88" s="530">
        <v>0</v>
      </c>
    </row>
    <row r="89" spans="1:12" ht="12.75" customHeight="1" thickTop="1" thickBot="1" x14ac:dyDescent="0.25">
      <c r="A89" s="1534" t="s">
        <v>725</v>
      </c>
      <c r="B89" s="640">
        <v>4270</v>
      </c>
      <c r="C89" s="617"/>
      <c r="D89" s="617"/>
      <c r="E89" s="639"/>
      <c r="F89" s="617"/>
      <c r="G89" s="617"/>
      <c r="H89" s="467"/>
      <c r="I89" s="477"/>
      <c r="J89" s="477"/>
      <c r="K89" s="1698">
        <f t="shared" si="12"/>
        <v>0</v>
      </c>
      <c r="L89" s="530">
        <v>0</v>
      </c>
    </row>
    <row r="90" spans="1:12" ht="12.75" customHeight="1" thickTop="1" thickBot="1" x14ac:dyDescent="0.25">
      <c r="A90" s="1534" t="s">
        <v>710</v>
      </c>
      <c r="B90" s="640">
        <v>4280</v>
      </c>
      <c r="C90" s="617"/>
      <c r="D90" s="617"/>
      <c r="E90" s="639"/>
      <c r="F90" s="617"/>
      <c r="G90" s="617"/>
      <c r="H90" s="467"/>
      <c r="I90" s="477"/>
      <c r="J90" s="477"/>
      <c r="K90" s="1698">
        <f t="shared" si="12"/>
        <v>0</v>
      </c>
      <c r="L90" s="530">
        <v>0</v>
      </c>
    </row>
    <row r="91" spans="1:12" ht="12.75" customHeight="1" thickTop="1" thickBot="1" x14ac:dyDescent="0.25">
      <c r="A91" s="1534"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1546870</v>
      </c>
      <c r="I92" s="477"/>
      <c r="J92" s="477"/>
      <c r="K92" s="1698">
        <f t="shared" si="12"/>
        <v>1546870</v>
      </c>
      <c r="L92" s="1691">
        <f>SUM(L85:L91)</f>
        <v>1700350</v>
      </c>
    </row>
    <row r="93" spans="1:12" ht="14.25" thickTop="1" thickBot="1" x14ac:dyDescent="0.25">
      <c r="A93" s="1533" t="s">
        <v>712</v>
      </c>
      <c r="B93" s="641">
        <v>4310</v>
      </c>
      <c r="C93" s="617"/>
      <c r="D93" s="617"/>
      <c r="E93" s="639"/>
      <c r="F93" s="617"/>
      <c r="G93" s="617"/>
      <c r="H93" s="642"/>
      <c r="I93" s="477"/>
      <c r="J93" s="477"/>
      <c r="K93" s="1698">
        <f t="shared" si="12"/>
        <v>0</v>
      </c>
      <c r="L93" s="532">
        <v>0</v>
      </c>
    </row>
    <row r="94" spans="1:12" ht="12.75" customHeight="1" thickTop="1" thickBot="1" x14ac:dyDescent="0.25">
      <c r="A94" s="1534" t="s">
        <v>713</v>
      </c>
      <c r="B94" s="640">
        <v>4320</v>
      </c>
      <c r="C94" s="617"/>
      <c r="D94" s="617"/>
      <c r="E94" s="639"/>
      <c r="F94" s="617"/>
      <c r="G94" s="617"/>
      <c r="H94" s="467"/>
      <c r="I94" s="477"/>
      <c r="J94" s="477"/>
      <c r="K94" s="1698">
        <f t="shared" si="12"/>
        <v>0</v>
      </c>
      <c r="L94" s="530">
        <v>0</v>
      </c>
    </row>
    <row r="95" spans="1:12" ht="15" customHeight="1" thickTop="1" thickBot="1" x14ac:dyDescent="0.25">
      <c r="A95" s="1534" t="s">
        <v>1568</v>
      </c>
      <c r="B95" s="640">
        <v>4330</v>
      </c>
      <c r="C95" s="617"/>
      <c r="D95" s="617"/>
      <c r="E95" s="639"/>
      <c r="F95" s="617"/>
      <c r="G95" s="617"/>
      <c r="H95" s="467"/>
      <c r="I95" s="477"/>
      <c r="J95" s="477"/>
      <c r="K95" s="1698">
        <f t="shared" si="12"/>
        <v>0</v>
      </c>
      <c r="L95" s="530">
        <v>0</v>
      </c>
    </row>
    <row r="96" spans="1:12" ht="14.25" thickTop="1" thickBot="1" x14ac:dyDescent="0.25">
      <c r="A96" s="1534" t="s">
        <v>714</v>
      </c>
      <c r="B96" s="640">
        <v>4340</v>
      </c>
      <c r="C96" s="617"/>
      <c r="D96" s="617"/>
      <c r="E96" s="639"/>
      <c r="F96" s="617"/>
      <c r="G96" s="617"/>
      <c r="H96" s="467"/>
      <c r="I96" s="477"/>
      <c r="J96" s="477"/>
      <c r="K96" s="1698">
        <f t="shared" si="12"/>
        <v>0</v>
      </c>
      <c r="L96" s="530">
        <v>0</v>
      </c>
    </row>
    <row r="97" spans="1:14" ht="12.75" customHeight="1" thickTop="1" thickBot="1" x14ac:dyDescent="0.25">
      <c r="A97" s="1534" t="s">
        <v>787</v>
      </c>
      <c r="B97" s="640">
        <v>4370</v>
      </c>
      <c r="C97" s="617"/>
      <c r="D97" s="617"/>
      <c r="E97" s="639"/>
      <c r="F97" s="617"/>
      <c r="G97" s="617"/>
      <c r="H97" s="467"/>
      <c r="I97" s="477"/>
      <c r="J97" s="477"/>
      <c r="K97" s="1698">
        <f t="shared" si="12"/>
        <v>0</v>
      </c>
      <c r="L97" s="530">
        <v>0</v>
      </c>
    </row>
    <row r="98" spans="1:14" ht="14.25" thickTop="1" thickBot="1" x14ac:dyDescent="0.25">
      <c r="A98" s="1534" t="s">
        <v>788</v>
      </c>
      <c r="B98" s="640">
        <v>4380</v>
      </c>
      <c r="C98" s="617"/>
      <c r="D98" s="617"/>
      <c r="E98" s="643"/>
      <c r="F98" s="617"/>
      <c r="G98" s="617"/>
      <c r="H98" s="467"/>
      <c r="I98" s="477"/>
      <c r="J98" s="477"/>
      <c r="K98" s="1698">
        <f t="shared" si="12"/>
        <v>0</v>
      </c>
      <c r="L98" s="530">
        <v>0</v>
      </c>
    </row>
    <row r="99" spans="1:14" ht="14.25" thickTop="1" thickBot="1" x14ac:dyDescent="0.25">
      <c r="A99" s="1534"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139927</v>
      </c>
      <c r="F102" s="617"/>
      <c r="G102" s="617"/>
      <c r="H102" s="1698">
        <f>SUM(H84,H92,H100,H101)</f>
        <v>1553233</v>
      </c>
      <c r="I102" s="477"/>
      <c r="J102" s="477"/>
      <c r="K102" s="1698">
        <f>SUM(K84,K92,K100,K101)</f>
        <v>1693160</v>
      </c>
      <c r="L102" s="1698">
        <f>SUM(L84,L92,L100,L101)</f>
        <v>1830021</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175000</v>
      </c>
      <c r="M113" s="614"/>
      <c r="N113" s="614"/>
    </row>
    <row r="114" spans="1:14" ht="12.75" customHeight="1" thickTop="1" thickBot="1" x14ac:dyDescent="0.25">
      <c r="A114" s="1689" t="s">
        <v>50</v>
      </c>
      <c r="B114" s="1703"/>
      <c r="C114" s="1691">
        <f>SUM(C33,C74,C75,C102,C112,C113)</f>
        <v>16323944</v>
      </c>
      <c r="D114" s="1691">
        <f t="shared" ref="D114:K114" si="13">SUM(D33,D74,D75,D102,D112,D113)</f>
        <v>4795034</v>
      </c>
      <c r="E114" s="1691">
        <f t="shared" si="13"/>
        <v>1662154</v>
      </c>
      <c r="F114" s="1691">
        <f t="shared" si="13"/>
        <v>942668</v>
      </c>
      <c r="G114" s="1691">
        <f t="shared" si="13"/>
        <v>375049</v>
      </c>
      <c r="H114" s="1691">
        <f>SUM(H33,H74,H75,H102,H112,H113)</f>
        <v>1967422</v>
      </c>
      <c r="I114" s="1691">
        <f t="shared" si="13"/>
        <v>26462</v>
      </c>
      <c r="J114" s="1691">
        <f t="shared" si="13"/>
        <v>0</v>
      </c>
      <c r="K114" s="1691">
        <f t="shared" si="13"/>
        <v>26092733</v>
      </c>
      <c r="L114" s="1691">
        <f>SUM(L33,L74,L75,L102,L112,L113)</f>
        <v>27038175</v>
      </c>
    </row>
    <row r="115" spans="1:14" ht="13.5" thickTop="1" x14ac:dyDescent="0.2">
      <c r="A115" s="2214" t="s">
        <v>1053</v>
      </c>
      <c r="B115" s="2215"/>
      <c r="C115" s="619"/>
      <c r="D115" s="619"/>
      <c r="E115" s="619"/>
      <c r="F115" s="619"/>
      <c r="G115" s="619"/>
      <c r="H115" s="619"/>
      <c r="I115" s="619"/>
      <c r="J115" s="619"/>
      <c r="K115" s="1705">
        <f>'Revenues 9-14'!C275-'Expenditures 15-22'!K114</f>
        <v>2527915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2" t="s">
        <v>314</v>
      </c>
      <c r="B117" s="2193"/>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22935</v>
      </c>
      <c r="D122" s="466">
        <v>3865</v>
      </c>
      <c r="E122" s="466"/>
      <c r="F122" s="466"/>
      <c r="G122" s="466"/>
      <c r="H122" s="466"/>
      <c r="I122" s="467"/>
      <c r="J122" s="467"/>
      <c r="K122" s="1691">
        <f>SUM(C122:J122)</f>
        <v>26800</v>
      </c>
      <c r="L122" s="466">
        <v>26607</v>
      </c>
    </row>
    <row r="123" spans="1:14" ht="14.25" thickTop="1" thickBot="1" x14ac:dyDescent="0.25">
      <c r="A123" s="1525" t="s">
        <v>4</v>
      </c>
      <c r="B123" s="615">
        <v>2530</v>
      </c>
      <c r="C123" s="466"/>
      <c r="D123" s="466"/>
      <c r="E123" s="466"/>
      <c r="F123" s="466"/>
      <c r="G123" s="466">
        <v>1379269</v>
      </c>
      <c r="H123" s="466"/>
      <c r="I123" s="467"/>
      <c r="J123" s="467"/>
      <c r="K123" s="1691">
        <f>SUM(C123:J123)</f>
        <v>1379269</v>
      </c>
      <c r="L123" s="466">
        <v>1529876</v>
      </c>
    </row>
    <row r="124" spans="1:14" ht="14.25" thickTop="1" thickBot="1" x14ac:dyDescent="0.25">
      <c r="A124" s="1525" t="s">
        <v>206</v>
      </c>
      <c r="B124" s="615">
        <v>2540</v>
      </c>
      <c r="C124" s="466"/>
      <c r="D124" s="466"/>
      <c r="E124" s="466">
        <v>1353858</v>
      </c>
      <c r="F124" s="466">
        <v>644008</v>
      </c>
      <c r="G124" s="466">
        <v>237181</v>
      </c>
      <c r="H124" s="466"/>
      <c r="I124" s="467">
        <v>875</v>
      </c>
      <c r="J124" s="467"/>
      <c r="K124" s="1691">
        <f>SUM(C124:J124)</f>
        <v>2235922</v>
      </c>
      <c r="L124" s="466">
        <v>2735119</v>
      </c>
    </row>
    <row r="125" spans="1:14" ht="14.25" thickTop="1" thickBot="1" x14ac:dyDescent="0.25">
      <c r="A125" s="1525" t="s">
        <v>1010</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v>1868</v>
      </c>
      <c r="H126" s="655"/>
      <c r="I126" s="474"/>
      <c r="J126" s="617"/>
      <c r="K126" s="1691">
        <f>SUM(C126:J126)</f>
        <v>1868</v>
      </c>
      <c r="L126" s="466">
        <v>1539</v>
      </c>
    </row>
    <row r="127" spans="1:14" ht="12.75" customHeight="1" thickTop="1" thickBot="1" x14ac:dyDescent="0.25">
      <c r="A127" s="1689" t="s">
        <v>743</v>
      </c>
      <c r="B127" s="1690" t="s">
        <v>35</v>
      </c>
      <c r="C127" s="1691">
        <f>SUM(C122:C126)</f>
        <v>22935</v>
      </c>
      <c r="D127" s="1691">
        <f t="shared" ref="D127:L127" si="14">SUM(D122:D126)</f>
        <v>3865</v>
      </c>
      <c r="E127" s="1691">
        <f t="shared" si="14"/>
        <v>1353858</v>
      </c>
      <c r="F127" s="1691">
        <f t="shared" si="14"/>
        <v>644008</v>
      </c>
      <c r="G127" s="1691">
        <f t="shared" si="14"/>
        <v>1618318</v>
      </c>
      <c r="H127" s="1691">
        <f t="shared" si="14"/>
        <v>0</v>
      </c>
      <c r="I127" s="1691">
        <f t="shared" si="14"/>
        <v>875</v>
      </c>
      <c r="J127" s="1691">
        <f t="shared" si="14"/>
        <v>0</v>
      </c>
      <c r="K127" s="1691">
        <f t="shared" si="14"/>
        <v>3643859</v>
      </c>
      <c r="L127" s="1691">
        <f t="shared" si="14"/>
        <v>4293141</v>
      </c>
    </row>
    <row r="128" spans="1:14" ht="12.75" customHeight="1" thickTop="1" x14ac:dyDescent="0.2">
      <c r="A128" s="1532"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22935</v>
      </c>
      <c r="D129" s="1698">
        <f t="shared" ref="D129:L129" si="15">SUM(D120,D127,D128)</f>
        <v>3865</v>
      </c>
      <c r="E129" s="1698">
        <f t="shared" si="15"/>
        <v>1353858</v>
      </c>
      <c r="F129" s="1698">
        <f t="shared" si="15"/>
        <v>644008</v>
      </c>
      <c r="G129" s="1698">
        <f t="shared" si="15"/>
        <v>1618318</v>
      </c>
      <c r="H129" s="1698">
        <f t="shared" si="15"/>
        <v>0</v>
      </c>
      <c r="I129" s="1698">
        <f t="shared" si="15"/>
        <v>875</v>
      </c>
      <c r="J129" s="1698">
        <f t="shared" si="15"/>
        <v>0</v>
      </c>
      <c r="K129" s="1698">
        <f t="shared" si="15"/>
        <v>3643859</v>
      </c>
      <c r="L129" s="1698">
        <f t="shared" si="15"/>
        <v>4293141</v>
      </c>
    </row>
    <row r="130" spans="1:14" ht="15.75" customHeight="1" thickTop="1" thickBot="1" x14ac:dyDescent="0.25">
      <c r="A130" s="1631" t="s">
        <v>1096</v>
      </c>
      <c r="B130" s="1632" t="s">
        <v>596</v>
      </c>
      <c r="C130" s="576"/>
      <c r="D130" s="576"/>
      <c r="E130" s="576"/>
      <c r="F130" s="576">
        <v>676</v>
      </c>
      <c r="G130" s="576">
        <v>2009</v>
      </c>
      <c r="H130" s="576"/>
      <c r="I130" s="531"/>
      <c r="J130" s="531"/>
      <c r="K130" s="1691">
        <f>SUM(C130:J130)</f>
        <v>2685</v>
      </c>
      <c r="L130" s="576">
        <v>38860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2"/>
      <c r="F133" s="468"/>
      <c r="G133" s="468"/>
      <c r="H133" s="642"/>
      <c r="I133" s="468"/>
      <c r="J133" s="468"/>
      <c r="K133" s="1843">
        <f>SUM(E133,H133)</f>
        <v>0</v>
      </c>
      <c r="L133" s="642">
        <v>0</v>
      </c>
      <c r="M133" s="206"/>
      <c r="N133" s="206"/>
    </row>
    <row r="134" spans="1:14" x14ac:dyDescent="0.2">
      <c r="A134" s="1525" t="s">
        <v>322</v>
      </c>
      <c r="B134" s="615">
        <v>4120</v>
      </c>
      <c r="C134" s="617"/>
      <c r="D134" s="617"/>
      <c r="E134" s="478"/>
      <c r="F134" s="617"/>
      <c r="G134" s="617"/>
      <c r="H134" s="481"/>
      <c r="I134" s="477"/>
      <c r="J134" s="617"/>
      <c r="K134" s="1693">
        <f>SUM(E134,H134)</f>
        <v>0</v>
      </c>
      <c r="L134" s="481">
        <v>19</v>
      </c>
    </row>
    <row r="135" spans="1:14" x14ac:dyDescent="0.2">
      <c r="A135" s="1525" t="s">
        <v>721</v>
      </c>
      <c r="B135" s="615">
        <v>4140</v>
      </c>
      <c r="C135" s="617"/>
      <c r="D135" s="617"/>
      <c r="E135" s="467"/>
      <c r="F135" s="617"/>
      <c r="G135" s="617"/>
      <c r="H135" s="466"/>
      <c r="I135" s="477"/>
      <c r="J135" s="617"/>
      <c r="K135" s="1693">
        <f>SUM(E135,H135)</f>
        <v>0</v>
      </c>
      <c r="L135" s="466">
        <v>0</v>
      </c>
    </row>
    <row r="136" spans="1:14" x14ac:dyDescent="0.2">
      <c r="A136" s="1529"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19</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19</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1232</v>
      </c>
      <c r="B144" s="629" t="s">
        <v>638</v>
      </c>
      <c r="C144" s="617"/>
      <c r="D144" s="617"/>
      <c r="E144" s="617"/>
      <c r="F144" s="617"/>
      <c r="G144" s="617"/>
      <c r="H144" s="466"/>
      <c r="I144" s="468"/>
      <c r="J144" s="617"/>
      <c r="K144" s="1693">
        <f>SUM(H144)</f>
        <v>0</v>
      </c>
      <c r="L144" s="466">
        <v>0</v>
      </c>
    </row>
    <row r="145" spans="1:14" x14ac:dyDescent="0.2">
      <c r="A145" s="1525" t="s">
        <v>91</v>
      </c>
      <c r="B145" s="615" t="s">
        <v>610</v>
      </c>
      <c r="C145" s="617"/>
      <c r="D145" s="617"/>
      <c r="E145" s="617"/>
      <c r="F145" s="617"/>
      <c r="G145" s="617"/>
      <c r="H145" s="466"/>
      <c r="I145" s="468"/>
      <c r="J145" s="617"/>
      <c r="K145" s="1693">
        <f>SUM(H145)</f>
        <v>0</v>
      </c>
      <c r="L145" s="466">
        <v>0</v>
      </c>
    </row>
    <row r="146" spans="1:14" ht="12.75" customHeight="1" x14ac:dyDescent="0.2">
      <c r="A146" s="1525" t="s">
        <v>640</v>
      </c>
      <c r="B146" s="615" t="s">
        <v>639</v>
      </c>
      <c r="C146" s="617"/>
      <c r="D146" s="617"/>
      <c r="E146" s="617"/>
      <c r="F146" s="617"/>
      <c r="G146" s="617"/>
      <c r="H146" s="466"/>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204" t="s">
        <v>641</v>
      </c>
      <c r="B151" s="2186"/>
      <c r="C151" s="1691">
        <f>SUM(C129,C130,C139,C149,C150)</f>
        <v>22935</v>
      </c>
      <c r="D151" s="1691">
        <f t="shared" ref="D151:K151" si="16">SUM(D129,D130,D139,D149,D150)</f>
        <v>3865</v>
      </c>
      <c r="E151" s="1691">
        <f t="shared" si="16"/>
        <v>1353858</v>
      </c>
      <c r="F151" s="1691">
        <f t="shared" si="16"/>
        <v>644684</v>
      </c>
      <c r="G151" s="1691">
        <f t="shared" si="16"/>
        <v>1620327</v>
      </c>
      <c r="H151" s="1691">
        <f t="shared" si="16"/>
        <v>0</v>
      </c>
      <c r="I151" s="1691">
        <f t="shared" si="16"/>
        <v>875</v>
      </c>
      <c r="J151" s="1691">
        <f t="shared" si="16"/>
        <v>0</v>
      </c>
      <c r="K151" s="1691">
        <f t="shared" si="16"/>
        <v>3646544</v>
      </c>
      <c r="L151" s="1691">
        <f>SUM(L129,L130,L139,L149,L150)</f>
        <v>4332020</v>
      </c>
    </row>
    <row r="152" spans="1:14" ht="12.75" customHeight="1" thickTop="1" x14ac:dyDescent="0.2">
      <c r="A152" s="2207" t="s">
        <v>1240</v>
      </c>
      <c r="B152" s="2208"/>
      <c r="C152" s="619"/>
      <c r="D152" s="619"/>
      <c r="E152" s="619"/>
      <c r="F152" s="619"/>
      <c r="G152" s="619"/>
      <c r="H152" s="619"/>
      <c r="I152" s="619"/>
      <c r="J152" s="617"/>
      <c r="K152" s="1705">
        <f>'Revenues 9-14'!D275-'Expenditures 15-22'!K151</f>
        <v>465494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2" t="s">
        <v>642</v>
      </c>
      <c r="B154" s="2194"/>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v>0</v>
      </c>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1232</v>
      </c>
      <c r="B165" s="615" t="s">
        <v>638</v>
      </c>
      <c r="C165" s="617"/>
      <c r="D165" s="617"/>
      <c r="E165" s="617"/>
      <c r="F165" s="617"/>
      <c r="G165" s="617"/>
      <c r="H165" s="466"/>
      <c r="I165" s="617"/>
      <c r="J165" s="617"/>
      <c r="K165" s="1692">
        <f>SUM(C165:J165)</f>
        <v>0</v>
      </c>
      <c r="L165" s="466">
        <v>0</v>
      </c>
    </row>
    <row r="166" spans="1:14" x14ac:dyDescent="0.2">
      <c r="A166" s="1525" t="s">
        <v>91</v>
      </c>
      <c r="B166" s="629" t="s">
        <v>610</v>
      </c>
      <c r="C166" s="617"/>
      <c r="D166" s="617"/>
      <c r="E166" s="617"/>
      <c r="F166" s="617"/>
      <c r="G166" s="617"/>
      <c r="H166" s="466"/>
      <c r="I166" s="617"/>
      <c r="J166" s="617"/>
      <c r="K166" s="1692">
        <f>SUM(C166:J166)</f>
        <v>0</v>
      </c>
      <c r="L166" s="466">
        <v>0</v>
      </c>
    </row>
    <row r="167" spans="1:14" ht="12.75" customHeight="1" x14ac:dyDescent="0.2">
      <c r="A167" s="1525"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1438376</v>
      </c>
      <c r="I169" s="617"/>
      <c r="J169" s="617"/>
      <c r="K169" s="1692">
        <f>SUM(C169:H169)</f>
        <v>1438376</v>
      </c>
      <c r="L169" s="657">
        <v>2023995</v>
      </c>
    </row>
    <row r="170" spans="1:14" ht="33.75" customHeight="1" x14ac:dyDescent="0.2">
      <c r="A170" s="670" t="s">
        <v>1769</v>
      </c>
      <c r="B170" s="672" t="s">
        <v>31</v>
      </c>
      <c r="C170" s="617"/>
      <c r="D170" s="617"/>
      <c r="E170" s="617"/>
      <c r="F170" s="617"/>
      <c r="G170" s="617"/>
      <c r="H170" s="569">
        <v>1605000</v>
      </c>
      <c r="I170" s="617"/>
      <c r="J170" s="617"/>
      <c r="K170" s="1692">
        <f>SUM(C170:J170)</f>
        <v>1605000</v>
      </c>
      <c r="L170" s="569">
        <v>1607000</v>
      </c>
    </row>
    <row r="171" spans="1:14" ht="15.75" customHeight="1" x14ac:dyDescent="0.2">
      <c r="A171" s="622" t="s">
        <v>790</v>
      </c>
      <c r="B171" s="673" t="s">
        <v>86</v>
      </c>
      <c r="C171" s="617"/>
      <c r="D171" s="617"/>
      <c r="E171" s="466">
        <v>5943</v>
      </c>
      <c r="F171" s="617"/>
      <c r="G171" s="617"/>
      <c r="H171" s="569"/>
      <c r="I171" s="477"/>
      <c r="J171" s="617"/>
      <c r="K171" s="1692">
        <f>SUM(C171:J171)</f>
        <v>5943</v>
      </c>
      <c r="L171" s="569">
        <v>5000</v>
      </c>
    </row>
    <row r="172" spans="1:14" ht="12.75" customHeight="1" thickBot="1" x14ac:dyDescent="0.25">
      <c r="A172" s="1689" t="s">
        <v>659</v>
      </c>
      <c r="B172" s="1690" t="s">
        <v>513</v>
      </c>
      <c r="C172" s="617"/>
      <c r="D172" s="617"/>
      <c r="E172" s="1698">
        <f>SUM(E168,E169,E170,E171)</f>
        <v>5943</v>
      </c>
      <c r="F172" s="617"/>
      <c r="G172" s="617"/>
      <c r="H172" s="1698">
        <f>SUM(H168,H169,H170,H171)</f>
        <v>3043376</v>
      </c>
      <c r="I172" s="639"/>
      <c r="J172" s="617"/>
      <c r="K172" s="1698">
        <f>SUM(K168,K169,K170,K171)</f>
        <v>3049319</v>
      </c>
      <c r="L172" s="1698">
        <f>SUM(L168,L169,L170,L171)</f>
        <v>3635995</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5943</v>
      </c>
      <c r="F174" s="617"/>
      <c r="G174" s="617"/>
      <c r="H174" s="1698">
        <f>SUM(H160,H172,H173)</f>
        <v>3043376</v>
      </c>
      <c r="I174" s="639"/>
      <c r="J174" s="617"/>
      <c r="K174" s="1698">
        <f>SUM(K160,K172,K173)</f>
        <v>3049319</v>
      </c>
      <c r="L174" s="1698">
        <f>SUM(L160,L172,L173)</f>
        <v>3635995</v>
      </c>
    </row>
    <row r="175" spans="1:14" ht="13.5" thickTop="1" x14ac:dyDescent="0.2">
      <c r="A175" s="2214" t="s">
        <v>1053</v>
      </c>
      <c r="B175" s="2215"/>
      <c r="C175" s="617"/>
      <c r="D175" s="617"/>
      <c r="E175" s="617"/>
      <c r="F175" s="617"/>
      <c r="G175" s="617"/>
      <c r="H175" s="619"/>
      <c r="I175" s="617"/>
      <c r="J175" s="617"/>
      <c r="K175" s="1705">
        <f>'Revenues 9-14'!E275-'Expenditures 15-22'!K174</f>
        <v>-334546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v>27859</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568603</v>
      </c>
      <c r="D182" s="466">
        <v>37998</v>
      </c>
      <c r="E182" s="466">
        <v>414574</v>
      </c>
      <c r="F182" s="466">
        <v>93900</v>
      </c>
      <c r="G182" s="466">
        <v>16078</v>
      </c>
      <c r="H182" s="466">
        <v>919</v>
      </c>
      <c r="I182" s="467"/>
      <c r="J182" s="467"/>
      <c r="K182" s="1692">
        <f>SUM(C182:J182)</f>
        <v>1132072</v>
      </c>
      <c r="L182" s="466">
        <v>1137306</v>
      </c>
    </row>
    <row r="183" spans="1:14" ht="12.75" customHeight="1" thickBot="1" x14ac:dyDescent="0.25">
      <c r="A183" s="1530" t="s">
        <v>1037</v>
      </c>
      <c r="B183" s="678">
        <v>2900</v>
      </c>
      <c r="C183" s="573">
        <v>7645</v>
      </c>
      <c r="D183" s="573">
        <v>1288</v>
      </c>
      <c r="E183" s="573"/>
      <c r="F183" s="573"/>
      <c r="G183" s="573"/>
      <c r="H183" s="573"/>
      <c r="I183" s="532"/>
      <c r="J183" s="532"/>
      <c r="K183" s="1698">
        <f>SUM(C183:J183)</f>
        <v>8933</v>
      </c>
      <c r="L183" s="573">
        <v>8724</v>
      </c>
    </row>
    <row r="184" spans="1:14" ht="12.75" customHeight="1" thickTop="1" thickBot="1" x14ac:dyDescent="0.25">
      <c r="A184" s="1712" t="s">
        <v>865</v>
      </c>
      <c r="B184" s="1690" t="s">
        <v>590</v>
      </c>
      <c r="C184" s="1698">
        <f>SUM(C180,C182,C183)</f>
        <v>576248</v>
      </c>
      <c r="D184" s="1698">
        <f t="shared" ref="D184:J184" si="17">SUM(D180,D182,D183)</f>
        <v>39286</v>
      </c>
      <c r="E184" s="1698">
        <f t="shared" si="17"/>
        <v>414574</v>
      </c>
      <c r="F184" s="1698">
        <f t="shared" si="17"/>
        <v>93900</v>
      </c>
      <c r="G184" s="1698">
        <f t="shared" si="17"/>
        <v>16078</v>
      </c>
      <c r="H184" s="1698">
        <f t="shared" si="17"/>
        <v>919</v>
      </c>
      <c r="I184" s="1698">
        <f t="shared" si="17"/>
        <v>0</v>
      </c>
      <c r="J184" s="1698">
        <f t="shared" si="17"/>
        <v>0</v>
      </c>
      <c r="K184" s="1698">
        <f>SUM(K180,K182,K183)</f>
        <v>1141005</v>
      </c>
      <c r="L184" s="1698">
        <f>SUM(L180, L182:L183)</f>
        <v>1173889</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v>0</v>
      </c>
    </row>
    <row r="189" spans="1:14" x14ac:dyDescent="0.2">
      <c r="A189" s="1525" t="s">
        <v>322</v>
      </c>
      <c r="B189" s="615">
        <v>4120</v>
      </c>
      <c r="C189" s="617"/>
      <c r="D189" s="617"/>
      <c r="E189" s="466"/>
      <c r="F189" s="617"/>
      <c r="G189" s="617"/>
      <c r="H189" s="466"/>
      <c r="I189" s="477"/>
      <c r="J189" s="617"/>
      <c r="K189" s="1692">
        <f t="shared" si="18"/>
        <v>0</v>
      </c>
      <c r="L189" s="466">
        <v>0</v>
      </c>
    </row>
    <row r="190" spans="1:14" x14ac:dyDescent="0.2">
      <c r="A190" s="1525" t="s">
        <v>323</v>
      </c>
      <c r="B190" s="629">
        <v>4130</v>
      </c>
      <c r="C190" s="617"/>
      <c r="D190" s="617"/>
      <c r="E190" s="466"/>
      <c r="F190" s="617"/>
      <c r="G190" s="617"/>
      <c r="H190" s="466"/>
      <c r="I190" s="477"/>
      <c r="J190" s="617"/>
      <c r="K190" s="1692">
        <f t="shared" si="18"/>
        <v>0</v>
      </c>
      <c r="L190" s="466">
        <v>0</v>
      </c>
    </row>
    <row r="191" spans="1:14" x14ac:dyDescent="0.2">
      <c r="A191" s="1525" t="s">
        <v>721</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1232</v>
      </c>
      <c r="B201" s="629" t="s">
        <v>638</v>
      </c>
      <c r="C201" s="617"/>
      <c r="D201" s="617"/>
      <c r="E201" s="617"/>
      <c r="F201" s="617"/>
      <c r="G201" s="617"/>
      <c r="H201" s="466"/>
      <c r="I201" s="617"/>
      <c r="J201" s="617"/>
      <c r="K201" s="1692">
        <f>SUM(H201)</f>
        <v>0</v>
      </c>
      <c r="L201" s="466">
        <v>0</v>
      </c>
    </row>
    <row r="202" spans="1:14" x14ac:dyDescent="0.2">
      <c r="A202" s="1525" t="s">
        <v>91</v>
      </c>
      <c r="B202" s="615" t="s">
        <v>610</v>
      </c>
      <c r="C202" s="617"/>
      <c r="D202" s="617"/>
      <c r="E202" s="617"/>
      <c r="F202" s="617"/>
      <c r="G202" s="617"/>
      <c r="H202" s="466"/>
      <c r="I202" s="617"/>
      <c r="J202" s="617"/>
      <c r="K202" s="1692">
        <f>SUM(H202)</f>
        <v>0</v>
      </c>
      <c r="L202" s="466">
        <v>0</v>
      </c>
    </row>
    <row r="203" spans="1:14" x14ac:dyDescent="0.2">
      <c r="A203" s="1537"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576248</v>
      </c>
      <c r="D210" s="1691">
        <f>SUM(D184,D185)</f>
        <v>39286</v>
      </c>
      <c r="E210" s="1691">
        <f>SUM(E184,E185,E196)</f>
        <v>414574</v>
      </c>
      <c r="F210" s="1691">
        <f>SUM(F184,F185)</f>
        <v>93900</v>
      </c>
      <c r="G210" s="1691">
        <f>SUM(G184,G185)</f>
        <v>16078</v>
      </c>
      <c r="H210" s="1691">
        <f>SUM(H184,H185,H196,H208,H209)</f>
        <v>919</v>
      </c>
      <c r="I210" s="1691">
        <f>SUM(I184,I185)</f>
        <v>0</v>
      </c>
      <c r="J210" s="1691">
        <f>SUM(J184,J185)</f>
        <v>0</v>
      </c>
      <c r="K210" s="1692">
        <f>SUM(K184,K185,K196,K208,K209)</f>
        <v>1141005</v>
      </c>
      <c r="L210" s="1691">
        <f>SUM(L184,L185,L196,L208,L209)</f>
        <v>1173889</v>
      </c>
    </row>
    <row r="211" spans="1:14" ht="13.5" thickTop="1" x14ac:dyDescent="0.2">
      <c r="A211" s="2214" t="s">
        <v>1053</v>
      </c>
      <c r="B211" s="2215"/>
      <c r="C211" s="619"/>
      <c r="D211" s="619"/>
      <c r="E211" s="619"/>
      <c r="F211" s="619"/>
      <c r="G211" s="619"/>
      <c r="H211" s="619"/>
      <c r="I211" s="617"/>
      <c r="J211" s="617"/>
      <c r="K211" s="1705">
        <f>'Revenues 9-14'!F275-'Expenditures 15-22'!K210</f>
        <v>61773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9" t="s">
        <v>1022</v>
      </c>
      <c r="B213" s="2210"/>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134783</v>
      </c>
      <c r="E215" s="617"/>
      <c r="F215" s="617"/>
      <c r="G215" s="617"/>
      <c r="H215" s="617"/>
      <c r="I215" s="617"/>
      <c r="J215" s="617"/>
      <c r="K215" s="1692">
        <f>D215</f>
        <v>134783</v>
      </c>
      <c r="L215" s="466">
        <v>152309</v>
      </c>
    </row>
    <row r="216" spans="1:14" x14ac:dyDescent="0.2">
      <c r="A216" s="1525" t="s">
        <v>165</v>
      </c>
      <c r="B216" s="615" t="s">
        <v>1024</v>
      </c>
      <c r="C216" s="617"/>
      <c r="D216" s="467">
        <v>11929</v>
      </c>
      <c r="E216" s="617"/>
      <c r="F216" s="617"/>
      <c r="G216" s="617"/>
      <c r="H216" s="617"/>
      <c r="I216" s="617"/>
      <c r="J216" s="617"/>
      <c r="K216" s="1692">
        <f t="shared" ref="K216:K228" si="19">D216</f>
        <v>11929</v>
      </c>
      <c r="L216" s="466">
        <v>10096</v>
      </c>
    </row>
    <row r="217" spans="1:14" x14ac:dyDescent="0.2">
      <c r="A217" s="1525" t="s">
        <v>166</v>
      </c>
      <c r="B217" s="615">
        <v>1200</v>
      </c>
      <c r="C217" s="617"/>
      <c r="D217" s="466">
        <v>132809</v>
      </c>
      <c r="E217" s="617"/>
      <c r="F217" s="617"/>
      <c r="G217" s="617"/>
      <c r="H217" s="617"/>
      <c r="I217" s="617"/>
      <c r="J217" s="617"/>
      <c r="K217" s="1692">
        <f t="shared" si="19"/>
        <v>132809</v>
      </c>
      <c r="L217" s="466">
        <v>144966</v>
      </c>
    </row>
    <row r="218" spans="1:14" x14ac:dyDescent="0.2">
      <c r="A218" s="1525" t="s">
        <v>296</v>
      </c>
      <c r="B218" s="615" t="s">
        <v>1025</v>
      </c>
      <c r="C218" s="617"/>
      <c r="D218" s="467"/>
      <c r="E218" s="617"/>
      <c r="F218" s="617"/>
      <c r="G218" s="617"/>
      <c r="H218" s="617"/>
      <c r="I218" s="617"/>
      <c r="J218" s="617"/>
      <c r="K218" s="1692">
        <f t="shared" si="19"/>
        <v>0</v>
      </c>
      <c r="L218" s="466">
        <v>0</v>
      </c>
    </row>
    <row r="219" spans="1:14" x14ac:dyDescent="0.2">
      <c r="A219" s="1525" t="s">
        <v>297</v>
      </c>
      <c r="B219" s="615">
        <v>1250</v>
      </c>
      <c r="C219" s="617"/>
      <c r="D219" s="466"/>
      <c r="E219" s="617"/>
      <c r="F219" s="617"/>
      <c r="G219" s="617"/>
      <c r="H219" s="617"/>
      <c r="I219" s="617"/>
      <c r="J219" s="617"/>
      <c r="K219" s="1692">
        <f t="shared" si="19"/>
        <v>0</v>
      </c>
      <c r="L219" s="466">
        <v>0</v>
      </c>
    </row>
    <row r="220" spans="1:14" x14ac:dyDescent="0.2">
      <c r="A220" s="1525" t="s">
        <v>298</v>
      </c>
      <c r="B220" s="615" t="s">
        <v>163</v>
      </c>
      <c r="C220" s="617"/>
      <c r="D220" s="467"/>
      <c r="E220" s="617"/>
      <c r="F220" s="617"/>
      <c r="G220" s="617"/>
      <c r="H220" s="617"/>
      <c r="I220" s="617"/>
      <c r="J220" s="617"/>
      <c r="K220" s="1692">
        <f t="shared" si="19"/>
        <v>0</v>
      </c>
      <c r="L220" s="466">
        <v>0</v>
      </c>
    </row>
    <row r="221" spans="1:14" x14ac:dyDescent="0.2">
      <c r="A221" s="1525" t="s">
        <v>1019</v>
      </c>
      <c r="B221" s="615">
        <v>1300</v>
      </c>
      <c r="C221" s="617"/>
      <c r="D221" s="466"/>
      <c r="E221" s="617"/>
      <c r="F221" s="617"/>
      <c r="G221" s="617"/>
      <c r="H221" s="617"/>
      <c r="I221" s="617"/>
      <c r="J221" s="617"/>
      <c r="K221" s="1692">
        <f t="shared" si="19"/>
        <v>0</v>
      </c>
      <c r="L221" s="466">
        <v>0</v>
      </c>
    </row>
    <row r="222" spans="1:14" x14ac:dyDescent="0.2">
      <c r="A222" s="1525" t="s">
        <v>747</v>
      </c>
      <c r="B222" s="615">
        <v>1400</v>
      </c>
      <c r="C222" s="617"/>
      <c r="D222" s="466"/>
      <c r="E222" s="617"/>
      <c r="F222" s="617"/>
      <c r="G222" s="617"/>
      <c r="H222" s="617"/>
      <c r="I222" s="617"/>
      <c r="J222" s="617"/>
      <c r="K222" s="1692">
        <f t="shared" si="19"/>
        <v>0</v>
      </c>
      <c r="L222" s="466">
        <v>0</v>
      </c>
    </row>
    <row r="223" spans="1:14" x14ac:dyDescent="0.2">
      <c r="A223" s="1525" t="s">
        <v>1020</v>
      </c>
      <c r="B223" s="615">
        <v>1500</v>
      </c>
      <c r="C223" s="617"/>
      <c r="D223" s="466"/>
      <c r="E223" s="617"/>
      <c r="F223" s="617"/>
      <c r="G223" s="617"/>
      <c r="H223" s="617"/>
      <c r="I223" s="617"/>
      <c r="J223" s="617"/>
      <c r="K223" s="1692">
        <f t="shared" si="19"/>
        <v>0</v>
      </c>
      <c r="L223" s="466">
        <v>0</v>
      </c>
    </row>
    <row r="224" spans="1:14" x14ac:dyDescent="0.2">
      <c r="A224" s="1525" t="s">
        <v>1021</v>
      </c>
      <c r="B224" s="615">
        <v>1600</v>
      </c>
      <c r="C224" s="617"/>
      <c r="D224" s="466">
        <v>1509</v>
      </c>
      <c r="E224" s="617"/>
      <c r="F224" s="617"/>
      <c r="G224" s="617"/>
      <c r="H224" s="617"/>
      <c r="I224" s="617"/>
      <c r="J224" s="617"/>
      <c r="K224" s="1692">
        <f t="shared" si="19"/>
        <v>1509</v>
      </c>
      <c r="L224" s="466">
        <v>3887</v>
      </c>
    </row>
    <row r="225" spans="1:12" x14ac:dyDescent="0.2">
      <c r="A225" s="1525" t="s">
        <v>1044</v>
      </c>
      <c r="B225" s="615">
        <v>1650</v>
      </c>
      <c r="C225" s="617"/>
      <c r="D225" s="466"/>
      <c r="E225" s="617"/>
      <c r="F225" s="617"/>
      <c r="G225" s="617"/>
      <c r="H225" s="617"/>
      <c r="I225" s="617"/>
      <c r="J225" s="617"/>
      <c r="K225" s="1692">
        <f t="shared" si="19"/>
        <v>0</v>
      </c>
      <c r="L225" s="466">
        <v>0</v>
      </c>
    </row>
    <row r="226" spans="1:12" x14ac:dyDescent="0.2">
      <c r="A226" s="1525" t="s">
        <v>748</v>
      </c>
      <c r="B226" s="615" t="s">
        <v>164</v>
      </c>
      <c r="C226" s="617"/>
      <c r="D226" s="467"/>
      <c r="E226" s="617"/>
      <c r="F226" s="617"/>
      <c r="G226" s="617"/>
      <c r="H226" s="617"/>
      <c r="I226" s="617"/>
      <c r="J226" s="617"/>
      <c r="K226" s="1692">
        <f t="shared" si="19"/>
        <v>0</v>
      </c>
      <c r="L226" s="466">
        <v>0</v>
      </c>
    </row>
    <row r="227" spans="1:12" x14ac:dyDescent="0.2">
      <c r="A227" s="1525" t="s">
        <v>1148</v>
      </c>
      <c r="B227" s="615">
        <v>1800</v>
      </c>
      <c r="C227" s="617"/>
      <c r="D227" s="466"/>
      <c r="E227" s="617"/>
      <c r="F227" s="617"/>
      <c r="G227" s="617"/>
      <c r="H227" s="617"/>
      <c r="I227" s="617"/>
      <c r="J227" s="617"/>
      <c r="K227" s="1692">
        <f t="shared" si="19"/>
        <v>0</v>
      </c>
      <c r="L227" s="466">
        <v>0</v>
      </c>
    </row>
    <row r="228" spans="1:12" x14ac:dyDescent="0.2">
      <c r="A228" s="1525"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281030</v>
      </c>
      <c r="E229" s="617"/>
      <c r="F229" s="617"/>
      <c r="G229" s="617"/>
      <c r="H229" s="617"/>
      <c r="I229" s="617"/>
      <c r="J229" s="617"/>
      <c r="K229" s="1691">
        <f>SUM(K215:K228)</f>
        <v>281030</v>
      </c>
      <c r="L229" s="1691">
        <f>SUM(L215:L228)</f>
        <v>311258</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v>0</v>
      </c>
    </row>
    <row r="233" spans="1:12" x14ac:dyDescent="0.2">
      <c r="A233" s="1525" t="s">
        <v>1151</v>
      </c>
      <c r="B233" s="615">
        <v>2120</v>
      </c>
      <c r="C233" s="617"/>
      <c r="D233" s="466"/>
      <c r="E233" s="617"/>
      <c r="F233" s="617"/>
      <c r="G233" s="617"/>
      <c r="H233" s="617"/>
      <c r="I233" s="617"/>
      <c r="J233" s="617"/>
      <c r="K233" s="1692">
        <f t="shared" si="20"/>
        <v>0</v>
      </c>
      <c r="L233" s="466">
        <v>0</v>
      </c>
    </row>
    <row r="234" spans="1:12" x14ac:dyDescent="0.2">
      <c r="A234" s="1525" t="s">
        <v>207</v>
      </c>
      <c r="B234" s="615">
        <v>2130</v>
      </c>
      <c r="C234" s="617"/>
      <c r="D234" s="466">
        <v>24530</v>
      </c>
      <c r="E234" s="617"/>
      <c r="F234" s="617"/>
      <c r="G234" s="617"/>
      <c r="H234" s="617"/>
      <c r="I234" s="617"/>
      <c r="J234" s="617"/>
      <c r="K234" s="1692">
        <f t="shared" si="20"/>
        <v>24530</v>
      </c>
      <c r="L234" s="466">
        <v>24117</v>
      </c>
    </row>
    <row r="235" spans="1:12" x14ac:dyDescent="0.2">
      <c r="A235" s="1525" t="s">
        <v>208</v>
      </c>
      <c r="B235" s="615">
        <v>2140</v>
      </c>
      <c r="C235" s="617"/>
      <c r="D235" s="466"/>
      <c r="E235" s="617"/>
      <c r="F235" s="617"/>
      <c r="G235" s="617"/>
      <c r="H235" s="617"/>
      <c r="I235" s="617"/>
      <c r="J235" s="617"/>
      <c r="K235" s="1692">
        <f t="shared" si="20"/>
        <v>0</v>
      </c>
      <c r="L235" s="466">
        <v>0</v>
      </c>
    </row>
    <row r="236" spans="1:12" x14ac:dyDescent="0.2">
      <c r="A236" s="1525" t="s">
        <v>209</v>
      </c>
      <c r="B236" s="615">
        <v>2150</v>
      </c>
      <c r="C236" s="617"/>
      <c r="D236" s="466"/>
      <c r="E236" s="617"/>
      <c r="F236" s="617"/>
      <c r="G236" s="617"/>
      <c r="H236" s="617"/>
      <c r="I236" s="617"/>
      <c r="J236" s="617"/>
      <c r="K236" s="1692">
        <f t="shared" si="20"/>
        <v>0</v>
      </c>
      <c r="L236" s="466">
        <v>0</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24530</v>
      </c>
      <c r="E238" s="617"/>
      <c r="F238" s="617"/>
      <c r="G238" s="617"/>
      <c r="H238" s="617"/>
      <c r="I238" s="617"/>
      <c r="J238" s="617"/>
      <c r="K238" s="1691">
        <f>SUM(K232:K237)</f>
        <v>24530</v>
      </c>
      <c r="L238" s="1691">
        <f>SUM(L232:L237)</f>
        <v>24117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13451</v>
      </c>
      <c r="E240" s="617"/>
      <c r="F240" s="617"/>
      <c r="G240" s="617"/>
      <c r="H240" s="617"/>
      <c r="I240" s="617"/>
      <c r="J240" s="617"/>
      <c r="K240" s="1693">
        <f>D240</f>
        <v>13451</v>
      </c>
      <c r="L240" s="481">
        <v>17788</v>
      </c>
    </row>
    <row r="241" spans="1:12" x14ac:dyDescent="0.2">
      <c r="A241" s="1525" t="s">
        <v>869</v>
      </c>
      <c r="B241" s="615">
        <v>2220</v>
      </c>
      <c r="C241" s="617"/>
      <c r="D241" s="466">
        <v>47183</v>
      </c>
      <c r="E241" s="617"/>
      <c r="F241" s="617"/>
      <c r="G241" s="617"/>
      <c r="H241" s="617"/>
      <c r="I241" s="617"/>
      <c r="J241" s="617"/>
      <c r="K241" s="1693">
        <f>D241</f>
        <v>47183</v>
      </c>
      <c r="L241" s="466">
        <v>46552</v>
      </c>
    </row>
    <row r="242" spans="1:12" x14ac:dyDescent="0.2">
      <c r="A242" s="1525"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60634</v>
      </c>
      <c r="E243" s="617"/>
      <c r="F243" s="617"/>
      <c r="G243" s="617"/>
      <c r="H243" s="617"/>
      <c r="I243" s="617"/>
      <c r="J243" s="617"/>
      <c r="K243" s="1691">
        <f>SUM(K240:K242)</f>
        <v>60634</v>
      </c>
      <c r="L243" s="1691">
        <f>SUM(L240:L242)</f>
        <v>64340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v>0</v>
      </c>
    </row>
    <row r="246" spans="1:12" x14ac:dyDescent="0.2">
      <c r="A246" s="1525" t="s">
        <v>872</v>
      </c>
      <c r="B246" s="615">
        <v>2320</v>
      </c>
      <c r="C246" s="617"/>
      <c r="D246" s="466">
        <v>13820</v>
      </c>
      <c r="E246" s="617"/>
      <c r="F246" s="617"/>
      <c r="G246" s="617"/>
      <c r="H246" s="617"/>
      <c r="I246" s="617"/>
      <c r="J246" s="617"/>
      <c r="K246" s="1693">
        <f t="shared" ref="K246:K256" si="21">D246</f>
        <v>13820</v>
      </c>
      <c r="L246" s="466">
        <v>14523</v>
      </c>
    </row>
    <row r="247" spans="1:12" x14ac:dyDescent="0.2">
      <c r="A247" s="1525" t="s">
        <v>873</v>
      </c>
      <c r="B247" s="615">
        <v>2330</v>
      </c>
      <c r="C247" s="617"/>
      <c r="D247" s="466"/>
      <c r="E247" s="617"/>
      <c r="F247" s="617"/>
      <c r="G247" s="617"/>
      <c r="H247" s="617"/>
      <c r="I247" s="617"/>
      <c r="J247" s="617"/>
      <c r="K247" s="1693">
        <f t="shared" si="21"/>
        <v>0</v>
      </c>
      <c r="L247" s="466">
        <v>0</v>
      </c>
    </row>
    <row r="248" spans="1:12" x14ac:dyDescent="0.2">
      <c r="A248" s="1526" t="s">
        <v>317</v>
      </c>
      <c r="B248" s="603" t="s">
        <v>299</v>
      </c>
      <c r="C248" s="617"/>
      <c r="D248" s="474"/>
      <c r="E248" s="617"/>
      <c r="F248" s="617"/>
      <c r="G248" s="617"/>
      <c r="H248" s="617"/>
      <c r="I248" s="617"/>
      <c r="J248" s="617"/>
      <c r="K248" s="1693">
        <f t="shared" si="21"/>
        <v>0</v>
      </c>
      <c r="L248" s="466">
        <v>0</v>
      </c>
    </row>
    <row r="249" spans="1:12" x14ac:dyDescent="0.2">
      <c r="A249" s="1527" t="s">
        <v>1905</v>
      </c>
      <c r="B249" s="684" t="s">
        <v>300</v>
      </c>
      <c r="C249" s="617"/>
      <c r="D249" s="474"/>
      <c r="E249" s="617"/>
      <c r="F249" s="617"/>
      <c r="G249" s="617"/>
      <c r="H249" s="617"/>
      <c r="I249" s="617"/>
      <c r="J249" s="617"/>
      <c r="K249" s="1693">
        <f t="shared" si="21"/>
        <v>0</v>
      </c>
      <c r="L249" s="466">
        <v>0</v>
      </c>
    </row>
    <row r="250" spans="1:12" x14ac:dyDescent="0.2">
      <c r="A250" s="1526" t="s">
        <v>1906</v>
      </c>
      <c r="B250" s="603" t="s">
        <v>301</v>
      </c>
      <c r="C250" s="617"/>
      <c r="D250" s="474"/>
      <c r="E250" s="617"/>
      <c r="F250" s="617"/>
      <c r="G250" s="617"/>
      <c r="H250" s="617"/>
      <c r="I250" s="617"/>
      <c r="J250" s="617"/>
      <c r="K250" s="1693">
        <f t="shared" si="21"/>
        <v>0</v>
      </c>
      <c r="L250" s="466">
        <v>0</v>
      </c>
    </row>
    <row r="251" spans="1:12" x14ac:dyDescent="0.2">
      <c r="A251" s="1526" t="s">
        <v>256</v>
      </c>
      <c r="B251" s="603" t="s">
        <v>302</v>
      </c>
      <c r="C251" s="617"/>
      <c r="D251" s="474"/>
      <c r="E251" s="617"/>
      <c r="F251" s="617"/>
      <c r="G251" s="617"/>
      <c r="H251" s="617"/>
      <c r="I251" s="617"/>
      <c r="J251" s="617"/>
      <c r="K251" s="1693">
        <f t="shared" si="21"/>
        <v>0</v>
      </c>
      <c r="L251" s="466">
        <v>0</v>
      </c>
    </row>
    <row r="252" spans="1:12" x14ac:dyDescent="0.2">
      <c r="A252" s="1526" t="s">
        <v>726</v>
      </c>
      <c r="B252" s="603" t="s">
        <v>303</v>
      </c>
      <c r="C252" s="617"/>
      <c r="D252" s="474"/>
      <c r="E252" s="617"/>
      <c r="F252" s="617"/>
      <c r="G252" s="617"/>
      <c r="H252" s="617"/>
      <c r="I252" s="617"/>
      <c r="J252" s="617"/>
      <c r="K252" s="1693">
        <f t="shared" si="21"/>
        <v>0</v>
      </c>
      <c r="L252" s="466">
        <v>0</v>
      </c>
    </row>
    <row r="253" spans="1:12" x14ac:dyDescent="0.2">
      <c r="A253" s="1526" t="s">
        <v>257</v>
      </c>
      <c r="B253" s="603" t="s">
        <v>304</v>
      </c>
      <c r="C253" s="617"/>
      <c r="D253" s="474"/>
      <c r="E253" s="617"/>
      <c r="F253" s="617"/>
      <c r="G253" s="617"/>
      <c r="H253" s="617"/>
      <c r="I253" s="617"/>
      <c r="J253" s="617"/>
      <c r="K253" s="1693">
        <f t="shared" si="21"/>
        <v>0</v>
      </c>
      <c r="L253" s="466">
        <v>0</v>
      </c>
    </row>
    <row r="254" spans="1:12" ht="22.5" x14ac:dyDescent="0.2">
      <c r="A254" s="1526" t="s">
        <v>1087</v>
      </c>
      <c r="B254" s="684" t="s">
        <v>305</v>
      </c>
      <c r="C254" s="617"/>
      <c r="D254" s="474">
        <v>1227</v>
      </c>
      <c r="E254" s="617"/>
      <c r="F254" s="617"/>
      <c r="G254" s="617"/>
      <c r="H254" s="617"/>
      <c r="I254" s="617"/>
      <c r="J254" s="617"/>
      <c r="K254" s="1693">
        <f t="shared" si="21"/>
        <v>1227</v>
      </c>
      <c r="L254" s="466">
        <v>1179</v>
      </c>
    </row>
    <row r="255" spans="1:12" x14ac:dyDescent="0.2">
      <c r="A255" s="1526" t="s">
        <v>1088</v>
      </c>
      <c r="B255" s="603" t="s">
        <v>306</v>
      </c>
      <c r="C255" s="617"/>
      <c r="D255" s="474"/>
      <c r="E255" s="617"/>
      <c r="F255" s="617"/>
      <c r="G255" s="617"/>
      <c r="H255" s="617"/>
      <c r="I255" s="617"/>
      <c r="J255" s="617"/>
      <c r="K255" s="1693">
        <f t="shared" si="21"/>
        <v>0</v>
      </c>
      <c r="L255" s="466">
        <v>0</v>
      </c>
    </row>
    <row r="256" spans="1:12" x14ac:dyDescent="0.2">
      <c r="A256" s="1526"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15047</v>
      </c>
      <c r="E257" s="617"/>
      <c r="F257" s="617"/>
      <c r="G257" s="617"/>
      <c r="H257" s="617"/>
      <c r="I257" s="617"/>
      <c r="J257" s="617"/>
      <c r="K257" s="1691">
        <f>SUM(K245:K256)</f>
        <v>15047</v>
      </c>
      <c r="L257" s="1691">
        <f>SUM(L245:L256)</f>
        <v>15702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60404</v>
      </c>
      <c r="E259" s="617"/>
      <c r="F259" s="617"/>
      <c r="G259" s="617"/>
      <c r="H259" s="617"/>
      <c r="I259" s="617"/>
      <c r="J259" s="617"/>
      <c r="K259" s="1693">
        <f>D259</f>
        <v>60404</v>
      </c>
      <c r="L259" s="481">
        <v>63316</v>
      </c>
    </row>
    <row r="260" spans="1:14" s="598" customFormat="1" x14ac:dyDescent="0.2">
      <c r="A260" s="1543" t="s">
        <v>1904</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60404</v>
      </c>
      <c r="E261" s="617"/>
      <c r="F261" s="617"/>
      <c r="G261" s="617"/>
      <c r="H261" s="617"/>
      <c r="I261" s="617"/>
      <c r="J261" s="617"/>
      <c r="K261" s="1691">
        <f>SUM(K259:K260)</f>
        <v>60404</v>
      </c>
      <c r="L261" s="1691">
        <f>SUM(L259:L260)</f>
        <v>63316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31558</v>
      </c>
      <c r="E263" s="617"/>
      <c r="F263" s="617"/>
      <c r="G263" s="617"/>
      <c r="H263" s="617"/>
      <c r="I263" s="617"/>
      <c r="J263" s="617"/>
      <c r="K263" s="1693">
        <f>D263</f>
        <v>31558</v>
      </c>
      <c r="L263" s="481">
        <v>30618</v>
      </c>
    </row>
    <row r="264" spans="1:14" x14ac:dyDescent="0.2">
      <c r="A264" s="1525" t="s">
        <v>483</v>
      </c>
      <c r="B264" s="686">
        <v>2520</v>
      </c>
      <c r="C264" s="617"/>
      <c r="D264" s="466">
        <v>29103</v>
      </c>
      <c r="E264" s="617"/>
      <c r="F264" s="617"/>
      <c r="G264" s="617"/>
      <c r="H264" s="617"/>
      <c r="I264" s="617"/>
      <c r="J264" s="617"/>
      <c r="K264" s="1693">
        <f t="shared" ref="K264:K269" si="22">D264</f>
        <v>29103</v>
      </c>
      <c r="L264" s="466">
        <v>29027</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c r="E266" s="617"/>
      <c r="F266" s="617"/>
      <c r="G266" s="617"/>
      <c r="H266" s="617"/>
      <c r="I266" s="617"/>
      <c r="J266" s="617"/>
      <c r="K266" s="1693">
        <f t="shared" si="22"/>
        <v>0</v>
      </c>
      <c r="L266" s="466">
        <v>0</v>
      </c>
    </row>
    <row r="267" spans="1:14" x14ac:dyDescent="0.2">
      <c r="A267" s="1525" t="s">
        <v>1010</v>
      </c>
      <c r="B267" s="615">
        <v>2550</v>
      </c>
      <c r="C267" s="617"/>
      <c r="D267" s="466">
        <v>93268</v>
      </c>
      <c r="E267" s="617"/>
      <c r="F267" s="617"/>
      <c r="G267" s="617"/>
      <c r="H267" s="617"/>
      <c r="I267" s="617"/>
      <c r="J267" s="617"/>
      <c r="K267" s="1693">
        <f t="shared" si="22"/>
        <v>93268</v>
      </c>
      <c r="L267" s="466">
        <v>97951</v>
      </c>
    </row>
    <row r="268" spans="1:14" x14ac:dyDescent="0.2">
      <c r="A268" s="1525" t="s">
        <v>102</v>
      </c>
      <c r="B268" s="615">
        <v>2560</v>
      </c>
      <c r="C268" s="617"/>
      <c r="D268" s="466"/>
      <c r="E268" s="617"/>
      <c r="F268" s="617"/>
      <c r="G268" s="617"/>
      <c r="H268" s="617"/>
      <c r="I268" s="617"/>
      <c r="J268" s="617"/>
      <c r="K268" s="1693">
        <f t="shared" si="22"/>
        <v>0</v>
      </c>
      <c r="L268" s="466">
        <v>0</v>
      </c>
    </row>
    <row r="269" spans="1:14" x14ac:dyDescent="0.2">
      <c r="A269" s="1525"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153929</v>
      </c>
      <c r="E270" s="617"/>
      <c r="F270" s="617"/>
      <c r="G270" s="617"/>
      <c r="H270" s="617"/>
      <c r="I270" s="617"/>
      <c r="J270" s="617"/>
      <c r="K270" s="1691">
        <f>SUM(K263:K269)</f>
        <v>153929</v>
      </c>
      <c r="L270" s="1691">
        <f>SUM(L263:L269)</f>
        <v>157596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v>0</v>
      </c>
    </row>
    <row r="273" spans="1:12" x14ac:dyDescent="0.2">
      <c r="A273" s="1525" t="s">
        <v>628</v>
      </c>
      <c r="B273" s="629">
        <v>2620</v>
      </c>
      <c r="C273" s="617"/>
      <c r="D273" s="466"/>
      <c r="E273" s="617"/>
      <c r="F273" s="617"/>
      <c r="G273" s="617"/>
      <c r="H273" s="617"/>
      <c r="I273" s="617"/>
      <c r="J273" s="617"/>
      <c r="K273" s="1693">
        <f>D273</f>
        <v>0</v>
      </c>
      <c r="L273" s="466">
        <v>0</v>
      </c>
    </row>
    <row r="274" spans="1:12" ht="12" customHeight="1" x14ac:dyDescent="0.2">
      <c r="A274" s="1525" t="s">
        <v>1121</v>
      </c>
      <c r="B274" s="615">
        <v>2630</v>
      </c>
      <c r="C274" s="617"/>
      <c r="D274" s="466"/>
      <c r="E274" s="617"/>
      <c r="F274" s="617"/>
      <c r="G274" s="617"/>
      <c r="H274" s="617"/>
      <c r="I274" s="617"/>
      <c r="J274" s="617"/>
      <c r="K274" s="1693">
        <f>D274</f>
        <v>0</v>
      </c>
      <c r="L274" s="466">
        <v>0</v>
      </c>
    </row>
    <row r="275" spans="1:12" x14ac:dyDescent="0.2">
      <c r="A275" s="1525" t="s">
        <v>423</v>
      </c>
      <c r="B275" s="615">
        <v>2640</v>
      </c>
      <c r="C275" s="617"/>
      <c r="D275" s="466"/>
      <c r="E275" s="617"/>
      <c r="F275" s="617"/>
      <c r="G275" s="617"/>
      <c r="H275" s="617"/>
      <c r="I275" s="617"/>
      <c r="J275" s="617"/>
      <c r="K275" s="1693">
        <f>D275</f>
        <v>0</v>
      </c>
      <c r="L275" s="466">
        <v>0</v>
      </c>
    </row>
    <row r="276" spans="1:12" x14ac:dyDescent="0.2">
      <c r="A276" s="1525" t="s">
        <v>424</v>
      </c>
      <c r="B276" s="615">
        <v>2660</v>
      </c>
      <c r="C276" s="617"/>
      <c r="D276" s="466">
        <v>43650</v>
      </c>
      <c r="E276" s="617"/>
      <c r="F276" s="617"/>
      <c r="G276" s="617"/>
      <c r="H276" s="617"/>
      <c r="I276" s="617"/>
      <c r="J276" s="617"/>
      <c r="K276" s="1693">
        <f>D276</f>
        <v>43650</v>
      </c>
      <c r="L276" s="466">
        <v>43537</v>
      </c>
    </row>
    <row r="277" spans="1:12" ht="12.75" customHeight="1" thickBot="1" x14ac:dyDescent="0.25">
      <c r="A277" s="1712" t="s">
        <v>37</v>
      </c>
      <c r="B277" s="1690" t="s">
        <v>36</v>
      </c>
      <c r="C277" s="617"/>
      <c r="D277" s="1691">
        <f>SUM(D272:D276)</f>
        <v>43650</v>
      </c>
      <c r="E277" s="617"/>
      <c r="F277" s="617"/>
      <c r="G277" s="617"/>
      <c r="H277" s="617"/>
      <c r="I277" s="617"/>
      <c r="J277" s="617"/>
      <c r="K277" s="1691">
        <f>SUM(K272:K276)</f>
        <v>43650</v>
      </c>
      <c r="L277" s="1691">
        <f>SUM(L272:L276)</f>
        <v>43537</v>
      </c>
    </row>
    <row r="278" spans="1:12" ht="13.5" customHeight="1" thickTop="1" x14ac:dyDescent="0.2">
      <c r="A278" s="1531" t="s">
        <v>1037</v>
      </c>
      <c r="B278" s="656" t="s">
        <v>595</v>
      </c>
      <c r="C278" s="617"/>
      <c r="D278" s="657">
        <v>8672</v>
      </c>
      <c r="E278" s="617"/>
      <c r="F278" s="617"/>
      <c r="G278" s="617"/>
      <c r="H278" s="617"/>
      <c r="I278" s="617"/>
      <c r="J278" s="617"/>
      <c r="K278" s="1706">
        <f>D278</f>
        <v>8672</v>
      </c>
      <c r="L278" s="657">
        <v>1179</v>
      </c>
    </row>
    <row r="279" spans="1:12" ht="12.75" customHeight="1" thickBot="1" x14ac:dyDescent="0.25">
      <c r="A279" s="1719" t="s">
        <v>865</v>
      </c>
      <c r="B279" s="1702">
        <v>2000</v>
      </c>
      <c r="C279" s="617"/>
      <c r="D279" s="1698">
        <f>SUM(D238,D243,D257,D261,D270,D277,D278)</f>
        <v>366866</v>
      </c>
      <c r="E279" s="617"/>
      <c r="F279" s="617"/>
      <c r="G279" s="617"/>
      <c r="H279" s="617"/>
      <c r="I279" s="617"/>
      <c r="J279" s="617"/>
      <c r="K279" s="1698">
        <f>SUM(K238,K243,K257,K261,K270,K277,K278)</f>
        <v>366866</v>
      </c>
      <c r="L279" s="1698">
        <f>SUM(L238,L243,L257,L261,L270,L277,L278)</f>
        <v>369787</v>
      </c>
    </row>
    <row r="280" spans="1:12" ht="15.75" customHeight="1" thickTop="1" thickBot="1" x14ac:dyDescent="0.25">
      <c r="A280" s="1645" t="s">
        <v>930</v>
      </c>
      <c r="B280" s="1634">
        <v>3000</v>
      </c>
      <c r="C280" s="617"/>
      <c r="D280" s="576">
        <v>28379</v>
      </c>
      <c r="E280" s="617"/>
      <c r="F280" s="617"/>
      <c r="G280" s="617"/>
      <c r="H280" s="617"/>
      <c r="I280" s="617"/>
      <c r="J280" s="617"/>
      <c r="K280" s="1700">
        <f>D280</f>
        <v>28379</v>
      </c>
      <c r="L280" s="576">
        <v>33305</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v>0</v>
      </c>
    </row>
    <row r="283" spans="1:12" x14ac:dyDescent="0.2">
      <c r="A283" s="1525" t="s">
        <v>322</v>
      </c>
      <c r="B283" s="615">
        <v>4120</v>
      </c>
      <c r="C283" s="617"/>
      <c r="D283" s="466"/>
      <c r="E283" s="617"/>
      <c r="F283" s="617"/>
      <c r="G283" s="617"/>
      <c r="H283" s="617"/>
      <c r="I283" s="617"/>
      <c r="J283" s="617"/>
      <c r="K283" s="1692">
        <f>D283</f>
        <v>0</v>
      </c>
      <c r="L283" s="466">
        <v>0</v>
      </c>
    </row>
    <row r="284" spans="1:12" x14ac:dyDescent="0.2">
      <c r="A284" s="1525"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1232</v>
      </c>
      <c r="B290" s="629" t="s">
        <v>638</v>
      </c>
      <c r="C290" s="617"/>
      <c r="D290" s="617"/>
      <c r="E290" s="617"/>
      <c r="F290" s="617"/>
      <c r="G290" s="617"/>
      <c r="H290" s="466"/>
      <c r="I290" s="617"/>
      <c r="J290" s="617"/>
      <c r="K290" s="1692">
        <f>H290</f>
        <v>0</v>
      </c>
      <c r="L290" s="466">
        <v>0</v>
      </c>
    </row>
    <row r="291" spans="1:14" x14ac:dyDescent="0.2">
      <c r="A291" s="1525" t="s">
        <v>91</v>
      </c>
      <c r="B291" s="615" t="s">
        <v>610</v>
      </c>
      <c r="C291" s="617"/>
      <c r="D291" s="617"/>
      <c r="E291" s="617"/>
      <c r="F291" s="617"/>
      <c r="G291" s="617"/>
      <c r="H291" s="466"/>
      <c r="I291" s="617"/>
      <c r="J291" s="617"/>
      <c r="K291" s="1692">
        <f>H291</f>
        <v>0</v>
      </c>
      <c r="L291" s="466">
        <v>0</v>
      </c>
    </row>
    <row r="292" spans="1:14" x14ac:dyDescent="0.2">
      <c r="A292" s="1525"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10000</v>
      </c>
    </row>
    <row r="295" spans="1:14" ht="12.75" customHeight="1" thickTop="1" thickBot="1" x14ac:dyDescent="0.25">
      <c r="A295" s="2205" t="s">
        <v>526</v>
      </c>
      <c r="B295" s="2206"/>
      <c r="C295" s="617"/>
      <c r="D295" s="1691">
        <f>SUM(D229,D279,D280,D285)</f>
        <v>676275</v>
      </c>
      <c r="E295" s="617"/>
      <c r="F295" s="617"/>
      <c r="G295" s="617"/>
      <c r="H295" s="1691">
        <f>H293</f>
        <v>0</v>
      </c>
      <c r="I295" s="617"/>
      <c r="J295" s="617"/>
      <c r="K295" s="1691">
        <f>SUM(K229,K279,K280,K285,K293,K294)</f>
        <v>676275</v>
      </c>
      <c r="L295" s="1691">
        <f>SUM(L229,L279,L280,L285,L293,L294)</f>
        <v>724350</v>
      </c>
    </row>
    <row r="296" spans="1:14" ht="13.5" thickTop="1" x14ac:dyDescent="0.2">
      <c r="A296" s="2214" t="s">
        <v>1053</v>
      </c>
      <c r="B296" s="2215"/>
      <c r="C296" s="617"/>
      <c r="D296" s="619"/>
      <c r="E296" s="617"/>
      <c r="F296" s="617"/>
      <c r="G296" s="617"/>
      <c r="H296" s="688"/>
      <c r="I296" s="617"/>
      <c r="J296" s="617"/>
      <c r="K296" s="1705">
        <f>'Revenues 9-14'!G275-'Expenditures 15-22'!K295</f>
        <v>51625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7" t="s">
        <v>145</v>
      </c>
      <c r="B298" s="2191"/>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v>0</v>
      </c>
    </row>
    <row r="302" spans="1:14" ht="13.5" customHeight="1" x14ac:dyDescent="0.2">
      <c r="A302" s="1538"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92">
        <f>SUM(E306,H306)</f>
        <v>0</v>
      </c>
      <c r="L306" s="467">
        <v>0</v>
      </c>
    </row>
    <row r="307" spans="1:14" x14ac:dyDescent="0.2">
      <c r="A307" s="1525" t="s">
        <v>322</v>
      </c>
      <c r="B307" s="615">
        <v>4120</v>
      </c>
      <c r="C307" s="617"/>
      <c r="D307" s="617"/>
      <c r="E307" s="467"/>
      <c r="F307" s="617"/>
      <c r="G307" s="617"/>
      <c r="H307" s="467"/>
      <c r="I307" s="477"/>
      <c r="J307" s="617"/>
      <c r="K307" s="1692">
        <f>SUM(E307,H307)</f>
        <v>0</v>
      </c>
      <c r="L307" s="466">
        <v>0</v>
      </c>
    </row>
    <row r="308" spans="1:14" x14ac:dyDescent="0.2">
      <c r="A308" s="1525" t="s">
        <v>721</v>
      </c>
      <c r="B308" s="615">
        <v>4140</v>
      </c>
      <c r="C308" s="617"/>
      <c r="D308" s="617"/>
      <c r="E308" s="467"/>
      <c r="F308" s="617"/>
      <c r="G308" s="617"/>
      <c r="H308" s="467"/>
      <c r="I308" s="477"/>
      <c r="J308" s="617"/>
      <c r="K308" s="1692">
        <f>SUM(E308,H308)</f>
        <v>0</v>
      </c>
      <c r="L308" s="466">
        <v>0</v>
      </c>
    </row>
    <row r="309" spans="1:14" ht="12.75" customHeight="1" x14ac:dyDescent="0.2">
      <c r="A309" s="1529"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02" t="s">
        <v>295</v>
      </c>
      <c r="B312" s="2203"/>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8" t="s">
        <v>1053</v>
      </c>
      <c r="B313" s="2199"/>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1" t="s">
        <v>151</v>
      </c>
      <c r="B315" s="2212"/>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3" t="s">
        <v>954</v>
      </c>
      <c r="B317" s="2212"/>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4" t="s">
        <v>1905</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0" t="s">
        <v>256</v>
      </c>
      <c r="B322" s="698" t="s">
        <v>302</v>
      </c>
      <c r="C322" s="467"/>
      <c r="D322" s="467"/>
      <c r="E322" s="467">
        <v>216509</v>
      </c>
      <c r="F322" s="467"/>
      <c r="G322" s="467"/>
      <c r="H322" s="467"/>
      <c r="I322" s="467"/>
      <c r="J322" s="467"/>
      <c r="K322" s="1692">
        <f t="shared" si="24"/>
        <v>216509</v>
      </c>
      <c r="L322" s="467">
        <v>236707</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0" t="s">
        <v>1087</v>
      </c>
      <c r="B325" s="699" t="s">
        <v>305</v>
      </c>
      <c r="C325" s="467">
        <v>7645</v>
      </c>
      <c r="D325" s="467">
        <v>1288</v>
      </c>
      <c r="E325" s="467"/>
      <c r="F325" s="467"/>
      <c r="G325" s="467"/>
      <c r="H325" s="467"/>
      <c r="I325" s="467"/>
      <c r="J325" s="467"/>
      <c r="K325" s="1692">
        <f t="shared" si="24"/>
        <v>8933</v>
      </c>
      <c r="L325" s="467">
        <v>8651</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7645</v>
      </c>
      <c r="D330" s="1691">
        <f t="shared" ref="D330:J330" si="25">SUM(D319:D329)</f>
        <v>1288</v>
      </c>
      <c r="E330" s="1691">
        <f t="shared" si="25"/>
        <v>216509</v>
      </c>
      <c r="F330" s="1691">
        <f t="shared" si="25"/>
        <v>0</v>
      </c>
      <c r="G330" s="1691">
        <f t="shared" si="25"/>
        <v>0</v>
      </c>
      <c r="H330" s="1691">
        <f t="shared" si="25"/>
        <v>0</v>
      </c>
      <c r="I330" s="1691">
        <f t="shared" si="25"/>
        <v>0</v>
      </c>
      <c r="J330" s="1691">
        <f t="shared" si="25"/>
        <v>0</v>
      </c>
      <c r="K330" s="1691">
        <f>SUM(K319:K329)</f>
        <v>225442</v>
      </c>
      <c r="L330" s="1691">
        <f>SUM(L319:L329)</f>
        <v>245358</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1956</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v>0</v>
      </c>
    </row>
    <row r="338" spans="1:14" ht="12.75" customHeight="1" x14ac:dyDescent="0.2">
      <c r="A338" s="1539" t="s">
        <v>1232</v>
      </c>
      <c r="B338" s="691" t="s">
        <v>638</v>
      </c>
      <c r="C338" s="639"/>
      <c r="D338" s="639"/>
      <c r="E338" s="639"/>
      <c r="F338" s="639"/>
      <c r="G338" s="639"/>
      <c r="H338" s="478"/>
      <c r="I338" s="639"/>
      <c r="J338" s="639"/>
      <c r="K338" s="1692">
        <f>H338</f>
        <v>0</v>
      </c>
      <c r="L338" s="478">
        <v>0</v>
      </c>
    </row>
    <row r="339" spans="1:14" x14ac:dyDescent="0.2">
      <c r="A339" s="1525"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7645</v>
      </c>
      <c r="D342" s="1691">
        <f>SUM(D330)</f>
        <v>1288</v>
      </c>
      <c r="E342" s="1691">
        <f>SUM(E330)</f>
        <v>216509</v>
      </c>
      <c r="F342" s="1691">
        <f>SUM(F330)</f>
        <v>0</v>
      </c>
      <c r="G342" s="1691">
        <f>SUM(G330)</f>
        <v>0</v>
      </c>
      <c r="H342" s="1691">
        <f>SUM(H330,H334,H340)</f>
        <v>0</v>
      </c>
      <c r="I342" s="1691">
        <f>SUM(I330)</f>
        <v>0</v>
      </c>
      <c r="J342" s="1691">
        <f>SUM(J330)</f>
        <v>0</v>
      </c>
      <c r="K342" s="1691">
        <f>SUM(K330,K334,K340)</f>
        <v>225442</v>
      </c>
      <c r="L342" s="1698">
        <f>SUM(L330,L340,L341)</f>
        <v>245358</v>
      </c>
    </row>
    <row r="343" spans="1:14" ht="12.75" customHeight="1" thickTop="1" x14ac:dyDescent="0.2">
      <c r="A343" s="2200" t="s">
        <v>1053</v>
      </c>
      <c r="B343" s="2201"/>
      <c r="C343" s="617"/>
      <c r="D343" s="617"/>
      <c r="E343" s="617"/>
      <c r="F343" s="617"/>
      <c r="G343" s="617"/>
      <c r="H343" s="617"/>
      <c r="I343" s="617"/>
      <c r="J343" s="617"/>
      <c r="K343" s="1705">
        <f>'Revenues 9-14'!J275-'Expenditures 15-22'!K342</f>
        <v>-5706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0" t="s">
        <v>1023</v>
      </c>
      <c r="B345" s="2191"/>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0</v>
      </c>
    </row>
    <row r="349" spans="1:14" x14ac:dyDescent="0.2">
      <c r="A349" s="1525"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v>0</v>
      </c>
    </row>
    <row r="355" spans="1:14" ht="12.75" customHeight="1" x14ac:dyDescent="0.2">
      <c r="A355" s="1534" t="s">
        <v>1963</v>
      </c>
      <c r="B355" s="691" t="s">
        <v>1956</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14" t="s">
        <v>1053</v>
      </c>
      <c r="B368" s="2215"/>
      <c r="C368" s="655"/>
      <c r="D368" s="655"/>
      <c r="E368" s="627"/>
      <c r="F368" s="627"/>
      <c r="G368" s="627"/>
      <c r="H368" s="627"/>
      <c r="I368" s="627"/>
      <c r="J368" s="624"/>
      <c r="K368" s="1692">
        <f>'Revenues 9-14'!K275-'Expenditures 15-22'!K367</f>
        <v>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purl.org/dc/dcmitype/"/>
    <ds:schemaRef ds:uri="http://purl.org/dc/elements/1.1/"/>
    <ds:schemaRef ds:uri="4d435f69-8686-490b-bd6d-b153bf22ab50"/>
    <ds:schemaRef ds:uri="http://schemas.microsoft.com/office/2006/metadata/properties"/>
    <ds:schemaRef ds:uri="6ce3111e-7420-4802-b50a-75d4e9a0b980"/>
    <ds:schemaRef ds:uri="http://schemas.openxmlformats.org/package/2006/metadata/core-properties"/>
    <ds:schemaRef ds:uri="http://www.w3.org/XML/1998/namespace"/>
    <ds:schemaRef ds:uri="http://schemas.microsoft.com/office/infopath/2007/PartnerControl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 (1)</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2018-09-18T14:20:39Z</cp:lastPrinted>
  <dcterms:created xsi:type="dcterms:W3CDTF">2003-10-29T19:06:34Z</dcterms:created>
  <dcterms:modified xsi:type="dcterms:W3CDTF">2018-10-16T20:27:38Z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