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2 (3)" sheetId="184" r:id="rId33"/>
    <sheet name="SF&amp;QC Sec-2 (4)" sheetId="185" r:id="rId34"/>
    <sheet name="SF&amp;QC Sec-2 (5)" sheetId="186" r:id="rId35"/>
    <sheet name="SF&amp;QC Sec-3" sheetId="176" r:id="rId36"/>
    <sheet name="SSPAF" sheetId="177" r:id="rId37"/>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5">'SF&amp;QC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B4" i="186" l="1"/>
  <c r="B4" i="185"/>
  <c r="B4" i="184"/>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9" i="181"/>
  <c r="G39" i="181" s="1"/>
  <c r="E39" i="181"/>
  <c r="F38" i="181"/>
  <c r="G38" i="181" s="1"/>
  <c r="E38" i="181"/>
  <c r="E37" i="181"/>
  <c r="F37" i="181" s="1"/>
  <c r="G37" i="181" s="1"/>
  <c r="E36" i="181"/>
  <c r="F36" i="181" s="1"/>
  <c r="G36" i="181" s="1"/>
  <c r="F35" i="181"/>
  <c r="G35" i="181" s="1"/>
  <c r="E35" i="181"/>
  <c r="F34" i="181"/>
  <c r="G34" i="181" s="1"/>
  <c r="E34" i="181"/>
  <c r="E33" i="181"/>
  <c r="F33" i="181" s="1"/>
  <c r="G33" i="181" s="1"/>
  <c r="E32" i="181"/>
  <c r="F32" i="181" s="1"/>
  <c r="G32" i="181" s="1"/>
  <c r="E31" i="181"/>
  <c r="F31" i="181" s="1"/>
  <c r="G31" i="181" s="1"/>
  <c r="F30" i="181"/>
  <c r="G30" i="181" s="1"/>
  <c r="E30" i="181"/>
  <c r="F29" i="181"/>
  <c r="G29" i="181" s="1"/>
  <c r="E29" i="181"/>
  <c r="E28" i="181"/>
  <c r="F28" i="181" s="1"/>
  <c r="G28" i="181" s="1"/>
  <c r="F27" i="181"/>
  <c r="G27" i="181" s="1"/>
  <c r="E27" i="181"/>
  <c r="E26" i="181"/>
  <c r="F26" i="181" s="1"/>
  <c r="G26" i="181" s="1"/>
  <c r="F25" i="181"/>
  <c r="G25" i="181" s="1"/>
  <c r="E25" i="181"/>
  <c r="E24" i="181"/>
  <c r="F24" i="181" s="1"/>
  <c r="G24" i="181" s="1"/>
  <c r="F23" i="181"/>
  <c r="G23" i="181" s="1"/>
  <c r="E23" i="181"/>
  <c r="F22" i="181"/>
  <c r="G22" i="181" s="1"/>
  <c r="E22" i="181"/>
  <c r="F21" i="181"/>
  <c r="G21" i="181" s="1"/>
  <c r="E21" i="181"/>
  <c r="E20" i="181"/>
  <c r="F20" i="181" s="1"/>
  <c r="G20" i="181" s="1"/>
  <c r="E19" i="181"/>
  <c r="F19" i="181" s="1"/>
  <c r="G19" i="181" s="1"/>
  <c r="F18" i="181"/>
  <c r="G18" i="181" s="1"/>
  <c r="E18" i="181"/>
  <c r="D40" i="181" l="1"/>
  <c r="D80" i="36" l="1"/>
  <c r="B7797" i="106"/>
  <c r="E40" i="181"/>
  <c r="E17" i="181"/>
  <c r="E16" i="181"/>
  <c r="F16" i="181" s="1"/>
  <c r="G16" i="181" s="1"/>
  <c r="F17" i="181" l="1"/>
  <c r="G17" i="181" s="1"/>
  <c r="G40" i="181" s="1"/>
  <c r="G40" i="108" l="1"/>
  <c r="B7799" i="106"/>
  <c r="F4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9" l="1"/>
  <c r="B2" i="185"/>
  <c r="B2" i="183"/>
  <c r="B2" i="184"/>
  <c r="B2" i="186"/>
  <c r="B1" i="186"/>
  <c r="B1" i="184"/>
  <c r="B1" i="185"/>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80" i="127"/>
  <c r="B81"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K28" i="118" l="1"/>
  <c r="O27" i="118" s="1"/>
  <c r="O29" i="118" s="1"/>
  <c r="D6103" i="106"/>
  <c r="K24" i="12"/>
  <c r="F19" i="7"/>
  <c r="B1807" i="106" s="1"/>
  <c r="D1807" i="106" s="1"/>
  <c r="L15" i="11"/>
  <c r="B3459" i="106" s="1"/>
  <c r="D3459" i="106" s="1"/>
  <c r="D69" i="36"/>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7733" i="106" l="1"/>
  <c r="D7733" i="106" s="1"/>
  <c r="K26" i="12"/>
  <c r="B7743" i="106" s="1"/>
  <c r="D7743" i="106" s="1"/>
  <c r="L16" i="1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81" i="34" l="1"/>
  <c r="F183" i="34" s="1"/>
  <c r="D64" i="36"/>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<sst xmlns="http://schemas.openxmlformats.org/spreadsheetml/2006/main" count="5365" uniqueCount="2217">
  <si>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</si>
  <si>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</si>
  <si>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</si>
  <si>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</si>
  <si>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</si>
  <si>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</si>
  <si>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</si>
  <si>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</si>
  <si>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</si>
  <si>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</si>
  <si>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</si>
  <si>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</si>
  <si>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</si>
  <si>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</si>
  <si>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</si>
  <si>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</si>
  <si>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</si>
  <si>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</si>
  <si>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</si>
  <si>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</si>
  <si>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</si>
  <si>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</si>
  <si>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</si>
  <si>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</si>
  <si>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</si>
  <si>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</si>
  <si>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</si>
  <si>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</si>
  <si>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</si>
  <si>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</si>
  <si>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</si>
  <si>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</si>
  <si>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</si>
  <si>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</si>
  <si>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</si>
  <si>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</si>
  <si>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</si>
  <si>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</si>
  <si>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</si>
  <si>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</si>
  <si>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</si>
  <si>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</si>
  <si>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</si>
  <si>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</si>
  <si>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</si>
  <si>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</si>
  <si>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</si>
  <si>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</si>
  <si>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</si>
  <si>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</si>
  <si>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</si>
  <si>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</si>
  <si>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</si>
  <si>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</si>
  <si>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</si>
  <si>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</si>
  <si>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</si>
  <si>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</si>
  <si>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</si>
  <si>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</si>
  <si>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</si>
  <si>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</si>
  <si>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</si>
  <si>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</si>
  <si>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</si>
  <si>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</si>
  <si>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</si>
  <si>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</si>
  <si>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</si>
  <si>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</si>
  <si>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</si>
  <si>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</si>
  <si>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</si>
  <si>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</si>
  <si>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</si>
  <si>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</si>
  <si>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</si>
  <si>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</si>
  <si>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</si>
  <si>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</si>
  <si>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</si>
  <si>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</si>
  <si>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</si>
  <si>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</si>
  <si>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</si>
  <si>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</si>
  <si>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</si>
  <si>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</si>
  <si>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</si>
  <si>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</si>
  <si>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</si>
  <si>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</si>
  <si>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</si>
  <si>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</si>
  <si>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</si>
  <si>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</si>
  <si>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</si>
  <si>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</si>
  <si>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</si>
  <si>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</si>
  <si>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</si>
  <si>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</si>
  <si>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</si>
  <si>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</si>
  <si>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</si>
  <si>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</si>
  <si>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</si>
  <si>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</si>
  <si>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</si>
  <si>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</si>
  <si>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</si>
  <si>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</si>
  <si>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</si>
  <si>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</si>
  <si>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</si>
  <si>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</si>
  <si>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</si>
  <si>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</si>
  <si>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</si>
  <si>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</si>
  <si>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</si>
  <si>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</si>
  <si>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</si>
  <si>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</si>
  <si>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</si>
  <si>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</si>
  <si>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</si>
  <si>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</si>
  <si>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</si>
  <si>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</si>
  <si>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</si>
  <si>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</si>
  <si>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</si>
  <si>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</si>
  <si>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</si>
  <si>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</si>
  <si>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</si>
  <si>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</si>
  <si>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</si>
  <si>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</si>
  <si>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</si>
  <si>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</si>
  <si>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</si>
  <si>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</si>
  <si>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</si>
  <si>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</si>
  <si>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</si>
  <si>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</si>
  <si>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</si>
  <si>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</si>
  <si>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</si>
  <si>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</si>
  <si>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</si>
  <si>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</si>
  <si>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</si>
  <si>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</si>
  <si>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</si>
  <si>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</si>
  <si>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</si>
  <si>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</si>
  <si>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</si>
  <si>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</si>
  <si>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</si>
  <si>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</si>
  <si>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</si>
  <si>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</si>
  <si>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</si>
  <si>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</si>
  <si>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</si>
  <si>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</si>
  <si>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</si>
  <si>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</si>
  <si>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</si>
  <si>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</si>
  <si>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</si>
  <si>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</si>
  <si>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</si>
  <si>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</si>
  <si>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</si>
  <si>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</si>
  <si>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</si>
  <si>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</si>
  <si>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</si>
  <si>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</si>
  <si>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</si>
  <si>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</si>
  <si>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</si>
  <si>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</si>
  <si>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</si>
  <si>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</si>
  <si>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</si>
  <si>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</si>
  <si>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</si>
  <si>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</si>
  <si>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</si>
  <si>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</si>
  <si>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</si>
  <si>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</si>
  <si>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</si>
  <si>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</si>
  <si>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</si>
  <si>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</si>
  <si>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</si>
  <si>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</si>
  <si>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</si>
  <si>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</si>
  <si>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</si>
  <si>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</si>
  <si>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</si>
  <si>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</si>
  <si>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</si>
  <si>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</si>
  <si>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</si>
  <si>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</si>
  <si>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</si>
  <si>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</si>
  <si>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</si>
  <si>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</si>
  <si>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</si>
  <si>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</si>
  <si>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</si>
  <si>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</si>
  <si>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</si>
  <si>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</si>
  <si>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</si>
  <si>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</si>
  <si>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</si>
  <si>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</si>
  <si>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</si>
  <si>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</si>
  <si>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</si>
  <si>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</si>
  <si>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</si>
  <si>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</si>
  <si>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</si>
  <si>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</si>
  <si>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</si>
  <si>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</si>
  <si>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</si>
  <si>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</si>
  <si>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</si>
  <si>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</si>
  <si>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</si>
  <si>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</si>
  <si>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</si>
  <si>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</si>
  <si>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</si>
  <si>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</si>
  <si>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</si>
  <si>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</si>
  <si>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</si>
  <si>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</si>
  <si>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</si>
  <si>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</si>
  <si>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</si>
  <si>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</si>
  <si>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</si>
  <si>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</si>
  <si>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</si>
  <si>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</si>
  <si>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</si>
  <si>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</si>
  <si>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</si>
  <si>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</si>
  <si>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</si>
  <si>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</si>
  <si>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</si>
  <si>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</si>
  <si>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</si>
  <si>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</si>
  <si>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</si>
  <si>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</si>
  <si>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</si>
  <si>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</si>
  <si>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</si>
  <si>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</si>
  <si>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</si>
  <si>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</si>
  <si>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</si>
  <si>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</si>
  <si>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</si>
  <si>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</si>
  <si>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</si>
  <si>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</si>
  <si>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</si>
  <si>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</si>
  <si>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</si>
  <si>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</si>
  <si>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</si>
  <si>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</si>
  <si>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</si>
  <si>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</si>
  <si>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</si>
  <si>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</si>
  <si>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</si>
  <si>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</si>
  <si>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</si>
  <si>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</si>
  <si>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</si>
  <si>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</si>
  <si>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</si>
  <si>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</si>
  <si>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</si>
  <si>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</si>
  <si>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</si>
  <si>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</si>
  <si>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</si>
  <si>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</si>
  <si>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</si>
  <si>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</si>
  <si>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</si>
  <si>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</si>
  <si>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</si>
  <si>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</si>
  <si>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</si>
  <si>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</si>
  <si>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</si>
  <si>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</si>
  <si>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</si>
  <si>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</si>
  <si>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</si>
  <si>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</si>
  <si>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</si>
  <si>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</si>
  <si>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</si>
  <si>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</si>
  <si>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</si>
  <si>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</si>
  <si>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</si>
  <si>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</si>
  <si>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</si>
  <si>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</si>
  <si>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</si>
  <si>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</si>
  <si>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</si>
  <si>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</si>
  <si>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</si>
  <si>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</si>
  <si>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</si>
  <si>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</si>
  <si>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</si>
  <si>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</si>
  <si>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</si>
  <si>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</si>
  <si>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</si>
  <si>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</si>
  <si>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</si>
  <si>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</si>
  <si>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</si>
  <si>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</si>
  <si>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</si>
  <si>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</si>
  <si>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</si>
  <si>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</si>
  <si>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</si>
  <si>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</si>
  <si>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</si>
  <si>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</si>
  <si>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</si>
  <si>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</si>
  <si>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</si>
  <si>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</si>
  <si>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</si>
  <si>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</si>
  <si>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</si>
  <si>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</si>
  <si>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</si>
  <si>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</si>
  <si>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</si>
  <si>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</si>
  <si>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</si>
  <si>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</si>
  <si>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</si>
  <si>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</si>
  <si>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</si>
  <si>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</si>
  <si>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</si>
  <si>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</si>
  <si>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</si>
  <si>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</si>
  <si>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</si>
  <si>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</si>
  <si>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</si>
  <si>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</si>
  <si>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</si>
  <si>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</si>
  <si>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</si>
  <si>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</si>
  <si>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</si>
  <si>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</si>
  <si>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</si>
  <si>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</si>
  <si>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</si>
  <si>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</si>
  <si>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</si>
  <si>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</si>
  <si>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</si>
  <si>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</si>
  <si>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</si>
  <si>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</si>
  <si>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</si>
  <si>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</si>
  <si>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</si>
  <si>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</si>
  <si>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</si>
  <si>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</si>
  <si>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</si>
  <si>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</si>
  <si>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</si>
  <si>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</si>
  <si>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</si>
  <si>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</si>
  <si>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</si>
  <si>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</si>
  <si>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</si>
  <si>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</si>
  <si>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</si>
  <si>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</si>
  <si>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</si>
  <si>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</si>
  <si>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</si>
  <si>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</si>
  <si>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</si>
  <si>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</si>
  <si>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</si>
  <si>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</si>
  <si>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</si>
  <si>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</si>
  <si>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</si>
  <si>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</si>
  <si>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</si>
  <si>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</si>
  <si>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</si>
  <si>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</si>
  <si>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</si>
  <si>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</si>
  <si>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</si>
  <si>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</si>
  <si>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</si>
  <si>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</si>
  <si>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</si>
  <si>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</si>
  <si>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</si>
  <si>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</si>
  <si>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</si>
  <si>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</si>
  <si>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</si>
  <si>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</si>
  <si>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</si>
  <si>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</si>
  <si>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</si>
  <si>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</si>
  <si>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</si>
  <si>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</si>
  <si>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</si>
  <si>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</si>
  <si>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</si>
  <si>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</si>
  <si>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</si>
  <si>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</si>
  <si>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</si>
  <si>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</si>
  <si>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</si>
  <si>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</si>
  <si>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</si>
  <si>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</si>
  <si>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</si>
  <si>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</si>
  <si>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</si>
  <si>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</si>
  <si>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</si>
  <si>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</si>
  <si>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</si>
  <si>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</si>
  <si>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</si>
  <si>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</si>
  <si>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</si>
  <si>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</si>
  <si>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</si>
  <si>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</si>
  <si>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</si>
  <si>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</si>
  <si>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</si>
  <si>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</si>
  <si>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</si>
  <si>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</si>
  <si>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</si>
  <si>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</si>
  <si>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</si>
  <si>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</si>
  <si>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</si>
  <si>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</si>
  <si>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</si>
  <si>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</si>
  <si>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</si>
  <si>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</si>
  <si>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</si>
  <si>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</si>
  <si>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</si>
  <si>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</si>
  <si>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</si>
  <si>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</si>
  <si>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</si>
  <si>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</si>
  <si>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</si>
  <si>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</si>
  <si>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</si>
  <si>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</si>
  <si>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</si>
  <si>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</si>
  <si>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</si>
  <si>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</si>
  <si>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</si>
  <si>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</si>
  <si>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</si>
  <si>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</si>
  <si>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</si>
  <si>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</si>
  <si>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</si>
  <si>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</si>
  <si>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</si>
  <si>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</si>
  <si>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</si>
  <si>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</si>
  <si>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</si>
  <si>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</si>
  <si>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</si>
  <si>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</si>
  <si>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</si>
  <si>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</si>
  <si>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</si>
  <si>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</si>
  <si>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</si>
  <si>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</si>
  <si>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</si>
  <si>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</si>
  <si>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</si>
  <si>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</si>
  <si>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</si>
  <si>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</si>
  <si>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</si>
  <si>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</si>
  <si>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</si>
  <si>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</si>
  <si>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</si>
  <si>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</si>
  <si>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</si>
  <si>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</si>
  <si>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</si>
  <si>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</si>
  <si>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</si>
  <si>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</si>
  <si>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</si>
  <si>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</si>
  <si>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</si>
  <si>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</si>
  <si>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</si>
  <si>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</si>
  <si>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</si>
  <si>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</si>
  <si>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</si>
  <si>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</si>
  <si>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</si>
  <si>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</si>
  <si>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</si>
  <si>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</si>
  <si>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</si>
  <si>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</si>
  <si>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</si>
  <si>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</si>
  <si>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</si>
  <si>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</si>
  <si>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</si>
  <si>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</si>
  <si>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</si>
  <si>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</si>
  <si>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</si>
  <si>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</si>
  <si>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</si>
  <si>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</si>
  <si>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</si>
  <si>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</si>
  <si>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</si>
  <si>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</si>
  <si>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</si>
  <si>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</si>
  <si>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</si>
  <si>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</si>
  <si>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</si>
  <si>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</si>
  <si>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</si>
  <si>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</si>
  <si>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</si>
  <si>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</si>
  <si>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</si>
  <si>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</si>
  <si>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</si>
  <si>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</si>
  <si>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</si>
  <si>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</si>
  <si>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</si>
  <si>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</si>
  <si>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</si>
  <si>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</si>
  <si>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</si>
  <si>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</si>
  <si>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</si>
  <si>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</si>
  <si>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</si>
  <si>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</si>
  <si>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</si>
  <si>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</si>
  <si>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</si>
  <si>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</si>
  <si>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</si>
  <si>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</si>
  <si>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</si>
  <si>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</si>
  <si>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</si>
  <si>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</si>
  <si>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</si>
  <si>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</si>
  <si>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</si>
  <si>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</si>
  <si>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</si>
  <si>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</si>
  <si>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</si>
  <si>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</si>
  <si>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</si>
  <si>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</si>
  <si>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</si>
  <si>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</si>
  <si>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</si>
  <si>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</si>
  <si>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</si>
  <si>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</si>
  <si>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</si>
  <si>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</si>
  <si>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</si>
  <si>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</si>
  <si>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</si>
  <si>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</si>
  <si>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</si>
  <si>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</si>
  <si>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</si>
  <si>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</si>
  <si>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</si>
  <si>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</si>
  <si>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</si>
  <si>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</si>
  <si>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</si>
  <si>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</si>
  <si>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</si>
  <si>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</si>
  <si>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</si>
  <si>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</si>
  <si>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</si>
  <si>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</si>
  <si>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</si>
  <si>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</si>
  <si>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</si>
  <si>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</si>
  <si>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</si>
  <si>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</si>
  <si>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</si>
  <si>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</si>
  <si>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</si>
  <si>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</si>
  <si>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</si>
  <si>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</si>
  <si>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</si>
  <si>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</si>
  <si>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</si>
  <si>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</si>
  <si>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</si>
  <si>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</si>
  <si>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</si>
  <si>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</si>
  <si>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</si>
  <si>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</si>
  <si>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</si>
  <si>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</si>
  <si>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</si>
  <si>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</si>
  <si>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</si>
  <si>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</si>
  <si>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</si>
  <si>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</si>
  <si>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</si>
  <si>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</si>
  <si>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</si>
  <si>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</si>
  <si>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</si>
  <si>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</si>
  <si>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</si>
  <si>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</si>
  <si>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</si>
  <si>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</si>
  <si>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</si>
  <si>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</si>
  <si>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</si>
  <si>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</si>
  <si>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</si>
  <si>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</si>
  <si>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</si>
  <si>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</si>
  <si>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</si>
  <si>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</si>
  <si>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</si>
  <si>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</si>
  <si>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</si>
  <si>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</si>
  <si>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</si>
  <si>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</si>
  <si>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</si>
  <si>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</si>
  <si>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</si>
  <si>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</si>
  <si>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</si>
  <si>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</si>
  <si>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</si>
  <si>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</si>
  <si>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</si>
  <si>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</si>
  <si>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</si>
  <si>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</si>
  <si>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</si>
  <si>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</si>
  <si>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</si>
  <si>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</si>
  <si>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</si>
  <si>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</si>
  <si>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</si>
  <si>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</si>
  <si>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</si>
  <si>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</si>
  <si>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</si>
  <si>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</si>
  <si>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</si>
  <si>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</si>
  <si>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</si>
  <si>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</si>
  <si>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</si>
  <si>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</si>
  <si>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</si>
  <si>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</si>
  <si>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</si>
  <si>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</si>
  <si>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</si>
  <si>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</si>
  <si>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</si>
  <si>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</si>
  <si>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</si>
  <si>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</si>
  <si>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</si>
  <si>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</si>
  <si>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</si>
  <si>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</si>
  <si>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</si>
  <si>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</si>
  <si>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</si>
  <si>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</si>
  <si>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</si>
  <si>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</si>
  <si>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</si>
  <si>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</si>
  <si>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</si>
  <si>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</si>
  <si>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</si>
  <si>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</si>
  <si>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</si>
  <si>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</si>
  <si>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</si>
  <si>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</si>
  <si>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</si>
  <si>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</si>
  <si>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</si>
  <si>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</si>
  <si>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</si>
  <si>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</si>
  <si>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</si>
  <si>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</si>
  <si>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</si>
  <si>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</si>
  <si>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</si>
  <si>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</si>
  <si>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</si>
  <si>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</si>
  <si>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</si>
  <si>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</si>
  <si>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</si>
  <si>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</si>
  <si>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</si>
  <si>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</si>
  <si>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</si>
  <si>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</si>
  <si>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</si>
  <si>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</si>
  <si>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</si>
  <si>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</si>
  <si>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</si>
  <si>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</si>
  <si>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</si>
  <si>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</si>
  <si>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</si>
  <si>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</si>
  <si>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</si>
  <si>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</si>
  <si>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</si>
  <si>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</si>
  <si>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</si>
  <si>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</si>
  <si>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</si>
  <si>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</si>
  <si>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</si>
  <si>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</si>
  <si>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</si>
  <si>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</si>
  <si>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</si>
  <si>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</si>
  <si>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</si>
  <si>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</si>
  <si>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</si>
  <si>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</si>
  <si>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</si>
  <si>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</si>
  <si>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</si>
  <si>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</si>
  <si>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</si>
  <si>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</si>
  <si>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</si>
  <si>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</si>
  <si>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</si>
  <si>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</si>
  <si>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</si>
  <si>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</si>
  <si>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</si>
  <si>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</si>
  <si>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</si>
  <si>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</si>
  <si>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</si>
  <si>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</si>
  <si>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</si>
  <si>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</si>
  <si>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</si>
  <si>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</si>
  <si>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</si>
  <si>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</si>
  <si>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</si>
  <si>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</si>
  <si>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</si>
  <si>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</si>
  <si>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</si>
  <si>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</si>
  <si>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</si>
  <si>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</si>
  <si>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</si>
  <si>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</si>
  <si>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</si>
  <si>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</si>
  <si>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</si>
  <si>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</si>
  <si>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</si>
  <si>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</si>
  <si>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</si>
  <si>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</si>
  <si>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</si>
  <si>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</si>
  <si>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</si>
  <si>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</si>
  <si>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</si>
  <si>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</si>
  <si>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</si>
  <si>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</si>
  <si>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</si>
  <si>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</si>
  <si>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</si>
  <si>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</si>
  <si>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</si>
  <si>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</si>
  <si>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</si>
  <si>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</si>
  <si>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</si>
  <si>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</si>
  <si>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</si>
  <si>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</si>
  <si>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</si>
  <si>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</si>
  <si>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</si>
  <si>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</si>
  <si>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</si>
  <si>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</si>
  <si>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</si>
  <si>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</si>
  <si>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</si>
  <si>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</si>
  <si>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</si>
  <si>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</si>
  <si>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</si>
  <si>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</si>
  <si>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</si>
  <si>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</si>
  <si>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</si>
  <si>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</si>
  <si>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</si>
  <si>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</si>
  <si>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</si>
  <si>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</si>
  <si>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</si>
  <si>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</si>
  <si>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</si>
  <si>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</si>
  <si>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</si>
  <si>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</si>
  <si>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</si>
  <si>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</si>
  <si>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</si>
  <si>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</si>
  <si>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</si>
  <si>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</si>
  <si>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</si>
  <si>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</si>
  <si>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</si>
  <si>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</si>
  <si>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</si>
  <si>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</si>
  <si>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</si>
  <si>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</si>
  <si>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</si>
  <si>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</si>
  <si>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</si>
  <si>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</si>
  <si>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</si>
  <si>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</si>
  <si>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</si>
  <si>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</si>
  <si>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</si>
  <si>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</si>
  <si>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</si>
  <si>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</si>
  <si>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</si>
  <si>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</si>
  <si>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</si>
  <si>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</si>
  <si>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</si>
  <si>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</si>
  <si>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</si>
  <si>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</si>
  <si>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</si>
  <si>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</si>
  <si>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</si>
  <si>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</si>
  <si>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</si>
  <si>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</si>
  <si>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</si>
  <si>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</si>
  <si>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</si>
  <si>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</si>
  <si>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</si>
  <si>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</si>
  <si>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</si>
  <si>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</si>
  <si>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</si>
  <si>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</si>
  <si>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</si>
  <si>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</si>
  <si>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</si>
  <si>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</si>
  <si>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</si>
  <si>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</si>
  <si>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</si>
  <si>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</si>
  <si>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</si>
  <si>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</si>
  <si>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</si>
  <si>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</si>
  <si>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</si>
  <si>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</si>
  <si>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</si>
  <si>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</si>
  <si>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</si>
  <si>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</si>
  <si>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</si>
  <si>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</si>
  <si>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</si>
  <si>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</si>
  <si>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</si>
  <si>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</si>
  <si>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</si>
  <si>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</si>
  <si>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</si>
  <si>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</si>
  <si>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</si>
  <si>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</si>
  <si>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</si>
  <si>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</si>
  <si>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</si>
  <si>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</si>
  <si>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</si>
  <si>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</si>
  <si>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</si>
  <si>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</si>
  <si>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</si>
  <si>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</si>
  <si>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</si>
  <si>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</si>
  <si>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</si>
  <si>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</si>
  <si>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</si>
  <si>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</si>
  <si>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</si>
  <si>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</si>
  <si>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</si>
  <si>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</si>
  <si>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</si>
  <si>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</si>
  <si>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</si>
  <si>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</si>
  <si>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</si>
  <si>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</si>
  <si>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</si>
  <si>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</si>
  <si>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</si>
  <si>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</si>
  <si>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</si>
  <si>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</si>
  <si>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</si>
  <si>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</si>
  <si>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</si>
  <si>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</si>
  <si>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</si>
  <si>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</si>
  <si>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</si>
  <si>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</si>
  <si>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</si>
  <si>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</si>
  <si>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</si>
  <si>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</si>
  <si>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</si>
  <si>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</si>
  <si>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</si>
  <si>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</si>
  <si>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</si>
  <si>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</si>
  <si>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</si>
  <si>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</si>
  <si>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</si>
  <si>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</si>
  <si>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</si>
  <si>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</si>
  <si>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</si>
  <si>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</si>
  <si>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</si>
  <si>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</si>
  <si>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</si>
  <si>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</si>
  <si>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</si>
  <si>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</si>
  <si>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</si>
  <si>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</si>
  <si>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</si>
  <si>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</si>
  <si>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</si>
  <si>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</si>
  <si>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</si>
  <si>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</si>
  <si>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</si>
  <si>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</si>
  <si>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</si>
  <si>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</si>
  <si>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</si>
  <si>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</si>
  <si>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</si>
  <si>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</si>
  <si>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</si>
  <si>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</si>
  <si>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</si>
  <si>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</si>
  <si>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</si>
  <si>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</si>
  <si>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</si>
  <si>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</si>
  <si>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</si>
  <si>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</si>
  <si>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</si>
  <si>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</si>
  <si>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</si>
  <si>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</si>
  <si>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</si>
  <si>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</si>
  <si>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</si>
  <si>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</si>
  <si>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</si>
  <si>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</si>
  <si>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</si>
  <si>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</si>
  <si>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</si>
  <si>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</si>
  <si>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</si>
  <si>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</si>
  <si>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</si>
  <si>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</si>
  <si>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</si>
  <si>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</si>
  <si>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</si>
  <si>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</si>
  <si>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</si>
  <si>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</si>
  <si>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</si>
  <si>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</si>
  <si>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</si>
  <si>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</si>
  <si>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</si>
  <si>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</si>
  <si>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</si>
  <si>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</si>
  <si>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</si>
  <si>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</si>
  <si>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</si>
  <si>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</si>
  <si>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</si>
  <si>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</si>
  <si>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</si>
  <si>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</si>
  <si>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</si>
  <si>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</si>
  <si>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</si>
  <si>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</si>
  <si>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</si>
  <si>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</si>
  <si>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</si>
  <si>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</si>
  <si>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</si>
  <si>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</si>
  <si>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</si>
  <si>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</si>
  <si>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</si>
  <si>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</si>
  <si>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</si>
  <si>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</si>
  <si>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</si>
  <si>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</si>
  <si>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</si>
  <si>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</si>
  <si>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</si>
  <si>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</si>
  <si>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</si>
  <si>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</si>
  <si>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</si>
  <si>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</si>
  <si>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</si>
  <si>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</si>
  <si>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</si>
  <si>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</si>
  <si>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</si>
  <si>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</si>
  <si>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</si>
  <si>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</si>
  <si>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</si>
  <si>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</si>
  <si>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</si>
  <si>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</si>
  <si>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</si>
  <si>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</si>
  <si>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</si>
  <si>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</si>
  <si>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</si>
  <si>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</si>
  <si>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</si>
  <si>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</si>
  <si>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</si>
  <si>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</si>
  <si>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</si>
  <si>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</si>
  <si>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</si>
  <si>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</si>
  <si>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</si>
  <si>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</si>
  <si>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</si>
  <si>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</si>
  <si>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</si>
  <si>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</si>
  <si>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</si>
  <si>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</si>
  <si>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</si>
  <si>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</si>
  <si>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</si>
  <si>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</si>
  <si>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</si>
  <si>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</si>
  <si>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</si>
  <si>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</si>
  <si>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</si>
  <si>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</si>
  <si>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</si>
  <si>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</si>
  <si>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</si>
  <si>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</si>
  <si>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</si>
  <si>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</si>
  <si>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</si>
  <si>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</si>
  <si>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</si>
  <si>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</si>
  <si>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</si>
  <si>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</si>
  <si>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</si>
  <si>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</si>
  <si>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</si>
  <si>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</si>
  <si>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</si>
  <si>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</si>
  <si>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</si>
  <si>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</si>
  <si>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</si>
  <si>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</si>
  <si>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</si>
  <si>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</si>
  <si>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</si>
  <si>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</si>
  <si>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</si>
  <si>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</si>
  <si>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</si>
  <si>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</si>
  <si>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</si>
  <si>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</si>
  <si>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</si>
  <si>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</si>
  <si>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</si>
  <si>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</si>
  <si>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</si>
  <si>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</si>
  <si>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</si>
  <si>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</si>
  <si>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</si>
  <si>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</si>
  <si>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</si>
  <si>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</si>
  <si>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</si>
  <si>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</si>
  <si>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</si>
  <si>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</si>
  <si>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</si>
  <si>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</si>
  <si>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</si>
  <si>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</si>
  <si>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</si>
  <si>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</si>
  <si>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</si>
  <si>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</si>
  <si>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</si>
  <si>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</si>
  <si>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</si>
  <si>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</si>
  <si>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</si>
  <si>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</si>
  <si>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</si>
  <si>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</si>
  <si>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</si>
  <si>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</si>
  <si>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</si>
  <si>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</si>
  <si>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</si>
  <si>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</si>
  <si>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</si>
  <si>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</si>
  <si>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</si>
  <si>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</si>
  <si>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</si>
  <si>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</si>
  <si>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</si>
  <si>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</si>
  <si>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</si>
  <si>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</si>
  <si>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</si>
  <si>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</si>
  <si>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</si>
  <si>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</si>
  <si>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</si>
  <si>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</si>
  <si>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</si>
  <si>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</si>
  <si>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</si>
  <si>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</si>
  <si>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</si>
  <si>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</si>
  <si>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</si>
  <si>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</si>
  <si>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</si>
  <si>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</si>
  <si>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</si>
  <si>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</si>
  <si>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</si>
  <si>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</si>
  <si>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</si>
  <si>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</si>
  <si>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</si>
  <si>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</si>
  <si>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</si>
  <si>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</si>
  <si>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</si>
  <si>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</si>
  <si>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</si>
  <si>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</si>
  <si>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</si>
  <si>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</si>
  <si>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</si>
  <si>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</si>
  <si>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</si>
  <si>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</si>
  <si>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</si>
  <si>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</si>
  <si>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</si>
  <si>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</si>
  <si>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</si>
  <si>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</si>
  <si>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</si>
  <si>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</si>
  <si>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</si>
  <si>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</si>
  <si>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</si>
  <si>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</si>
  <si>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</si>
  <si>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</si>
  <si>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</si>
  <si>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</si>
  <si>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</si>
  <si>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</si>
  <si>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</si>
  <si>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</si>
  <si>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</si>
  <si>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</si>
  <si>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</si>
  <si>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</si>
  <si>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</si>
  <si>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</si>
  <si>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</si>
  <si>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</si>
  <si>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</si>
  <si>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</si>
  <si>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</si>
  <si>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</si>
  <si>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</si>
  <si>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</si>
  <si>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</si>
  <si>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</si>
  <si>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</si>
  <si>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</si>
  <si>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</si>
  <si>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</si>
  <si>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</si>
  <si>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</si>
  <si>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</si>
  <si>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</si>
  <si>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</si>
  <si>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</si>
  <si>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</si>
  <si>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</si>
  <si>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</si>
  <si>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</si>
  <si>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</si>
  <si>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</si>
  <si>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</si>
  <si>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</si>
  <si>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</si>
  <si>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</si>
  <si>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</si>
  <si>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</si>
  <si>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</si>
  <si>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</si>
  <si>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</si>
  <si>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</si>
  <si>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</si>
  <si>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</si>
  <si>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</si>
  <si>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</si>
  <si>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</si>
  <si>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</si>
  <si>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</si>
  <si>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</si>
  <si>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</si>
  <si>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</si>
  <si>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</si>
  <si>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</si>
  <si>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</si>
  <si>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</si>
  <si>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</si>
  <si>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</si>
  <si>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</si>
  <si>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</si>
  <si>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</si>
  <si>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</si>
  <si>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</si>
  <si>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</si>
  <si>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</si>
  <si>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</si>
  <si>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</si>
  <si>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</si>
  <si>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</si>
  <si>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</si>
  <si>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</si>
  <si>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</si>
  <si>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</si>
  <si>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</si>
  <si>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</si>
  <si>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</si>
  <si>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</si>
  <si>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</si>
  <si>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</si>
  <si>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</si>
  <si>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</si>
  <si>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</si>
  <si>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</si>
  <si>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</si>
  <si>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</si>
  <si>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</si>
  <si>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</si>
  <si>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</si>
  <si>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</si>
  <si>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</si>
  <si>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</si>
  <si>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</si>
  <si>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</si>
  <si>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</si>
  <si>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</si>
  <si>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</si>
  <si>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</si>
  <si>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</si>
  <si>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</si>
  <si>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</si>
  <si>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</si>
  <si>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</si>
  <si>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</si>
  <si>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</si>
  <si>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</si>
  <si>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</si>
  <si>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</si>
  <si>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</si>
  <si>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</si>
  <si>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</si>
  <si>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</si>
  <si>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</si>
  <si>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</si>
  <si>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</si>
  <si>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</si>
  <si>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</si>
  <si>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</si>
  <si>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</si>
  <si>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</si>
  <si>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</si>
  <si>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</si>
  <si>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</si>
  <si>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</si>
  <si>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</si>
  <si>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</si>
  <si>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</si>
  <si>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</si>
  <si>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</si>
  <si>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</si>
  <si>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</si>
  <si>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</si>
  <si>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</si>
  <si>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</si>
  <si>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</si>
  <si>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</si>
  <si>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</si>
  <si>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</si>
  <si>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</si>
  <si>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</si>
  <si>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</si>
  <si>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</si>
  <si>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</si>
  <si>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</si>
  <si>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</si>
  <si>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</si>
  <si>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</si>
  <si>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</si>
  <si>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</si>
  <si>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</si>
  <si>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</si>
  <si>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</si>
  <si>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</si>
  <si>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</si>
  <si>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</si>
  <si>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</si>
  <si>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</si>
  <si>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</si>
  <si>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</si>
  <si>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</si>
  <si>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</si>
  <si>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</si>
  <si>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</si>
  <si>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</si>
  <si>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</si>
  <si>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</si>
  <si>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</si>
  <si>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</si>
  <si>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</si>
  <si>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</si>
  <si>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</si>
  <si>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</si>
  <si>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</si>
  <si>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</si>
  <si>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</si>
  <si>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</si>
  <si>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</si>
  <si>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</si>
  <si>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</si>
  <si>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</si>
  <si>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</si>
  <si>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</si>
  <si>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</si>
  <si>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</si>
  <si>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</si>
  <si>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</si>
  <si>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</si>
  <si>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</si>
  <si>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</si>
  <si>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</si>
  <si>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</si>
  <si>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</si>
  <si>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</si>
  <si>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</si>
  <si>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</si>
  <si>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</si>
  <si>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</si>
  <si>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</si>
  <si>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</si>
  <si>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</si>
  <si>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</si>
  <si>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</si>
  <si>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</si>
  <si>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</si>
  <si>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</si>
  <si>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</si>
  <si>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</si>
  <si>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</si>
  <si>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</si>
  <si>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</si>
  <si>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</si>
  <si>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</si>
  <si>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</si>
  <si>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</si>
  <si>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</si>
  <si>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</si>
  <si>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</si>
  <si>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</si>
  <si>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</si>
  <si>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</si>
  <si>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</si>
  <si>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</si>
  <si>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</si>
  <si>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</si>
  <si>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</si>
  <si>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</si>
  <si>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</si>
  <si>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</si>
  <si>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</si>
  <si>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</si>
  <si>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</si>
  <si>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</si>
  <si>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</si>
  <si>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</si>
  <si>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</si>
  <si>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</si>
  <si>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</si>
  <si>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</si>
  <si>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</si>
  <si>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</si>
  <si>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</si>
  <si>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</si>
  <si>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</si>
  <si>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</si>
  <si>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</si>
  <si>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</si>
  <si>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</si>
  <si>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</si>
  <si>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</si>
  <si>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</si>
  <si>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</si>
  <si>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</si>
  <si>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</si>
  <si>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</si>
  <si>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</si>
  <si>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</si>
  <si>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</si>
  <si>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</si>
  <si>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</si>
  <si>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</si>
  <si>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</si>
  <si>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</si>
  <si>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</si>
  <si>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</si>
  <si>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</si>
  <si>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</si>
  <si>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</si>
  <si>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</si>
  <si>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</si>
  <si>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</si>
  <si>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</si>
  <si>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</si>
  <si>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</si>
  <si>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</si>
  <si>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</si>
  <si>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</si>
  <si>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</si>
  <si>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</si>
  <si>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</si>
  <si>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</si>
  <si>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</si>
  <si>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</si>
  <si>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</si>
  <si>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</si>
  <si>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</si>
  <si>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</si>
  <si>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</si>
  <si>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</si>
  <si>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</si>
  <si>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</si>
  <si>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</si>
  <si>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</si>
  <si>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</si>
  <si>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</si>
  <si>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</si>
  <si>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</si>
  <si>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</si>
  <si>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</si>
  <si>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</si>
  <si>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</si>
  <si>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</si>
  <si>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</si>
  <si>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</si>
  <si>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</si>
  <si>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</si>
  <si>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</si>
  <si>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</si>
  <si>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</si>
  <si>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</si>
  <si>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</si>
  <si>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</si>
  <si>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</si>
  <si>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</si>
  <si>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</si>
  <si>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</si>
  <si>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</si>
  <si>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</si>
  <si>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</si>
  <si>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</si>
  <si>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</si>
  <si>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</si>
  <si>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</si>
  <si>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</si>
  <si>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</si>
  <si>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</si>
  <si>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</si>
  <si>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</si>
  <si>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</si>
  <si>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</si>
  <si>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</si>
  <si>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</si>
  <si>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</si>
  <si>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</si>
  <si>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</si>
  <si>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</si>
  <si>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</si>
  <si>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</si>
  <si>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</si>
  <si>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</si>
  <si>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</si>
  <si>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</si>
  <si>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</si>
  <si>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</si>
  <si>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</si>
  <si>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</si>
  <si>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</si>
  <si>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</si>
  <si>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</si>
  <si>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</si>
  <si>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</si>
  <si>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</si>
  <si>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</si>
  <si>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</si>
  <si>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</si>
  <si>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</si>
  <si>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</si>
  <si>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</si>
  <si>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</si>
  <si>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</si>
  <si>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</si>
  <si>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</si>
  <si>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</si>
  <si>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</si>
  <si>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</si>
  <si>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</si>
  <si>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</si>
  <si>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</si>
  <si>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</si>
  <si>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</si>
  <si>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</si>
  <si>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</si>
  <si>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</si>
  <si>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</si>
  <si>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</si>
  <si>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</si>
  <si>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</si>
  <si>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</si>
  <si>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</si>
  <si>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</si>
  <si>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</si>
  <si>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</si>
  <si>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</si>
  <si>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</si>
  <si>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</si>
  <si>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</si>
  <si>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</si>
  <si>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</si>
  <si>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</si>
  <si>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</si>
  <si>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</si>
  <si>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</si>
  <si>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</si>
  <si>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</si>
  <si>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</si>
  <si>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</si>
  <si>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</si>
  <si>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</si>
  <si>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</si>
  <si>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</si>
  <si>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</si>
  <si>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</si>
  <si>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</si>
  <si>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</si>
  <si>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</si>
  <si>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</si>
  <si>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</si>
  <si>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</si>
  <si>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</si>
  <si>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</si>
  <si>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</si>
  <si>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</si>
  <si>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</si>
  <si>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</si>
  <si>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</si>
  <si>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</si>
  <si>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</si>
  <si>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</si>
  <si>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</si>
  <si>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</si>
  <si>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</si>
  <si>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</si>
  <si>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</si>
  <si>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</si>
  <si>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</si>
  <si>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</si>
  <si>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</si>
  <si>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</si>
  <si>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</si>
  <si>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</si>
  <si>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</si>
  <si>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</si>
  <si>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</si>
  <si>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</si>
  <si>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</si>
  <si>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</si>
  <si>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</si>
  <si>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</si>
  <si>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</si>
  <si>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</si>
  <si>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</si>
  <si>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</si>
  <si>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</si>
  <si>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</si>
  <si>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</si>
  <si>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</si>
  <si>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</si>
  <si>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</si>
  <si>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</si>
  <si>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</si>
  <si>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</si>
  <si>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</si>
  <si>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</si>
  <si>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</si>
  <si>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</si>
  <si>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</si>
  <si>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</si>
  <si>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</si>
  <si>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</si>
  <si>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</si>
  <si>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</si>
  <si>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</si>
  <si>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</si>
  <si>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</si>
  <si>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</si>
  <si>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</si>
  <si>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</si>
  <si>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</si>
  <si>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</si>
  <si>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</si>
  <si>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</si>
  <si>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</si>
  <si>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</si>
  <si>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</si>
  <si>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</si>
  <si>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</si>
  <si>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</si>
  <si>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</si>
  <si>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</si>
  <si>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</si>
  <si>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</si>
  <si>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</si>
  <si>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</si>
  <si>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</si>
  <si>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</si>
  <si>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</si>
  <si>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</si>
  <si>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</si>
  <si>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</si>
  <si>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</si>
  <si>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</si>
  <si>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</si>
  <si>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</si>
  <si>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</si>
  <si>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</si>
  <si>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</si>
  <si>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</si>
  <si>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</si>
  <si>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</si>
  <si>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</si>
  <si>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</si>
  <si>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</si>
  <si>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</si>
  <si>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</si>
  <si>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</si>
  <si>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</si>
  <si>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</si>
  <si>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</si>
  <si>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</si>
  <si>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</si>
  <si>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</si>
  <si>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</si>
  <si>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</si>
  <si>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</si>
  <si>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</si>
  <si>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</si>
  <si>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</si>
  <si>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</si>
  <si>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</si>
  <si>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</si>
  <si>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</si>
  <si>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</si>
  <si>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</si>
  <si>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</si>
  <si>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</si>
  <si>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</si>
  <si>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</si>
  <si>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</si>
  <si>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</si>
  <si>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</si>
  <si>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</si>
  <si>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</si>
  <si>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</si>
  <si>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</si>
  <si>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</si>
  <si>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</si>
  <si>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</si>
  <si>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</si>
  <si>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</si>
  <si>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</si>
  <si>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</si>
  <si>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</si>
  <si>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</si>
  <si>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</si>
  <si>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</si>
  <si>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</si>
  <si>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</si>
  <si>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</si>
  <si>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</si>
  <si>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</si>
  <si>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</si>
  <si>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</si>
  <si>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</si>
  <si>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</si>
  <si>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</si>
  <si>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</si>
  <si>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</si>
  <si>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</si>
  <si>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</si>
  <si>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</si>
  <si>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</si>
  <si>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</si>
  <si>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</si>
  <si>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</si>
  <si>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</si>
  <si>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</si>
  <si>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</si>
  <si>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</si>
  <si>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</si>
  <si>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</si>
  <si>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</si>
  <si>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</si>
  <si>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</si>
  <si>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</si>
  <si>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</si>
  <si>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</si>
  <si>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</si>
  <si>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</si>
  <si>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</si>
  <si>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</si>
  <si>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</si>
  <si>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</si>
  <si>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</si>
  <si>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</si>
  <si>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</si>
  <si>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</si>
  <si>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</si>
  <si>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</si>
  <si>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</si>
  <si>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</si>
  <si>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</si>
  <si>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</si>
  <si>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</si>
  <si>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</si>
  <si>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</si>
  <si>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</si>
  <si>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</si>
  <si>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</si>
  <si>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</si>
  <si>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</si>
  <si>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</si>
  <si>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</si>
  <si>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</si>
  <si>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</si>
  <si>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</si>
  <si>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</si>
  <si>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</si>
  <si>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</si>
  <si>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</si>
  <si>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</si>
  <si>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</si>
  <si>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</si>
  <si>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</si>
  <si>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</si>
  <si>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</si>
  <si>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</si>
  <si>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</si>
  <si>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</si>
  <si>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</si>
  <si>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</si>
  <si>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</si>
  <si>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</si>
  <si>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</si>
  <si>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</si>
  <si>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</si>
  <si>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</si>
  <si>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</si>
  <si>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</si>
  <si>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</si>
  <si>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</si>
  <si>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</si>
  <si>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</si>
  <si>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</si>
  <si>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</si>
  <si>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</si>
  <si>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</si>
  <si>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</si>
  <si>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</si>
  <si>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</si>
  <si>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</si>
  <si>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</si>
  <si>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</si>
  <si>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</si>
  <si>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</si>
  <si>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</si>
  <si>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</si>
  <si>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</si>
  <si>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</si>
  <si>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</si>
  <si>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</si>
  <si>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</si>
  <si>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</si>
  <si>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</si>
  <si>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</si>
  <si>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</si>
  <si>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</si>
  <si>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</si>
  <si>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</si>
  <si>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</si>
  <si>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</si>
  <si>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</si>
  <si>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</si>
  <si>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</si>
  <si>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</si>
  <si>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</si>
  <si>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</si>
  <si>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</si>
  <si>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</si>
  <si>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</si>
  <si>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</si>
  <si>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</si>
  <si>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</si>
  <si>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</si>
  <si>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</si>
  <si>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</si>
  <si>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</si>
  <si>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</si>
  <si>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</si>
  <si>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</si>
  <si>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</si>
  <si>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</si>
  <si>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</si>
  <si>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</si>
  <si>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</si>
  <si>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</si>
  <si>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</si>
  <si>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</si>
  <si>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</si>
  <si>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</si>
  <si>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</si>
  <si>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</si>
  <si>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</si>
  <si>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</si>
  <si>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</si>
  <si>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</si>
  <si>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</si>
  <si>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</si>
  <si>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</si>
  <si>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</si>
  <si>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</si>
  <si>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</si>
  <si>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</si>
  <si>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</si>
  <si>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</si>
  <si>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</si>
  <si>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</si>
  <si>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</si>
  <si>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</si>
  <si>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</si>
  <si>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</si>
  <si>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</si>
  <si>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</si>
  <si>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</si>
  <si>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</si>
  <si>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</si>
  <si>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</si>
  <si>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</si>
  <si>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</si>
  <si>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</si>
  <si>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</si>
  <si>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</si>
  <si>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</si>
  <si>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</si>
  <si>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</si>
  <si>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</si>
  <si>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</si>
  <si>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</si>
  <si>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</si>
  <si>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</si>
  <si>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</si>
  <si>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</si>
  <si>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</si>
  <si>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</si>
  <si>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</si>
  <si>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</si>
  <si>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</si>
  <si>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</si>
  <si>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</si>
  <si>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</si>
  <si>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</si>
  <si>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</si>
  <si>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</si>
  <si>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</si>
  <si>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</si>
  <si>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</si>
  <si>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</si>
  <si>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</si>
  <si>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</si>
  <si>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</si>
  <si>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</si>
  <si>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</si>
  <si>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</si>
  <si>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</si>
  <si>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</si>
  <si>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</si>
  <si>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MCLEAN</t>
  </si>
  <si>
    <t>300 S HARRISON ST</t>
  </si>
  <si>
    <t>COLFAX</t>
  </si>
  <si>
    <t>DR. STEVE EPPERSON</t>
  </si>
  <si>
    <t>sepperson@ridgeview19.org</t>
  </si>
  <si>
    <t>309-723-5111</t>
  </si>
  <si>
    <t>309-723-6395</t>
  </si>
  <si>
    <t>MARK JONTRY</t>
  </si>
  <si>
    <t>jontrym@roe17.org</t>
  </si>
  <si>
    <t>309-888-5120</t>
  </si>
  <si>
    <t>KENT D. KULL</t>
  </si>
  <si>
    <t>2014 GO BONDS</t>
  </si>
  <si>
    <t>2016 GO WORKING CASH BONDS</t>
  </si>
  <si>
    <t>LEASE PURCHASE AGREEMENT</t>
  </si>
  <si>
    <t>Lease Purchase Agreement</t>
  </si>
  <si>
    <t>ROE -Regional Alternative School</t>
  </si>
  <si>
    <t>Tri-County Special Education</t>
  </si>
  <si>
    <t>Bloomington Area Career Center</t>
  </si>
  <si>
    <t>Ridgeview-Lexington Sports Cooperative</t>
  </si>
  <si>
    <t>Bushue Human Resources</t>
  </si>
  <si>
    <t>Cipafilter</t>
  </si>
  <si>
    <t>CIRBN</t>
  </si>
  <si>
    <t>Farnsworth Group Inc</t>
  </si>
  <si>
    <t>GAH Sports Medicine</t>
  </si>
  <si>
    <t>Go Solutions Group Inc</t>
  </si>
  <si>
    <t>Honeywell</t>
  </si>
  <si>
    <t>Illini Supply Inc</t>
  </si>
  <si>
    <t>Integrated Systems Corp</t>
  </si>
  <si>
    <t>Liminex, Inc.</t>
  </si>
  <si>
    <t>M &amp; S Security Services</t>
  </si>
  <si>
    <t>Mid-West Truckers Assoc.</t>
  </si>
  <si>
    <t>NCS Pearson Inc.</t>
  </si>
  <si>
    <t>Proquest LLC</t>
  </si>
  <si>
    <t>Republic Services</t>
  </si>
  <si>
    <t>RevTrak Inc</t>
  </si>
  <si>
    <t>R K Dixon</t>
  </si>
  <si>
    <t>Skyward</t>
  </si>
  <si>
    <t>Teaching Strategies LLC</t>
  </si>
  <si>
    <t>TruGreen Limited Partnership</t>
  </si>
  <si>
    <t>Wells Fargo Financial Leasing</t>
  </si>
  <si>
    <t>Page 5, Line 12 "Other Current Assets"</t>
  </si>
  <si>
    <t xml:space="preserve">     Educational Fund</t>
  </si>
  <si>
    <t xml:space="preserve">     Operations &amp; Maintenance Fund</t>
  </si>
  <si>
    <t xml:space="preserve">     Transportation Fund</t>
  </si>
  <si>
    <t>Page 10, Line 72 "Sales to Pupils - Other"</t>
  </si>
  <si>
    <t>Page 10, Line 74 "Other Food Service"</t>
  </si>
  <si>
    <t xml:space="preserve">     Tort Fund</t>
  </si>
  <si>
    <t>Page 12, Line 183 "Other Restricted Grants-in-Aid Received Directly from the Federal Govt"</t>
  </si>
  <si>
    <t xml:space="preserve">       Prepaid Payroll Withholding  $21,953</t>
  </si>
  <si>
    <t xml:space="preserve">       Prepaid Payroll Withholding  $1,764</t>
  </si>
  <si>
    <t xml:space="preserve">       Prepaid Payroll Withholding  $7,508</t>
  </si>
  <si>
    <t xml:space="preserve">       Milk Sales  $4,236</t>
  </si>
  <si>
    <t xml:space="preserve">       Rebates &amp; Reimbursements  $3,031</t>
  </si>
  <si>
    <t xml:space="preserve">       LCD Settlement $18,780</t>
  </si>
  <si>
    <t xml:space="preserve">       Miscellaneous Reimbursements  $10,585</t>
  </si>
  <si>
    <t>Page 10, Line 107 "Other Local Revenues"</t>
  </si>
  <si>
    <t xml:space="preserve">       Miscellaneous Reimbursements  $1,500</t>
  </si>
  <si>
    <t xml:space="preserve">       Miscellaneous Reimbursements  $1,232</t>
  </si>
  <si>
    <t>Page 12, Line 171 "Other Restricted Revenue from the State Sources"</t>
  </si>
  <si>
    <t xml:space="preserve">       Library Grant $1,500</t>
  </si>
  <si>
    <t xml:space="preserve">       R.E.A.P.  $26,022</t>
  </si>
  <si>
    <t>Page 13, Line 200 "Food Service-Other"</t>
  </si>
  <si>
    <t xml:space="preserve">       Equipment Assistance Grant $43,356</t>
  </si>
  <si>
    <t>Page 15 Line 41 "Other Suport Services-Pupils"</t>
  </si>
  <si>
    <t xml:space="preserve">      Purchased Services - Miscellaenous Expense  $500</t>
  </si>
  <si>
    <t>Page 16 Line 73 "Other Support Services"</t>
  </si>
  <si>
    <t xml:space="preserve">      Purchased Services - Miscellaenous Expense  $10</t>
  </si>
  <si>
    <t>Adequate internal controls require segregation of duties exist between access to both physical assets and the related accounting records.</t>
  </si>
  <si>
    <t>One employee has access to both physical assets and the related accounting records.  One employee is responsible for all phases of accounting transactions.</t>
  </si>
  <si>
    <t>The condition applies to cash, investments, payroll and disbursement areas.</t>
  </si>
  <si>
    <t>The current staffing configuration increases the risk that errors or irregularities could occur and not be detected.</t>
  </si>
  <si>
    <t>The District bookkeeper is responsible for all phases of accounting transactions.</t>
  </si>
  <si>
    <t>A new staffing configuration should be developed and implemented.</t>
  </si>
  <si>
    <t>The District has operated with the current staffing configuration due to lack of resources to hire additonal District office staff.  Alternate internal controls including board oversight and Superintendent monitoring are used to minimize the control weakness.</t>
  </si>
  <si>
    <t>Illinois school districts are required to code financial transactions in accordance with guidelines and the chart of accounts provided in the Illinois 23 Administrative Code, Part 100.  Proper classification ensures comparability of information about education among Illinois school districts.  Strong internal controls require district receipts and disbursements to be recorded in accordance with Illinois 23 Administrative Code, Part 100 guidelines and account structure.</t>
  </si>
  <si>
    <t>Numerous misclassifications existed in the District's unadjusted general ledger.</t>
  </si>
  <si>
    <t>Numerous material and immaterial audit adjustments were required to reclassify district receipts and disbursements to bring the accounting records in compliance with provisions of the Illinois 23 Administrative Code, Part 100.</t>
  </si>
  <si>
    <t>Transactions are not reviewed for compliance with the Illinois 23 Administrative Code, Part 100.</t>
  </si>
  <si>
    <t>A review of audit adjustments should be made and compared to current accounting practices.  Material receipts and disbursements should be reviewed for compliance with the Illinois 23 Administrative Code, Part 100.</t>
  </si>
  <si>
    <t>Management will review entries to ensure compliance with the Illinois 23 Administrative Code, Part 100.</t>
  </si>
  <si>
    <t>State statutes require the District to operate within the legal confines of its budget.</t>
  </si>
  <si>
    <t>Expenditures materially exceeded budgeted amounts in the Operations and Maintenance Fund and the Debt Services Fund.</t>
  </si>
  <si>
    <t>Expenditures in excess of budgeted amounts constitute unauthorized spending.</t>
  </si>
  <si>
    <t>An audit adjustment totaling $18,734 to transfer the payment of the wireless network capital lease from the Educational Fund to the Debt Services Fund was required, resulting in the overexpenditure in the Debt Services Fund.  For the Operations and Maintenance Fund, the District did amend the budget; however, expenditures still exceeded budgeted amounts.</t>
  </si>
  <si>
    <t>The District should account for and budget all debt service activity in the Debt Services Fund and monitor individual fund expenditure levels by comparing with budgeted amounts in the Operations and Maintenance Fund.</t>
  </si>
  <si>
    <t>The Illinois School Code requires the District to publish a notice advertising the availability of the original and amended budgets for public inspection and notifying taxpayers of the date of the public hearing to be held prior to the adoption of the budgets.  This notice is to be published at least 30 days prior to the date of the public hearing.</t>
  </si>
  <si>
    <t>We recommend the District publish its notice of availability for inspection and notification of the public hearing at least 30 days prior to the date of the public hearing.</t>
  </si>
  <si>
    <t>Management will implement the auditor's recommendation for budgets adopted subsequent to the issuance of this finding.</t>
  </si>
  <si>
    <t>Illinois statutes (30 ILCS 115/12) require the District to deposit Corporate Personal Property Replacement Tax (CPPRT) receipts in the Municipal Retirement/Social Security Fund to replace tax revenues lost due to the abolition of the corporate personal property tax.  The amount to be deposited is based on 1978 tax collections.</t>
  </si>
  <si>
    <t>No CPPRT receipts were deposited in the Municipal Retirement/Social Security Fund.</t>
  </si>
  <si>
    <t>The CPPRT lien percentage has not been calculated and no CPPRT monies have been budgeted or deposited in the Municipal Retirement/Social Security Fund.</t>
  </si>
  <si>
    <t>The District did not satisfy the Municipal Retirement Fund lien required by the Illinois School Code.</t>
  </si>
  <si>
    <t>The IMRF lien was not calculated to determine the amount of CPPRT receipts required to be deposited in the Municipal Retirement/Social Security Fund.</t>
  </si>
  <si>
    <t>Annually, the district should calculate the CPPRT Municipal Retirement Fund lien and deposit the required amount of CPPRT receipts into the Municipal Retirement/Social Security Fund.</t>
  </si>
  <si>
    <t>The District will research the 1978 tax extended information to be able to calculate the CPPRT Municipal Retirement fund amount and will deposit the required amount of CPPRT monies into the Municipal Retirement/Social Security Fund.</t>
  </si>
  <si>
    <t>217-774-9589</t>
  </si>
  <si>
    <t>309-862-0420</t>
  </si>
  <si>
    <t>20.  Lack of segregation of duties; expenditures materially exceeded budgeted amounts in the Operations &amp; Maintenance Fund and the Debt Services Fund; amended budget notice not adequate.  23. Opinion is adverse due to regulatory basis presentation.</t>
  </si>
  <si>
    <t xml:space="preserve">       Refund  $2,316</t>
  </si>
  <si>
    <t xml:space="preserve">Disbursements such as capital oulay, payments for special education programs, tuition payments to public schools for regular education, and data processing technical services were not properly coded. </t>
  </si>
  <si>
    <t>The Operations and Maintenance Fund and the Debt Services Fund have total disbursements exceeding the budgeted amounts by $103,076 and $18,734, respectivley.</t>
  </si>
  <si>
    <t>Management will implement the auditor's recommendation in fiscal year 2019.</t>
  </si>
  <si>
    <t>The District did not meet the notification requirements with the adoption of the amended budget.</t>
  </si>
  <si>
    <t>This finding pertains to the amended budget.</t>
  </si>
  <si>
    <t>The District did not comply with the Illinois School Code in the adoption of its amended budget.</t>
  </si>
  <si>
    <t>Notifications advertising the availability for inspection and notification of the public hearing for the original and amended budgets were published.  However, the notifications for the amended budget advertised the incorret public hearing date.</t>
  </si>
  <si>
    <t>80-2365-300</t>
  </si>
  <si>
    <t>10-1500-300</t>
  </si>
  <si>
    <t>10-2520-300</t>
  </si>
  <si>
    <t>10-1125-300</t>
  </si>
  <si>
    <t>10-2230-300</t>
  </si>
  <si>
    <t>TF-Risk Management and Claims Services Payments-Purchased Services</t>
  </si>
  <si>
    <t>TR -Pupil Transportation Services-Purchased Services</t>
  </si>
  <si>
    <t>40-2550-300</t>
  </si>
  <si>
    <t>O &amp; M-Operation and Maintenance of Plant Services-Purchased Services</t>
  </si>
  <si>
    <t>ED -Regular Programs-Purchased Services</t>
  </si>
  <si>
    <t>ED -Interscholastic Programs- Purchased Services</t>
  </si>
  <si>
    <t>ED - Pre-K Programs- Purchased Services</t>
  </si>
  <si>
    <t>ED-Operations and Maintenance of Plant Services-Purchased Services</t>
  </si>
  <si>
    <t>ED - Fiscal Services-Purchased Services</t>
  </si>
  <si>
    <t>ED - Assessment &amp; Testing- Purchased Services</t>
  </si>
  <si>
    <t>ED - Educational Media Services- Purchased Services</t>
  </si>
  <si>
    <t>10-2540-300</t>
  </si>
  <si>
    <t>20-2540-300</t>
  </si>
  <si>
    <t>10-1100-300</t>
  </si>
  <si>
    <t>Current Year                        Amount Paid on Contract                  (Column D)</t>
  </si>
  <si>
    <t>Contract Amount Applied to the Indirect Cost Rate Base                                     (Column E)</t>
  </si>
  <si>
    <t>10-2210-300</t>
  </si>
  <si>
    <t>ED -Improvement of Instruction-Purchased Services</t>
  </si>
  <si>
    <t>10-2220-300</t>
  </si>
  <si>
    <t>10-4220-600</t>
  </si>
  <si>
    <t>ED -Payments for Special Education Programs Tutition-Other Objects</t>
  </si>
  <si>
    <t>Ridgeview CUSD 19</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</si>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</sst>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0" fillId="0" borderId="158" xfId="17" applyFont="1" applyBorder="1" applyAlignment="1" applyProtection="1">
      <alignment vertical="top"/>
      <protection locked="0"/>
    </xf>
    <xf numFmtId="49" fontId="0" fillId="0" borderId="158" xfId="17" applyNumberFormat="1" applyFont="1" applyBorder="1" applyAlignment="1" applyProtection="1">
      <alignment horizontal="center" vertical="top"/>
      <protection locked="0"/>
    </xf>
    <xf numFmtId="164" fontId="8" fillId="0" borderId="0" xfId="0" applyNumberFormat="1" applyFont="1"/>
    <xf numFmtId="164" fontId="0" fillId="0" borderId="0" xfId="0" applyNumberFormat="1"/>
    <xf numFmtId="0" fontId="51" fillId="0" borderId="0" xfId="3" applyFont="1" applyAlignment="1" applyProtection="1">
      <alignment horizontal="center" vertical="center"/>
    </xf>
    <xf numFmtId="49" fontId="7" fillId="0" borderId="158" xfId="17" applyNumberFormat="1" applyFont="1" applyBorder="1" applyAlignment="1" applyProtection="1">
      <alignment horizontal="center" vertical="center"/>
      <protection locked="0"/>
    </xf>
    <xf numFmtId="49" fontId="7" fillId="0" borderId="158" xfId="17" applyNumberFormat="1" applyFont="1" applyBorder="1" applyAlignment="1" applyProtection="1">
      <alignment horizontal="center" vertical="top"/>
      <protection locked="0"/>
    </xf>
    <xf numFmtId="0" fontId="7" fillId="0" borderId="158" xfId="17" applyFont="1" applyBorder="1" applyAlignment="1" applyProtection="1">
      <alignment horizontal="left" vertical="top" wrapText="1"/>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readingOrder="1"/>
      <protection locked="0"/>
    </xf>
    <xf numFmtId="0" fontId="10" fillId="0" borderId="129" xfId="0" applyNumberFormat="1" applyFont="1" applyBorder="1" applyAlignment="1" applyProtection="1">
      <alignment horizontal="left" vertical="center" readingOrder="1"/>
      <protection locked="0"/>
    </xf>
    <xf numFmtId="0" fontId="7" fillId="0" borderId="129" xfId="0" applyFont="1" applyBorder="1" applyAlignment="1" applyProtection="1">
      <alignment vertical="center" readingOrder="1"/>
      <protection locked="0"/>
    </xf>
    <xf numFmtId="0" fontId="7" fillId="0" borderId="127"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7" fillId="0" borderId="0" xfId="3"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7" fillId="0" borderId="0" xfId="3" applyNumberFormat="1" applyAlignment="1" applyProtection="1">
      <alignment horizontal="left" vertical="top" wrapText="1"/>
      <protection locked="0"/>
    </xf>
    <xf numFmtId="0" fontId="7" fillId="0" borderId="0" xfId="3" applyBorder="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4" fillId="0" borderId="0" xfId="3"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133350</xdr:rowOff>
        </xdr:from>
        <xdr:to>
          <xdr:col>1</xdr:col>
          <xdr:colOff>962025</xdr:colOff>
          <xdr:row>5</xdr:row>
          <xdr:rowOff>9525</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0</xdr:row>
          <xdr:rowOff>152400</xdr:rowOff>
        </xdr:from>
        <xdr:to>
          <xdr:col>1</xdr:col>
          <xdr:colOff>2105025</xdr:colOff>
          <xdr:row>5</xdr:row>
          <xdr:rowOff>28575</xdr:rowOff>
        </xdr:to>
        <xdr:sp macro="" textlink="">
          <xdr:nvSpPr>
            <xdr:cNvPr id="39938" name="Object 2" hidden="1">
              <a:extLst>
                <a:ext uri="{63B3BB69-23CF-44E3-9099-C40C66FF867C}">
                  <a14:compatExt spid="_x0000_s399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2257425</xdr:colOff>
          <xdr:row>1</xdr:row>
          <xdr:rowOff>9525</xdr:rowOff>
        </xdr:from>
        <xdr:to>
          <xdr:col>1</xdr:col>
          <xdr:colOff>3171825</xdr:colOff>
          <xdr:row>5</xdr:row>
          <xdr:rowOff>47625</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114300</xdr:rowOff>
        </xdr:from>
        <xdr:to>
          <xdr:col>1</xdr:col>
          <xdr:colOff>952500</xdr:colOff>
          <xdr:row>9</xdr:row>
          <xdr:rowOff>152400</xdr:rowOff>
        </xdr:to>
        <xdr:sp macro="" textlink="">
          <xdr:nvSpPr>
            <xdr:cNvPr id="39941" name="Object 5" hidden="1">
              <a:extLst>
                <a:ext uri="{63B3BB69-23CF-44E3-9099-C40C66FF867C}">
                  <a14:compatExt spid="_x0000_s39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5</xdr:row>
          <xdr:rowOff>123825</xdr:rowOff>
        </xdr:from>
        <xdr:to>
          <xdr:col>1</xdr:col>
          <xdr:colOff>2105025</xdr:colOff>
          <xdr:row>10</xdr:row>
          <xdr:rowOff>0</xdr:rowOff>
        </xdr:to>
        <xdr:sp macro="" textlink="">
          <xdr:nvSpPr>
            <xdr:cNvPr id="39942" name="Object 6" hidden="1">
              <a:extLst>
                <a:ext uri="{63B3BB69-23CF-44E3-9099-C40C66FF867C}">
                  <a14:compatExt spid="_x0000_s399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2257425</xdr:colOff>
          <xdr:row>5</xdr:row>
          <xdr:rowOff>142875</xdr:rowOff>
        </xdr:from>
        <xdr:to>
          <xdr:col>1</xdr:col>
          <xdr:colOff>3171825</xdr:colOff>
          <xdr:row>10</xdr:row>
          <xdr:rowOff>9525</xdr:rowOff>
        </xdr:to>
        <xdr:sp macro="" textlink="">
          <xdr:nvSpPr>
            <xdr:cNvPr id="39946" name="Object 10" hidden="1">
              <a:extLst>
                <a:ext uri="{63B3BB69-23CF-44E3-9099-C40C66FF867C}">
                  <a14:compatExt spid="_x0000_s399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2082</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2082</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17064019026</v>
      </c>
      <c r="B13" s="2035"/>
      <c r="C13" s="2035"/>
      <c r="D13" s="2035"/>
      <c r="E13" s="2035"/>
      <c r="F13" s="2035"/>
      <c r="G13" s="2035"/>
      <c r="H13" s="2036"/>
      <c r="I13" s="31"/>
      <c r="J13" s="30"/>
      <c r="K13" s="28"/>
      <c r="L13" s="30"/>
      <c r="M13" s="30"/>
      <c r="N13" s="30"/>
      <c r="O13" s="30"/>
      <c r="P13" s="30"/>
      <c r="Q13" s="30"/>
      <c r="R13" s="30"/>
      <c r="S13" s="30"/>
      <c r="T13" s="2039" t="s">
        <v>2075</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2083</v>
      </c>
      <c r="B15" s="2037"/>
      <c r="C15" s="2037"/>
      <c r="D15" s="2037"/>
      <c r="E15" s="2037"/>
      <c r="F15" s="2037"/>
      <c r="G15" s="2037"/>
      <c r="H15" s="2038"/>
      <c r="T15" s="2043" t="s">
        <v>2093</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2215</v>
      </c>
      <c r="B17" s="1994"/>
      <c r="C17" s="1994"/>
      <c r="D17" s="1994"/>
      <c r="E17" s="1994"/>
      <c r="F17" s="1994"/>
      <c r="G17" s="1994"/>
      <c r="H17" s="2019"/>
      <c r="T17" s="2050" t="s">
        <v>2076</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2084</v>
      </c>
      <c r="B19" s="1979"/>
      <c r="C19" s="1979"/>
      <c r="D19" s="1979"/>
      <c r="E19" s="1979"/>
      <c r="F19" s="1979"/>
      <c r="G19" s="1979"/>
      <c r="H19" s="1959"/>
      <c r="I19" s="30"/>
      <c r="J19" s="99"/>
      <c r="K19" s="40"/>
      <c r="L19" s="38"/>
      <c r="M19" s="112" t="s">
        <v>333</v>
      </c>
      <c r="P19" s="27"/>
      <c r="Q19" s="27"/>
      <c r="R19" s="27"/>
      <c r="S19" s="31"/>
      <c r="T19" s="2033" t="s">
        <v>2077</v>
      </c>
      <c r="U19" s="1958"/>
      <c r="V19" s="1958"/>
      <c r="W19" s="1959"/>
      <c r="X19" s="2048" t="s">
        <v>2078</v>
      </c>
      <c r="Y19" s="2049"/>
      <c r="Z19" s="2046">
        <v>62565</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2085</v>
      </c>
      <c r="B21" s="1958"/>
      <c r="C21" s="1958"/>
      <c r="D21" s="1958"/>
      <c r="E21" s="1958"/>
      <c r="F21" s="1958"/>
      <c r="G21" s="1958"/>
      <c r="H21" s="1959"/>
      <c r="I21" s="2013" t="s">
        <v>699</v>
      </c>
      <c r="J21" s="2008"/>
      <c r="K21" s="2008"/>
      <c r="L21" s="2008"/>
      <c r="M21" s="2008"/>
      <c r="N21" s="2008"/>
      <c r="O21" s="2008"/>
      <c r="P21" s="2008"/>
      <c r="Q21" s="2008"/>
      <c r="R21" s="2008"/>
      <c r="S21" s="2014"/>
      <c r="T21" s="2057" t="s">
        <v>2079</v>
      </c>
      <c r="U21" s="2058"/>
      <c r="V21" s="2058"/>
      <c r="W21" s="2058"/>
      <c r="X21" s="2063" t="s">
        <v>2178</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t="s">
        <v>2087</v>
      </c>
      <c r="B23" s="2011"/>
      <c r="C23" s="2011"/>
      <c r="D23" s="2011"/>
      <c r="E23" s="2011"/>
      <c r="F23" s="2011"/>
      <c r="G23" s="2011"/>
      <c r="H23" s="2012"/>
      <c r="T23" s="1993" t="s">
        <v>2080</v>
      </c>
      <c r="U23" s="2056"/>
      <c r="V23" s="2056"/>
      <c r="W23" s="2056"/>
      <c r="X23" s="2060">
        <v>43434</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61728</v>
      </c>
      <c r="B25" s="1958"/>
      <c r="C25" s="1958"/>
      <c r="D25" s="1958"/>
      <c r="E25" s="1958"/>
      <c r="F25" s="1958"/>
      <c r="G25" s="1958"/>
      <c r="H25" s="1959"/>
      <c r="I25" s="113"/>
      <c r="J25" s="1982"/>
      <c r="K25" s="1982"/>
      <c r="L25" s="1982"/>
      <c r="M25" s="1982"/>
      <c r="N25" s="1982"/>
      <c r="O25" s="1982"/>
      <c r="P25" s="1982"/>
      <c r="Q25" s="1982"/>
      <c r="R25" s="1982"/>
      <c r="S25" s="1983"/>
      <c r="T25" s="2053" t="s">
        <v>2081</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02"/>
      <c r="K29" s="28" t="s">
        <v>597</v>
      </c>
      <c r="L29" s="148" t="s">
        <v>2082</v>
      </c>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02"/>
      <c r="K30" s="28" t="s">
        <v>597</v>
      </c>
      <c r="L30" s="148" t="s">
        <v>2082</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2082</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2082</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2086</v>
      </c>
      <c r="B38" s="1994"/>
      <c r="C38" s="1994"/>
      <c r="D38" s="1994"/>
      <c r="E38" s="1994"/>
      <c r="F38" s="1958"/>
      <c r="G38" s="1958"/>
      <c r="H38" s="1959"/>
      <c r="I38" s="1986"/>
      <c r="J38" s="1987"/>
      <c r="K38" s="1987"/>
      <c r="L38" s="1987"/>
      <c r="M38" s="1987"/>
      <c r="N38" s="1987"/>
      <c r="O38" s="1987"/>
      <c r="P38" s="1988"/>
      <c r="Q38" s="1988"/>
      <c r="R38" s="1988"/>
      <c r="S38" s="1989"/>
      <c r="T38" s="2043" t="s">
        <v>2090</v>
      </c>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2087</v>
      </c>
      <c r="B40" s="1972"/>
      <c r="C40" s="1973"/>
      <c r="D40" s="1973"/>
      <c r="E40" s="1973"/>
      <c r="F40" s="1974"/>
      <c r="G40" s="1974"/>
      <c r="H40" s="1975"/>
      <c r="I40" s="1996"/>
      <c r="J40" s="1997"/>
      <c r="K40" s="1997"/>
      <c r="L40" s="1997"/>
      <c r="M40" s="1997"/>
      <c r="N40" s="1997"/>
      <c r="O40" s="1997"/>
      <c r="P40" s="1997"/>
      <c r="Q40" s="1997"/>
      <c r="R40" s="1997"/>
      <c r="S40" s="1998"/>
      <c r="T40" s="1996" t="s">
        <v>2091</v>
      </c>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2088</v>
      </c>
      <c r="B42" s="1977"/>
      <c r="C42" s="1978"/>
      <c r="D42" s="1976" t="s">
        <v>2089</v>
      </c>
      <c r="E42" s="1977"/>
      <c r="F42" s="1977"/>
      <c r="G42" s="1977"/>
      <c r="H42" s="1978"/>
      <c r="I42" s="1960"/>
      <c r="J42" s="1961"/>
      <c r="K42" s="1961"/>
      <c r="L42" s="1961"/>
      <c r="M42" s="1961"/>
      <c r="N42" s="1961"/>
      <c r="O42" s="1962"/>
      <c r="P42" s="1995"/>
      <c r="Q42" s="1961"/>
      <c r="R42" s="1961"/>
      <c r="S42" s="1962"/>
      <c r="T42" s="1960" t="s">
        <v>2092</v>
      </c>
      <c r="U42" s="1961"/>
      <c r="V42" s="1961"/>
      <c r="W42" s="1962"/>
      <c r="X42" s="1995" t="s">
        <v>2179</v>
      </c>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H1" sqref="H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5" t="s">
        <v>1709</v>
      </c>
    </row>
    <row r="23" spans="1:5" x14ac:dyDescent="0.2">
      <c r="A23" s="168"/>
      <c r="B23" s="162" t="s">
        <v>1967</v>
      </c>
      <c r="D23" s="167" t="s">
        <v>658</v>
      </c>
      <c r="E23" s="1855"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t="s">
        <v>2082</v>
      </c>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t="s">
        <v>2082</v>
      </c>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2082</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2082</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2180</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2075</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2020</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118053458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3.1E-2</v>
      </c>
      <c r="E10" s="356" t="s">
        <v>1062</v>
      </c>
      <c r="F10" s="355">
        <v>5.0000000000000001E-3</v>
      </c>
      <c r="G10" s="356" t="s">
        <v>1062</v>
      </c>
      <c r="H10" s="355">
        <v>2E-3</v>
      </c>
      <c r="I10" s="356" t="s">
        <v>1063</v>
      </c>
      <c r="J10" s="1750">
        <f>ROUND(D10+F10+H10,5)</f>
        <v>3.7999999999999999E-2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6697499</v>
      </c>
      <c r="E16" s="356"/>
      <c r="F16" s="1751">
        <f>SUM('Acct Summary 7-8'!C17,'Acct Summary 7-8'!D17,'Acct Summary 7-8'!F17)</f>
        <v>6666358</v>
      </c>
      <c r="G16" s="356"/>
      <c r="H16" s="1751">
        <f>SUM(D16-F16)</f>
        <v>31141</v>
      </c>
      <c r="I16" s="222"/>
      <c r="J16" s="1751">
        <f>SUM('Acct Summary 7-8'!C81,'Acct Summary 7-8'!D81,'Acct Summary 7-8'!F81,'Acct Summary 7-8'!I81)</f>
        <v>5310669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16291377.204000002</v>
      </c>
      <c r="I31" s="368"/>
      <c r="J31" s="222"/>
      <c r="K31" s="222"/>
      <c r="L31" s="222"/>
      <c r="M31" s="222"/>
    </row>
    <row r="32" spans="1:13" ht="13.35" customHeight="1" x14ac:dyDescent="0.2">
      <c r="B32" s="369" t="s">
        <v>2082</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1740209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1" sqref="H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Ridgeview CUSD 19</v>
      </c>
      <c r="E7" s="391"/>
      <c r="G7" s="252"/>
      <c r="H7" s="387"/>
      <c r="I7" s="387"/>
      <c r="J7" s="387"/>
      <c r="K7" s="387"/>
      <c r="L7" s="329"/>
      <c r="M7" s="329"/>
      <c r="N7" s="329"/>
      <c r="O7" s="329"/>
      <c r="P7" s="329"/>
    </row>
    <row r="8" spans="1:18" ht="12.75" x14ac:dyDescent="0.2">
      <c r="A8" s="329"/>
      <c r="B8" s="329"/>
      <c r="C8" s="389" t="s">
        <v>1187</v>
      </c>
      <c r="D8" s="392">
        <f>COVER!A13</f>
        <v>17064019026</v>
      </c>
      <c r="E8" s="393"/>
      <c r="G8" s="329"/>
      <c r="H8" s="329"/>
      <c r="I8" s="329"/>
      <c r="J8" s="329"/>
      <c r="K8" s="329"/>
      <c r="L8" s="329"/>
      <c r="M8" s="329"/>
      <c r="N8" s="329"/>
      <c r="O8" s="329"/>
      <c r="P8" s="329"/>
    </row>
    <row r="9" spans="1:18" ht="12.75" x14ac:dyDescent="0.2">
      <c r="A9" s="329"/>
      <c r="B9" s="329"/>
      <c r="C9" s="389" t="s">
        <v>737</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5310669</v>
      </c>
      <c r="I12" s="404"/>
      <c r="J12" s="404"/>
      <c r="K12" s="405">
        <f>TRUNC((H12/H13*100000),5)/100000</f>
        <v>0.7951573381999999</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6678765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-18734</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6666358</v>
      </c>
      <c r="I17" s="404"/>
      <c r="J17" s="416"/>
      <c r="K17" s="405">
        <f>TRUNC((H17/H18*100000),5)/100000</f>
        <v>0.99814232120000002</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6678765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-18734</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5309803</v>
      </c>
      <c r="I24" s="422"/>
      <c r="J24" s="422"/>
      <c r="K24" s="423">
        <f>TRUNC(((H24/H25*100000)/100000),2)</f>
        <v>286.74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18517.661110000001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3813126.6934000002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1740209</v>
      </c>
      <c r="I32" s="420"/>
      <c r="J32" s="420"/>
      <c r="K32" s="423">
        <f>TRUNC(100-((((H32/H33*100))*100)/100),2)</f>
        <v>89.31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16291377.204000002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70" zoomScaleNormal="70" workbookViewId="0">
      <pane ySplit="2" topLeftCell="A3" activePane="bottomLeft" state="frozen"/>
      <selection activeCell="H1" sqref="H1"/>
      <selection pane="bottomLeft" activeCell="L6" sqref="L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9"/>
      <c r="D3" s="1580"/>
      <c r="E3" s="1580"/>
      <c r="F3" s="1580"/>
      <c r="G3" s="1580"/>
      <c r="H3" s="1580"/>
      <c r="I3" s="1580"/>
      <c r="J3" s="1580"/>
      <c r="K3" s="1580"/>
      <c r="L3" s="1580"/>
      <c r="M3" s="1581"/>
      <c r="N3" s="1582"/>
    </row>
    <row r="4" spans="1:14" ht="13.5" customHeight="1" x14ac:dyDescent="0.2">
      <c r="A4" s="463" t="s">
        <v>1750</v>
      </c>
      <c r="B4" s="464"/>
      <c r="C4" s="465">
        <v>0</v>
      </c>
      <c r="D4" s="466">
        <v>22503</v>
      </c>
      <c r="E4" s="466">
        <v>0</v>
      </c>
      <c r="F4" s="466">
        <v>68081</v>
      </c>
      <c r="G4" s="466">
        <v>21291</v>
      </c>
      <c r="H4" s="466">
        <v>0</v>
      </c>
      <c r="I4" s="466">
        <v>58248</v>
      </c>
      <c r="J4" s="467">
        <v>19899</v>
      </c>
      <c r="K4" s="466">
        <v>38439</v>
      </c>
      <c r="L4" s="466">
        <v>47483</v>
      </c>
      <c r="M4" s="468"/>
      <c r="N4" s="469"/>
    </row>
    <row r="5" spans="1:14" x14ac:dyDescent="0.2">
      <c r="A5" s="463" t="s">
        <v>1049</v>
      </c>
      <c r="B5" s="470">
        <v>120</v>
      </c>
      <c r="C5" s="465">
        <v>2781656</v>
      </c>
      <c r="D5" s="466">
        <v>741037</v>
      </c>
      <c r="E5" s="466">
        <v>486023</v>
      </c>
      <c r="F5" s="466">
        <v>31860</v>
      </c>
      <c r="G5" s="466">
        <v>541561</v>
      </c>
      <c r="H5" s="466">
        <v>0</v>
      </c>
      <c r="I5" s="466">
        <v>1606418</v>
      </c>
      <c r="J5" s="467">
        <v>416357</v>
      </c>
      <c r="K5" s="471">
        <v>287290</v>
      </c>
      <c r="L5" s="472">
        <v>38000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21953</v>
      </c>
      <c r="D12" s="466">
        <v>1764</v>
      </c>
      <c r="E12" s="466">
        <v>0</v>
      </c>
      <c r="F12" s="466">
        <v>7508</v>
      </c>
      <c r="G12" s="466">
        <v>0</v>
      </c>
      <c r="H12" s="466">
        <v>0</v>
      </c>
      <c r="I12" s="466">
        <v>0</v>
      </c>
      <c r="J12" s="467">
        <v>0</v>
      </c>
      <c r="K12" s="466">
        <v>0</v>
      </c>
      <c r="L12" s="466"/>
      <c r="M12" s="469"/>
      <c r="N12" s="469"/>
    </row>
    <row r="13" spans="1:14" ht="13.5" customHeight="1" thickBot="1" x14ac:dyDescent="0.25">
      <c r="A13" s="1754" t="s">
        <v>665</v>
      </c>
      <c r="B13" s="1727"/>
      <c r="C13" s="1755">
        <f>SUM(C4:C12)</f>
        <v>2803609</v>
      </c>
      <c r="D13" s="1755">
        <f t="shared" ref="D13:L13" si="0">SUM(D4:D12)</f>
        <v>765304</v>
      </c>
      <c r="E13" s="1755">
        <f t="shared" si="0"/>
        <v>486023</v>
      </c>
      <c r="F13" s="1755">
        <f t="shared" si="0"/>
        <v>107449</v>
      </c>
      <c r="G13" s="1755">
        <f t="shared" si="0"/>
        <v>562852</v>
      </c>
      <c r="H13" s="1755">
        <f t="shared" si="0"/>
        <v>0</v>
      </c>
      <c r="I13" s="1755">
        <f t="shared" si="0"/>
        <v>1664666</v>
      </c>
      <c r="J13" s="1755">
        <f t="shared" si="0"/>
        <v>436256</v>
      </c>
      <c r="K13" s="1755">
        <f t="shared" si="0"/>
        <v>325729</v>
      </c>
      <c r="L13" s="1755">
        <f t="shared" si="0"/>
        <v>85483</v>
      </c>
      <c r="M13" s="468"/>
      <c r="N13" s="469"/>
    </row>
    <row r="14" spans="1:14" ht="18" customHeight="1" thickTop="1" x14ac:dyDescent="0.2">
      <c r="A14" s="2126" t="s">
        <v>149</v>
      </c>
      <c r="B14" s="2127"/>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242610</v>
      </c>
      <c r="N16" s="484"/>
    </row>
    <row r="17" spans="1:14" s="485" customFormat="1" ht="12.75" customHeight="1" x14ac:dyDescent="0.2">
      <c r="A17" s="482" t="s">
        <v>1470</v>
      </c>
      <c r="B17" s="483">
        <v>230</v>
      </c>
      <c r="C17" s="477"/>
      <c r="D17" s="477"/>
      <c r="E17" s="477"/>
      <c r="F17" s="477"/>
      <c r="G17" s="477"/>
      <c r="H17" s="477"/>
      <c r="I17" s="477"/>
      <c r="J17" s="477"/>
      <c r="K17" s="477"/>
      <c r="L17" s="477"/>
      <c r="M17" s="467">
        <v>6917170</v>
      </c>
      <c r="N17" s="484"/>
    </row>
    <row r="18" spans="1:14" s="485" customFormat="1" ht="12.75" customHeight="1" x14ac:dyDescent="0.2">
      <c r="A18" s="482" t="s">
        <v>1471</v>
      </c>
      <c r="B18" s="483">
        <v>240</v>
      </c>
      <c r="C18" s="477"/>
      <c r="D18" s="477"/>
      <c r="E18" s="477"/>
      <c r="F18" s="477"/>
      <c r="G18" s="477"/>
      <c r="H18" s="477"/>
      <c r="I18" s="477"/>
      <c r="J18" s="477"/>
      <c r="K18" s="477"/>
      <c r="L18" s="477"/>
      <c r="M18" s="467">
        <v>6284802</v>
      </c>
      <c r="N18" s="484"/>
    </row>
    <row r="19" spans="1:14" s="485" customFormat="1" ht="12.75" customHeight="1" x14ac:dyDescent="0.2">
      <c r="A19" s="482" t="s">
        <v>1472</v>
      </c>
      <c r="B19" s="483">
        <v>250</v>
      </c>
      <c r="C19" s="477"/>
      <c r="D19" s="477"/>
      <c r="E19" s="477"/>
      <c r="F19" s="477"/>
      <c r="G19" s="477"/>
      <c r="H19" s="477"/>
      <c r="I19" s="477"/>
      <c r="J19" s="477"/>
      <c r="K19" s="477"/>
      <c r="L19" s="477"/>
      <c r="M19" s="467">
        <v>2153489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486023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1254186</v>
      </c>
    </row>
    <row r="23" spans="1:14" ht="13.5" customHeight="1" thickBot="1" x14ac:dyDescent="0.25">
      <c r="A23" s="1754" t="s">
        <v>664</v>
      </c>
      <c r="B23" s="1759"/>
      <c r="C23" s="468"/>
      <c r="D23" s="468"/>
      <c r="E23" s="468"/>
      <c r="F23" s="468"/>
      <c r="G23" s="468"/>
      <c r="H23" s="468"/>
      <c r="I23" s="468"/>
      <c r="J23" s="468"/>
      <c r="K23" s="468"/>
      <c r="L23" s="468"/>
      <c r="M23" s="1706">
        <f>SUM(M15:M22)</f>
        <v>15598071</v>
      </c>
      <c r="N23" s="1706">
        <f>SUM(N21:N22)</f>
        <v>1740209</v>
      </c>
    </row>
    <row r="24" spans="1:14" ht="18" customHeight="1" thickTop="1" x14ac:dyDescent="0.2">
      <c r="A24" s="2128" t="s">
        <v>619</v>
      </c>
      <c r="B24" s="2129"/>
      <c r="C24" s="1588"/>
      <c r="D24" s="1585"/>
      <c r="E24" s="1585"/>
      <c r="F24" s="1585"/>
      <c r="G24" s="1585"/>
      <c r="H24" s="1585"/>
      <c r="I24" s="1585"/>
      <c r="J24" s="1585"/>
      <c r="K24" s="1585"/>
      <c r="L24" s="1585"/>
      <c r="M24" s="1584"/>
      <c r="N24" s="1589"/>
    </row>
    <row r="25" spans="1:14" x14ac:dyDescent="0.2">
      <c r="A25" s="473" t="s">
        <v>666</v>
      </c>
      <c r="B25" s="470">
        <v>410</v>
      </c>
      <c r="C25" s="478">
        <v>0</v>
      </c>
      <c r="D25" s="478">
        <v>0</v>
      </c>
      <c r="E25" s="478">
        <v>0</v>
      </c>
      <c r="F25" s="478">
        <v>0</v>
      </c>
      <c r="G25" s="478">
        <v>0</v>
      </c>
      <c r="H25" s="479">
        <v>0</v>
      </c>
      <c r="I25" s="468"/>
      <c r="J25" s="478" t="s">
        <v>1231</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26266</v>
      </c>
      <c r="D27" s="467">
        <v>2568</v>
      </c>
      <c r="E27" s="467">
        <v>0</v>
      </c>
      <c r="F27" s="467">
        <v>1525</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85483</v>
      </c>
      <c r="M33" s="468"/>
      <c r="N33" s="469"/>
    </row>
    <row r="34" spans="1:14" ht="13.5" customHeight="1" thickBot="1" x14ac:dyDescent="0.25">
      <c r="A34" s="1756" t="s">
        <v>675</v>
      </c>
      <c r="B34" s="1757"/>
      <c r="C34" s="1758">
        <f>SUM(C25:C33)</f>
        <v>26266</v>
      </c>
      <c r="D34" s="1758">
        <f t="shared" ref="D34:K34" si="1">SUM(D25:D33)</f>
        <v>2568</v>
      </c>
      <c r="E34" s="1758">
        <f t="shared" si="1"/>
        <v>0</v>
      </c>
      <c r="F34" s="1758">
        <f t="shared" si="1"/>
        <v>1525</v>
      </c>
      <c r="G34" s="1758">
        <f t="shared" si="1"/>
        <v>0</v>
      </c>
      <c r="H34" s="1758">
        <f t="shared" si="1"/>
        <v>0</v>
      </c>
      <c r="I34" s="1758">
        <f t="shared" si="1"/>
        <v>0</v>
      </c>
      <c r="J34" s="1758">
        <f t="shared" si="1"/>
        <v>0</v>
      </c>
      <c r="K34" s="1758">
        <f t="shared" si="1"/>
        <v>0</v>
      </c>
      <c r="L34" s="1739">
        <f>SUM(L33)</f>
        <v>85483</v>
      </c>
      <c r="M34" s="468"/>
      <c r="N34" s="480"/>
    </row>
    <row r="35" spans="1:14" ht="18" customHeight="1" thickTop="1" x14ac:dyDescent="0.2">
      <c r="A35" s="2130" t="s">
        <v>550</v>
      </c>
      <c r="B35" s="2131"/>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1740209</v>
      </c>
    </row>
    <row r="37" spans="1:14" ht="13.5" thickBot="1" x14ac:dyDescent="0.25">
      <c r="A37" s="1754" t="s">
        <v>674</v>
      </c>
      <c r="B37" s="1759"/>
      <c r="C37" s="477"/>
      <c r="D37" s="477"/>
      <c r="E37" s="477"/>
      <c r="F37" s="477"/>
      <c r="G37" s="477"/>
      <c r="H37" s="477"/>
      <c r="I37" s="477"/>
      <c r="J37" s="477"/>
      <c r="K37" s="477"/>
      <c r="L37" s="480"/>
      <c r="M37" s="468"/>
      <c r="N37" s="1706">
        <f>SUM(N36:N36)</f>
        <v>1740209</v>
      </c>
    </row>
    <row r="38" spans="1:14" s="329" customFormat="1" ht="13.5" customHeight="1" thickTop="1" x14ac:dyDescent="0.2">
      <c r="A38" s="496" t="s">
        <v>440</v>
      </c>
      <c r="B38" s="483">
        <v>714</v>
      </c>
      <c r="C38" s="466">
        <v>215693</v>
      </c>
      <c r="D38" s="466">
        <v>486</v>
      </c>
      <c r="E38" s="466"/>
      <c r="F38" s="466">
        <v>38239</v>
      </c>
      <c r="G38" s="466">
        <v>216227</v>
      </c>
      <c r="H38" s="466"/>
      <c r="I38" s="466"/>
      <c r="J38" s="467"/>
      <c r="K38" s="466"/>
      <c r="L38" s="481"/>
      <c r="M38" s="497"/>
      <c r="N38" s="497"/>
    </row>
    <row r="39" spans="1:14" s="329" customFormat="1" ht="13.5" customHeight="1" x14ac:dyDescent="0.2">
      <c r="A39" s="496" t="s">
        <v>360</v>
      </c>
      <c r="B39" s="483">
        <v>730</v>
      </c>
      <c r="C39" s="466">
        <v>2561650</v>
      </c>
      <c r="D39" s="466">
        <v>762250</v>
      </c>
      <c r="E39" s="466">
        <v>486023</v>
      </c>
      <c r="F39" s="466">
        <v>67685</v>
      </c>
      <c r="G39" s="466">
        <v>346625</v>
      </c>
      <c r="H39" s="466"/>
      <c r="I39" s="466">
        <v>1664666</v>
      </c>
      <c r="J39" s="467">
        <v>436256</v>
      </c>
      <c r="K39" s="466">
        <v>325729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15598071</v>
      </c>
      <c r="N40" s="497"/>
    </row>
    <row r="41" spans="1:14" ht="13.5" customHeight="1" thickBot="1" x14ac:dyDescent="0.25">
      <c r="A41" s="1754" t="s">
        <v>676</v>
      </c>
      <c r="B41" s="1724"/>
      <c r="C41" s="1706">
        <f>(SUM(C34,C37,C38,C39))</f>
        <v>2803609</v>
      </c>
      <c r="D41" s="1706">
        <f t="shared" ref="D41:L41" si="2">SUM(D34,D37,D38:D39)</f>
        <v>765304</v>
      </c>
      <c r="E41" s="1706">
        <f t="shared" si="2"/>
        <v>486023</v>
      </c>
      <c r="F41" s="1706">
        <f t="shared" si="2"/>
        <v>107449</v>
      </c>
      <c r="G41" s="1706">
        <f t="shared" si="2"/>
        <v>562852</v>
      </c>
      <c r="H41" s="1706">
        <f t="shared" si="2"/>
        <v>0</v>
      </c>
      <c r="I41" s="1706">
        <f t="shared" si="2"/>
        <v>1664666</v>
      </c>
      <c r="J41" s="1706">
        <f t="shared" si="2"/>
        <v>436256</v>
      </c>
      <c r="K41" s="1706">
        <f t="shared" si="2"/>
        <v>325729</v>
      </c>
      <c r="L41" s="1706">
        <f t="shared" si="2"/>
        <v>85483</v>
      </c>
      <c r="M41" s="1706">
        <f>SUM(M40)</f>
        <v>15598071</v>
      </c>
      <c r="N41" s="1706">
        <f>SUM(N37)</f>
        <v>1740209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70" zoomScaleNormal="70" zoomScaleSheetLayoutView="100" workbookViewId="0">
      <pane ySplit="2" topLeftCell="A36" activePane="bottomLeft" state="frozenSplit"/>
      <selection activeCell="H1" sqref="H1"/>
      <selection pane="bottomLeft" activeCell="H1" sqref="H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3"/>
      <c r="D3" s="1594"/>
      <c r="E3" s="1594"/>
      <c r="F3" s="1594"/>
      <c r="G3" s="1594"/>
      <c r="H3" s="1594"/>
      <c r="I3" s="1594"/>
      <c r="J3" s="1594"/>
      <c r="K3" s="1595"/>
      <c r="L3" s="506"/>
    </row>
    <row r="4" spans="1:13" ht="15.75" customHeight="1" x14ac:dyDescent="0.2">
      <c r="A4" s="1947" t="s">
        <v>1579</v>
      </c>
      <c r="B4" s="1948">
        <v>1000</v>
      </c>
      <c r="C4" s="1760">
        <f>'Revenues 9-14'!C109</f>
        <v>4130103</v>
      </c>
      <c r="D4" s="1760">
        <f>'Revenues 9-14'!D109</f>
        <v>673974</v>
      </c>
      <c r="E4" s="1760">
        <f>'Revenues 9-14'!E109</f>
        <v>905571</v>
      </c>
      <c r="F4" s="1760">
        <f>'Revenues 9-14'!F109</f>
        <v>238235</v>
      </c>
      <c r="G4" s="1760">
        <f>'Revenues 9-14'!G109</f>
        <v>273590</v>
      </c>
      <c r="H4" s="1760">
        <f>'Revenues 9-14'!H109</f>
        <v>0</v>
      </c>
      <c r="I4" s="1760">
        <f>'Revenues 9-14'!I109</f>
        <v>87666</v>
      </c>
      <c r="J4" s="1760">
        <f>'Revenues 9-14'!J109</f>
        <v>172980</v>
      </c>
      <c r="K4" s="1760">
        <f>'Revenues 9-14'!K109</f>
        <v>63004</v>
      </c>
      <c r="L4" s="347"/>
    </row>
    <row r="5" spans="1:13" ht="15.75" customHeight="1" x14ac:dyDescent="0.2">
      <c r="A5" s="1596" t="s">
        <v>1580</v>
      </c>
      <c r="B5" s="1597">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6" t="s">
        <v>1581</v>
      </c>
      <c r="B6" s="1598">
        <v>3000</v>
      </c>
      <c r="C6" s="1761">
        <f>'Revenues 9-14'!C173</f>
        <v>822132</v>
      </c>
      <c r="D6" s="1761">
        <f>'Revenues 9-14'!D173</f>
        <v>0</v>
      </c>
      <c r="E6" s="1761">
        <f>'Revenues 9-14'!E173</f>
        <v>0</v>
      </c>
      <c r="F6" s="1761">
        <f>'Revenues 9-14'!F173</f>
        <v>206061</v>
      </c>
      <c r="G6" s="1761">
        <f>'Revenues 9-14'!G173</f>
        <v>0</v>
      </c>
      <c r="H6" s="1761">
        <f>'Revenues 9-14'!H173</f>
        <v>0</v>
      </c>
      <c r="I6" s="1761">
        <f>'Revenues 9-14'!I173</f>
        <v>0</v>
      </c>
      <c r="J6" s="1761">
        <f>'Revenues 9-14'!J173</f>
        <v>0</v>
      </c>
      <c r="K6" s="1761">
        <f>'Revenues 9-14'!K173</f>
        <v>0</v>
      </c>
      <c r="L6" s="347"/>
      <c r="M6" s="513"/>
    </row>
    <row r="7" spans="1:13" ht="15.75" customHeight="1" x14ac:dyDescent="0.2">
      <c r="A7" s="1596" t="s">
        <v>1582</v>
      </c>
      <c r="B7" s="1598">
        <v>4000</v>
      </c>
      <c r="C7" s="1761">
        <f>'Revenues 9-14'!C274</f>
        <v>539328</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5491563</v>
      </c>
      <c r="D8" s="1706">
        <f t="shared" ref="D8:K8" si="0">SUM(D4:D7)</f>
        <v>673974</v>
      </c>
      <c r="E8" s="1706">
        <f t="shared" si="0"/>
        <v>905571</v>
      </c>
      <c r="F8" s="1706">
        <f t="shared" si="0"/>
        <v>444296</v>
      </c>
      <c r="G8" s="1706">
        <f t="shared" si="0"/>
        <v>273590</v>
      </c>
      <c r="H8" s="1706">
        <f t="shared" si="0"/>
        <v>0</v>
      </c>
      <c r="I8" s="1706">
        <f t="shared" si="0"/>
        <v>87666</v>
      </c>
      <c r="J8" s="1706">
        <f t="shared" si="0"/>
        <v>172980</v>
      </c>
      <c r="K8" s="1706">
        <f t="shared" si="0"/>
        <v>63004</v>
      </c>
      <c r="L8" s="347"/>
    </row>
    <row r="9" spans="1:13" ht="15.75" thickTop="1" x14ac:dyDescent="0.2">
      <c r="A9" s="514" t="s">
        <v>1752</v>
      </c>
      <c r="B9" s="515">
        <v>3998</v>
      </c>
      <c r="C9" s="481">
        <v>2016795</v>
      </c>
      <c r="D9" s="516"/>
      <c r="E9" s="481"/>
      <c r="F9" s="481"/>
      <c r="G9" s="517"/>
      <c r="H9" s="481"/>
      <c r="I9" s="509" t="s">
        <v>1231</v>
      </c>
      <c r="J9" s="478"/>
      <c r="K9" s="481"/>
      <c r="L9" s="347"/>
    </row>
    <row r="10" spans="1:13" s="519" customFormat="1" ht="13.5" thickBot="1" x14ac:dyDescent="0.25">
      <c r="A10" s="1754" t="s">
        <v>1235</v>
      </c>
      <c r="B10" s="1727"/>
      <c r="C10" s="1706">
        <f>SUM(C8:C9)</f>
        <v>7508358</v>
      </c>
      <c r="D10" s="1706">
        <f t="shared" ref="D10:K10" si="1">SUM(D8:D9)</f>
        <v>673974</v>
      </c>
      <c r="E10" s="1706">
        <f t="shared" si="1"/>
        <v>905571</v>
      </c>
      <c r="F10" s="1706">
        <f t="shared" si="1"/>
        <v>444296</v>
      </c>
      <c r="G10" s="1706">
        <f t="shared" si="1"/>
        <v>273590</v>
      </c>
      <c r="H10" s="1706">
        <f t="shared" si="1"/>
        <v>0</v>
      </c>
      <c r="I10" s="1706">
        <f t="shared" si="1"/>
        <v>87666</v>
      </c>
      <c r="J10" s="1706">
        <f t="shared" si="1"/>
        <v>172980</v>
      </c>
      <c r="K10" s="1706">
        <f t="shared" si="1"/>
        <v>63004</v>
      </c>
      <c r="L10" s="518"/>
    </row>
    <row r="11" spans="1:13" s="519" customFormat="1" ht="16.7" customHeight="1" thickTop="1" x14ac:dyDescent="0.2">
      <c r="A11" s="2126" t="s">
        <v>1238</v>
      </c>
      <c r="B11" s="2127"/>
      <c r="C11" s="1590"/>
      <c r="D11" s="1591"/>
      <c r="E11" s="1591"/>
      <c r="F11" s="1591"/>
      <c r="G11" s="1591"/>
      <c r="H11" s="1591"/>
      <c r="I11" s="1591"/>
      <c r="J11" s="1591"/>
      <c r="K11" s="1592"/>
      <c r="L11" s="518"/>
    </row>
    <row r="12" spans="1:13" ht="15.75" customHeight="1" x14ac:dyDescent="0.2">
      <c r="A12" s="1596" t="s">
        <v>476</v>
      </c>
      <c r="B12" s="1598">
        <v>1000</v>
      </c>
      <c r="C12" s="1760">
        <f>'Expenditures 15-22'!K33</f>
        <v>3511967</v>
      </c>
      <c r="D12" s="520" t="s">
        <v>1231</v>
      </c>
      <c r="E12" s="468" t="s">
        <v>1231</v>
      </c>
      <c r="F12" s="468" t="s">
        <v>1231</v>
      </c>
      <c r="G12" s="1760">
        <f>'Expenditures 15-22'!K229</f>
        <v>74806</v>
      </c>
      <c r="H12" s="521"/>
      <c r="I12" s="468" t="s">
        <v>1231</v>
      </c>
      <c r="J12" s="468" t="s">
        <v>1231</v>
      </c>
      <c r="K12" s="521" t="s">
        <v>1231</v>
      </c>
      <c r="L12" s="347"/>
    </row>
    <row r="13" spans="1:13" ht="15.75" customHeight="1" x14ac:dyDescent="0.2">
      <c r="A13" s="1596" t="s">
        <v>477</v>
      </c>
      <c r="B13" s="1598">
        <v>2000</v>
      </c>
      <c r="C13" s="1761">
        <f>'Expenditures 15-22'!K74</f>
        <v>1576675</v>
      </c>
      <c r="D13" s="1761">
        <f>'Expenditures 15-22'!K129</f>
        <v>891514</v>
      </c>
      <c r="E13" s="469" t="s">
        <v>1231</v>
      </c>
      <c r="F13" s="1761">
        <f>'Expenditures 15-22'!K184</f>
        <v>432531</v>
      </c>
      <c r="G13" s="1761">
        <f>'Expenditures 15-22'!K279</f>
        <v>127649</v>
      </c>
      <c r="H13" s="1761">
        <f>'Expenditures 15-22'!K303</f>
        <v>0</v>
      </c>
      <c r="I13" s="468" t="s">
        <v>1231</v>
      </c>
      <c r="J13" s="1761">
        <f>'Expenditures 15-22'!K330</f>
        <v>108922</v>
      </c>
      <c r="K13" s="1765">
        <f>'Expenditures 15-22'!K352</f>
        <v>0</v>
      </c>
      <c r="L13" s="347"/>
    </row>
    <row r="14" spans="1:13" ht="15.75" customHeight="1" x14ac:dyDescent="0.2">
      <c r="A14" s="1596" t="s">
        <v>469</v>
      </c>
      <c r="B14" s="1598">
        <v>3000</v>
      </c>
      <c r="C14" s="1761">
        <f>'Expenditures 15-22'!K75</f>
        <v>516</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6" t="s">
        <v>109</v>
      </c>
      <c r="B15" s="1598">
        <v>4000</v>
      </c>
      <c r="C15" s="1761">
        <f>'Expenditures 15-22'!K102</f>
        <v>253155</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6" t="s">
        <v>470</v>
      </c>
      <c r="B16" s="1598">
        <v>5000</v>
      </c>
      <c r="C16" s="1761">
        <f>'Expenditures 15-22'!K112</f>
        <v>0</v>
      </c>
      <c r="D16" s="1761">
        <f>'Expenditures 15-22'!K149</f>
        <v>0</v>
      </c>
      <c r="E16" s="1761">
        <f>'Expenditures 15-22'!K172</f>
        <v>910234</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5342313</v>
      </c>
      <c r="D17" s="1706">
        <f t="shared" si="2"/>
        <v>891514</v>
      </c>
      <c r="E17" s="1706">
        <f t="shared" si="2"/>
        <v>910234</v>
      </c>
      <c r="F17" s="1706">
        <f t="shared" si="2"/>
        <v>432531</v>
      </c>
      <c r="G17" s="1706">
        <f t="shared" si="2"/>
        <v>202455</v>
      </c>
      <c r="H17" s="1706">
        <f t="shared" si="2"/>
        <v>0</v>
      </c>
      <c r="I17" s="468"/>
      <c r="J17" s="1706">
        <f>SUM(J12:J16)</f>
        <v>108922</v>
      </c>
      <c r="K17" s="1706">
        <f>SUM(K12:K16)</f>
        <v>0</v>
      </c>
      <c r="L17" s="347"/>
    </row>
    <row r="18" spans="1:12" ht="15" customHeight="1" thickTop="1" x14ac:dyDescent="0.2">
      <c r="A18" s="1762" t="s">
        <v>1753</v>
      </c>
      <c r="B18" s="1763">
        <v>4180</v>
      </c>
      <c r="C18" s="1760">
        <f t="shared" ref="C18:H18" si="3">C9</f>
        <v>2016795</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7359108</v>
      </c>
      <c r="D19" s="1706">
        <f t="shared" si="4"/>
        <v>891514</v>
      </c>
      <c r="E19" s="1706">
        <f t="shared" si="4"/>
        <v>910234</v>
      </c>
      <c r="F19" s="1706">
        <f t="shared" si="4"/>
        <v>432531</v>
      </c>
      <c r="G19" s="1706">
        <f t="shared" si="4"/>
        <v>202455</v>
      </c>
      <c r="H19" s="1706">
        <f t="shared" si="4"/>
        <v>0</v>
      </c>
      <c r="I19" s="468"/>
      <c r="J19" s="1706">
        <f>SUM(J17:J18)</f>
        <v>108922</v>
      </c>
      <c r="K19" s="1706">
        <f>SUM(K17:K18)</f>
        <v>0</v>
      </c>
      <c r="L19" s="347"/>
    </row>
    <row r="20" spans="1:12" ht="16.5" thickTop="1" thickBot="1" x14ac:dyDescent="0.25">
      <c r="A20" s="2142" t="s">
        <v>1754</v>
      </c>
      <c r="B20" s="2143"/>
      <c r="C20" s="1764">
        <f>C8-C17</f>
        <v>149250</v>
      </c>
      <c r="D20" s="1764">
        <f t="shared" ref="D20:K20" si="5">D8-D17</f>
        <v>-217540</v>
      </c>
      <c r="E20" s="1764">
        <f t="shared" si="5"/>
        <v>-4663</v>
      </c>
      <c r="F20" s="1764">
        <f t="shared" si="5"/>
        <v>11765</v>
      </c>
      <c r="G20" s="1764">
        <f t="shared" si="5"/>
        <v>71135</v>
      </c>
      <c r="H20" s="1764">
        <f t="shared" si="5"/>
        <v>0</v>
      </c>
      <c r="I20" s="1764">
        <f t="shared" si="5"/>
        <v>87666</v>
      </c>
      <c r="J20" s="1764">
        <f t="shared" si="5"/>
        <v>64058</v>
      </c>
      <c r="K20" s="1764">
        <f t="shared" si="5"/>
        <v>63004</v>
      </c>
      <c r="L20" s="347"/>
    </row>
    <row r="21" spans="1:12" ht="16.7" customHeight="1" thickTop="1" x14ac:dyDescent="0.2">
      <c r="A21" s="2154" t="s">
        <v>616</v>
      </c>
      <c r="B21" s="2155"/>
      <c r="C21" s="1590"/>
      <c r="D21" s="1591"/>
      <c r="E21" s="1591"/>
      <c r="F21" s="1591"/>
      <c r="G21" s="1591"/>
      <c r="H21" s="1591"/>
      <c r="I21" s="1591"/>
      <c r="J21" s="1591"/>
      <c r="K21" s="1592"/>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09" t="s">
        <v>1755</v>
      </c>
      <c r="B24" s="525">
        <v>7110</v>
      </c>
      <c r="C24" s="467">
        <v>0</v>
      </c>
      <c r="D24" s="477"/>
      <c r="E24" s="477"/>
      <c r="F24" s="477"/>
      <c r="G24" s="477"/>
      <c r="H24" s="477"/>
      <c r="I24" s="477"/>
      <c r="J24" s="477"/>
      <c r="K24" s="477"/>
      <c r="L24" s="524"/>
    </row>
    <row r="25" spans="1:12" s="485" customFormat="1" ht="13.5" customHeight="1" x14ac:dyDescent="0.2">
      <c r="A25" s="1509" t="s">
        <v>1756</v>
      </c>
      <c r="B25" s="525">
        <v>7110</v>
      </c>
      <c r="C25" s="467">
        <v>317000</v>
      </c>
      <c r="D25" s="467">
        <v>300615</v>
      </c>
      <c r="E25" s="467" t="s">
        <v>1231</v>
      </c>
      <c r="F25" s="467" t="s">
        <v>1231</v>
      </c>
      <c r="G25" s="467" t="s">
        <v>1231</v>
      </c>
      <c r="H25" s="467" t="s">
        <v>1231</v>
      </c>
      <c r="I25" s="477"/>
      <c r="J25" s="467" t="s">
        <v>1231</v>
      </c>
      <c r="K25" s="467" t="s">
        <v>1231</v>
      </c>
      <c r="L25" s="524"/>
    </row>
    <row r="26" spans="1:12" s="485" customFormat="1" ht="13.5" customHeight="1" x14ac:dyDescent="0.2">
      <c r="A26" s="1509"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9" t="s">
        <v>194</v>
      </c>
      <c r="B27" s="483">
        <v>7130</v>
      </c>
      <c r="C27" s="467">
        <v>0</v>
      </c>
      <c r="D27" s="467">
        <v>0</v>
      </c>
      <c r="E27" s="526"/>
      <c r="F27" s="467">
        <v>0</v>
      </c>
      <c r="G27" s="480"/>
      <c r="H27" s="480"/>
      <c r="I27" s="480"/>
      <c r="J27" s="480"/>
      <c r="K27" s="480"/>
      <c r="L27" s="524"/>
    </row>
    <row r="28" spans="1:12" s="485" customFormat="1" ht="13.5" customHeight="1" x14ac:dyDescent="0.2">
      <c r="A28" s="1509"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9" t="s">
        <v>312</v>
      </c>
      <c r="B29" s="483">
        <v>7150</v>
      </c>
      <c r="C29" s="475"/>
      <c r="D29" s="467">
        <v>0</v>
      </c>
      <c r="E29" s="475"/>
      <c r="F29" s="475"/>
      <c r="G29" s="475"/>
      <c r="H29" s="475"/>
      <c r="I29" s="475"/>
      <c r="J29" s="475"/>
      <c r="K29" s="475"/>
      <c r="L29" s="524"/>
    </row>
    <row r="30" spans="1:12" s="485" customFormat="1" ht="26.25" x14ac:dyDescent="0.2">
      <c r="A30" s="1509" t="s">
        <v>1897</v>
      </c>
      <c r="B30" s="527">
        <v>7160</v>
      </c>
      <c r="C30" s="477"/>
      <c r="D30" s="467">
        <v>0</v>
      </c>
      <c r="E30" s="477"/>
      <c r="F30" s="477"/>
      <c r="G30" s="477"/>
      <c r="H30" s="477"/>
      <c r="I30" s="477"/>
      <c r="J30" s="477"/>
      <c r="K30" s="477"/>
      <c r="L30" s="524"/>
    </row>
    <row r="31" spans="1:12" s="485" customFormat="1" ht="26.25" x14ac:dyDescent="0.2">
      <c r="A31" s="1509" t="s">
        <v>1901</v>
      </c>
      <c r="B31" s="527">
        <v>7170</v>
      </c>
      <c r="C31" s="477"/>
      <c r="D31" s="477"/>
      <c r="E31" s="474">
        <v>0</v>
      </c>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09" t="s">
        <v>432</v>
      </c>
      <c r="B33" s="525">
        <v>7210</v>
      </c>
      <c r="C33" s="467">
        <v>0</v>
      </c>
      <c r="D33" s="467">
        <v>0</v>
      </c>
      <c r="E33" s="467">
        <v>0</v>
      </c>
      <c r="F33" s="467">
        <v>0</v>
      </c>
      <c r="G33" s="477"/>
      <c r="H33" s="467">
        <v>0</v>
      </c>
      <c r="I33" s="467">
        <v>0</v>
      </c>
      <c r="J33" s="467">
        <v>0</v>
      </c>
      <c r="K33" s="467">
        <v>0</v>
      </c>
      <c r="L33" s="524"/>
    </row>
    <row r="34" spans="1:12" s="485" customFormat="1" x14ac:dyDescent="0.2">
      <c r="A34" s="1509" t="s">
        <v>1058</v>
      </c>
      <c r="B34" s="525">
        <v>7220</v>
      </c>
      <c r="C34" s="467">
        <v>0</v>
      </c>
      <c r="D34" s="467">
        <v>0</v>
      </c>
      <c r="E34" s="467">
        <v>0</v>
      </c>
      <c r="F34" s="467">
        <v>0</v>
      </c>
      <c r="G34" s="477"/>
      <c r="H34" s="478">
        <v>0</v>
      </c>
      <c r="I34" s="478">
        <v>0</v>
      </c>
      <c r="J34" s="478">
        <v>0</v>
      </c>
      <c r="K34" s="478">
        <v>0</v>
      </c>
      <c r="L34" s="524"/>
    </row>
    <row r="35" spans="1:12" s="485" customFormat="1" x14ac:dyDescent="0.2">
      <c r="A35" s="1509" t="s">
        <v>1047</v>
      </c>
      <c r="B35" s="525">
        <v>7230</v>
      </c>
      <c r="C35" s="467">
        <v>0</v>
      </c>
      <c r="D35" s="467">
        <v>0</v>
      </c>
      <c r="E35" s="467">
        <v>0</v>
      </c>
      <c r="F35" s="467">
        <v>0</v>
      </c>
      <c r="G35" s="480"/>
      <c r="H35" s="467">
        <v>0</v>
      </c>
      <c r="I35" s="467">
        <v>0</v>
      </c>
      <c r="J35" s="467">
        <v>0</v>
      </c>
      <c r="K35" s="467">
        <v>0</v>
      </c>
      <c r="L35" s="524"/>
    </row>
    <row r="36" spans="1:12" s="485" customFormat="1" ht="15" x14ac:dyDescent="0.2">
      <c r="A36" s="1509" t="s">
        <v>1757</v>
      </c>
      <c r="B36" s="525">
        <v>7300</v>
      </c>
      <c r="C36" s="467">
        <v>0</v>
      </c>
      <c r="D36" s="467">
        <v>9618</v>
      </c>
      <c r="E36" s="467">
        <v>0</v>
      </c>
      <c r="F36" s="467">
        <v>0</v>
      </c>
      <c r="G36" s="467">
        <v>0</v>
      </c>
      <c r="H36" s="467">
        <v>0</v>
      </c>
      <c r="I36" s="475"/>
      <c r="J36" s="467">
        <v>0</v>
      </c>
      <c r="K36" s="467">
        <v>0</v>
      </c>
      <c r="L36" s="524"/>
    </row>
    <row r="37" spans="1:12" s="485" customFormat="1" x14ac:dyDescent="0.2">
      <c r="A37" s="1509" t="s">
        <v>461</v>
      </c>
      <c r="B37" s="525">
        <v>7400</v>
      </c>
      <c r="C37" s="475"/>
      <c r="D37" s="475"/>
      <c r="E37" s="1761">
        <f>SUM(C54:D57,H54:H57)</f>
        <v>16536</v>
      </c>
      <c r="F37" s="475"/>
      <c r="G37" s="475"/>
      <c r="H37" s="475"/>
      <c r="I37" s="477"/>
      <c r="J37" s="475"/>
      <c r="K37" s="475"/>
      <c r="L37" s="524"/>
    </row>
    <row r="38" spans="1:12" s="485" customFormat="1" x14ac:dyDescent="0.2">
      <c r="A38" s="1509" t="s">
        <v>462</v>
      </c>
      <c r="B38" s="525">
        <v>7500</v>
      </c>
      <c r="C38" s="477"/>
      <c r="D38" s="477"/>
      <c r="E38" s="1761">
        <f>SUM(C58:D61,H58:H61)</f>
        <v>2198</v>
      </c>
      <c r="F38" s="477"/>
      <c r="G38" s="477"/>
      <c r="H38" s="477"/>
      <c r="I38" s="477"/>
      <c r="J38" s="477"/>
      <c r="K38" s="477"/>
      <c r="L38" s="524"/>
    </row>
    <row r="39" spans="1:12" s="485" customFormat="1" x14ac:dyDescent="0.2">
      <c r="A39" s="1509" t="s">
        <v>463</v>
      </c>
      <c r="B39" s="525">
        <v>7600</v>
      </c>
      <c r="C39" s="477"/>
      <c r="D39" s="477"/>
      <c r="E39" s="1761">
        <f>SUM(C62:D65)</f>
        <v>0</v>
      </c>
      <c r="F39" s="477"/>
      <c r="G39" s="477"/>
      <c r="H39" s="477"/>
      <c r="I39" s="477"/>
      <c r="J39" s="477"/>
      <c r="K39" s="477"/>
      <c r="L39" s="524"/>
    </row>
    <row r="40" spans="1:12" s="485" customFormat="1" ht="13.5" customHeight="1" x14ac:dyDescent="0.2">
      <c r="A40" s="1509" t="s">
        <v>663</v>
      </c>
      <c r="B40" s="483">
        <v>7700</v>
      </c>
      <c r="C40" s="477"/>
      <c r="D40" s="477"/>
      <c r="E40" s="1761">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1">
        <f>SUM(C70:D73)</f>
        <v>0</v>
      </c>
      <c r="I41" s="477"/>
      <c r="J41" s="477"/>
      <c r="K41" s="480"/>
      <c r="L41" s="524"/>
    </row>
    <row r="42" spans="1:12" s="485" customFormat="1" ht="13.5" customHeight="1" x14ac:dyDescent="0.2">
      <c r="A42" s="1509"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9" t="s">
        <v>391</v>
      </c>
      <c r="B43" s="483">
        <v>7990</v>
      </c>
      <c r="C43" s="467">
        <v>0</v>
      </c>
      <c r="D43" s="467">
        <v>0</v>
      </c>
      <c r="E43" s="467">
        <v>0</v>
      </c>
      <c r="F43" s="467">
        <v>0</v>
      </c>
      <c r="G43" s="467">
        <v>0</v>
      </c>
      <c r="H43" s="467">
        <v>0</v>
      </c>
      <c r="I43" s="467" t="s">
        <v>1231</v>
      </c>
      <c r="J43" s="467">
        <v>0</v>
      </c>
      <c r="K43" s="467">
        <v>0</v>
      </c>
      <c r="L43" s="524"/>
    </row>
    <row r="44" spans="1:12" s="485" customFormat="1" ht="13.5" customHeight="1" thickBot="1" x14ac:dyDescent="0.25">
      <c r="A44" s="2156" t="s">
        <v>392</v>
      </c>
      <c r="B44" s="2157"/>
      <c r="C44" s="1721">
        <f>SUM(C24:C43)</f>
        <v>317000</v>
      </c>
      <c r="D44" s="1721">
        <f t="shared" ref="D44:K44" si="6">SUM(D24:D43)</f>
        <v>310233</v>
      </c>
      <c r="E44" s="1721">
        <f t="shared" si="6"/>
        <v>18734</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1">
        <f>SUM(C24,C25:H25,J25:K25)</f>
        <v>617615</v>
      </c>
      <c r="J47" s="477"/>
      <c r="K47" s="477"/>
      <c r="L47" s="529"/>
    </row>
    <row r="48" spans="1:12" s="485" customFormat="1" ht="15" x14ac:dyDescent="0.2">
      <c r="A48" s="1510" t="s">
        <v>1759</v>
      </c>
      <c r="B48" s="483">
        <v>8120</v>
      </c>
      <c r="C48" s="480"/>
      <c r="D48" s="480"/>
      <c r="E48" s="477"/>
      <c r="F48" s="480"/>
      <c r="G48" s="477"/>
      <c r="H48" s="477"/>
      <c r="I48" s="1761">
        <f>SUM(C26:H26,J26,K26)</f>
        <v>0</v>
      </c>
      <c r="J48" s="477"/>
      <c r="K48" s="477"/>
      <c r="L48" s="529"/>
    </row>
    <row r="49" spans="1:12" s="485" customFormat="1" x14ac:dyDescent="0.2">
      <c r="A49" s="1510" t="s">
        <v>194</v>
      </c>
      <c r="B49" s="483">
        <v>8130</v>
      </c>
      <c r="C49" s="467">
        <v>0</v>
      </c>
      <c r="D49" s="467">
        <v>0</v>
      </c>
      <c r="E49" s="480"/>
      <c r="F49" s="467">
        <v>0</v>
      </c>
      <c r="G49" s="480"/>
      <c r="H49" s="480"/>
      <c r="I49" s="477"/>
      <c r="J49" s="480"/>
      <c r="K49" s="477"/>
      <c r="L49" s="524"/>
    </row>
    <row r="50" spans="1:12" s="485" customFormat="1" x14ac:dyDescent="0.2">
      <c r="A50" s="1510" t="s">
        <v>1465</v>
      </c>
      <c r="B50" s="483">
        <v>8140</v>
      </c>
      <c r="C50" s="467">
        <v>0</v>
      </c>
      <c r="D50" s="467">
        <v>0</v>
      </c>
      <c r="E50" s="467">
        <v>0</v>
      </c>
      <c r="F50" s="467">
        <v>0</v>
      </c>
      <c r="G50" s="467">
        <v>0</v>
      </c>
      <c r="H50" s="467">
        <v>0</v>
      </c>
      <c r="I50" s="477"/>
      <c r="J50" s="467">
        <v>0</v>
      </c>
      <c r="K50" s="477"/>
      <c r="L50" s="524"/>
    </row>
    <row r="51" spans="1:12" s="485" customFormat="1" x14ac:dyDescent="0.2">
      <c r="A51" s="1510" t="s">
        <v>312</v>
      </c>
      <c r="B51" s="483">
        <v>8150</v>
      </c>
      <c r="C51" s="475"/>
      <c r="D51" s="475"/>
      <c r="E51" s="475"/>
      <c r="F51" s="475"/>
      <c r="G51" s="475"/>
      <c r="H51" s="1761">
        <f>SUM(D29)</f>
        <v>0</v>
      </c>
      <c r="I51" s="477"/>
      <c r="J51" s="475"/>
      <c r="K51" s="480"/>
      <c r="L51" s="524"/>
    </row>
    <row r="52" spans="1:12" s="485" customFormat="1" ht="26.25" x14ac:dyDescent="0.2">
      <c r="A52" s="1510" t="s">
        <v>1900</v>
      </c>
      <c r="B52" s="483">
        <v>8160</v>
      </c>
      <c r="C52" s="477"/>
      <c r="D52" s="477"/>
      <c r="E52" s="477"/>
      <c r="F52" s="477"/>
      <c r="G52" s="477"/>
      <c r="H52" s="477"/>
      <c r="I52" s="477"/>
      <c r="J52" s="477"/>
      <c r="K52" s="1761">
        <f>D30</f>
        <v>0</v>
      </c>
      <c r="L52" s="524"/>
    </row>
    <row r="53" spans="1:12" s="485" customFormat="1" ht="26.25" x14ac:dyDescent="0.2">
      <c r="A53" s="1510" t="s">
        <v>1899</v>
      </c>
      <c r="B53" s="483">
        <v>8170</v>
      </c>
      <c r="C53" s="480"/>
      <c r="D53" s="480"/>
      <c r="E53" s="477"/>
      <c r="F53" s="477"/>
      <c r="G53" s="477"/>
      <c r="H53" s="480"/>
      <c r="I53" s="477"/>
      <c r="J53" s="477"/>
      <c r="K53" s="1761">
        <f>E31</f>
        <v>0</v>
      </c>
      <c r="L53" s="524"/>
    </row>
    <row r="54" spans="1:12" s="485" customFormat="1" ht="13.5" thickBot="1" x14ac:dyDescent="0.25">
      <c r="A54" s="1510" t="s">
        <v>716</v>
      </c>
      <c r="B54" s="483">
        <v>8410</v>
      </c>
      <c r="C54" s="530">
        <v>0</v>
      </c>
      <c r="D54" s="530" t="s">
        <v>1231</v>
      </c>
      <c r="E54" s="477"/>
      <c r="F54" s="477"/>
      <c r="G54" s="477"/>
      <c r="H54" s="530" t="s">
        <v>1231</v>
      </c>
      <c r="I54" s="477"/>
      <c r="J54" s="477"/>
      <c r="K54" s="475"/>
      <c r="L54" s="524"/>
    </row>
    <row r="55" spans="1:12" s="485" customFormat="1" ht="14.25" thickTop="1" thickBot="1" x14ac:dyDescent="0.25">
      <c r="A55" s="1511" t="s">
        <v>717</v>
      </c>
      <c r="B55" s="483">
        <v>8420</v>
      </c>
      <c r="C55" s="531">
        <v>0</v>
      </c>
      <c r="D55" s="531" t="s">
        <v>1231</v>
      </c>
      <c r="E55" s="477"/>
      <c r="F55" s="477"/>
      <c r="G55" s="477"/>
      <c r="H55" s="530" t="s">
        <v>1231</v>
      </c>
      <c r="I55" s="477"/>
      <c r="J55" s="477"/>
      <c r="K55" s="477"/>
      <c r="L55" s="524"/>
    </row>
    <row r="56" spans="1:12" s="485" customFormat="1" ht="14.25" thickTop="1" thickBot="1" x14ac:dyDescent="0.25">
      <c r="A56" s="1510" t="s">
        <v>602</v>
      </c>
      <c r="B56" s="483">
        <v>8430</v>
      </c>
      <c r="C56" s="531">
        <v>16536</v>
      </c>
      <c r="D56" s="531" t="s">
        <v>1231</v>
      </c>
      <c r="E56" s="477"/>
      <c r="F56" s="477"/>
      <c r="G56" s="477"/>
      <c r="H56" s="530" t="s">
        <v>1231</v>
      </c>
      <c r="I56" s="477"/>
      <c r="J56" s="477"/>
      <c r="K56" s="477"/>
      <c r="L56" s="524"/>
    </row>
    <row r="57" spans="1:12" s="485" customFormat="1" ht="14.25" thickTop="1" thickBot="1" x14ac:dyDescent="0.25">
      <c r="A57" s="1511" t="s">
        <v>599</v>
      </c>
      <c r="B57" s="483">
        <v>8440</v>
      </c>
      <c r="C57" s="531">
        <v>0</v>
      </c>
      <c r="D57" s="531" t="s">
        <v>1231</v>
      </c>
      <c r="E57" s="477"/>
      <c r="F57" s="477"/>
      <c r="G57" s="477"/>
      <c r="H57" s="530" t="s">
        <v>1231</v>
      </c>
      <c r="I57" s="477"/>
      <c r="J57" s="477"/>
      <c r="K57" s="477"/>
      <c r="L57" s="524"/>
    </row>
    <row r="58" spans="1:12" s="485" customFormat="1" ht="14.25" thickTop="1" thickBot="1" x14ac:dyDescent="0.25">
      <c r="A58" s="1510" t="s">
        <v>600</v>
      </c>
      <c r="B58" s="483">
        <v>8510</v>
      </c>
      <c r="C58" s="531">
        <v>0</v>
      </c>
      <c r="D58" s="531" t="s">
        <v>1231</v>
      </c>
      <c r="E58" s="477"/>
      <c r="F58" s="477"/>
      <c r="G58" s="477"/>
      <c r="H58" s="530" t="s">
        <v>1231</v>
      </c>
      <c r="I58" s="477"/>
      <c r="J58" s="477"/>
      <c r="K58" s="477"/>
      <c r="L58" s="524"/>
    </row>
    <row r="59" spans="1:12" s="485" customFormat="1" ht="14.25" thickTop="1" thickBot="1" x14ac:dyDescent="0.25">
      <c r="A59" s="1512" t="s">
        <v>718</v>
      </c>
      <c r="B59" s="483">
        <v>8520</v>
      </c>
      <c r="C59" s="531">
        <v>0</v>
      </c>
      <c r="D59" s="531" t="s">
        <v>1231</v>
      </c>
      <c r="E59" s="477"/>
      <c r="F59" s="477"/>
      <c r="G59" s="477"/>
      <c r="H59" s="530" t="s">
        <v>1231</v>
      </c>
      <c r="I59" s="477"/>
      <c r="J59" s="477"/>
      <c r="K59" s="477"/>
      <c r="L59" s="524"/>
    </row>
    <row r="60" spans="1:12" s="485" customFormat="1" ht="14.25" thickTop="1" thickBot="1" x14ac:dyDescent="0.25">
      <c r="A60" s="1510" t="s">
        <v>601</v>
      </c>
      <c r="B60" s="483">
        <v>8530</v>
      </c>
      <c r="C60" s="531">
        <v>2198</v>
      </c>
      <c r="D60" s="531" t="s">
        <v>1231</v>
      </c>
      <c r="E60" s="477"/>
      <c r="F60" s="477"/>
      <c r="G60" s="477"/>
      <c r="H60" s="530" t="s">
        <v>1231</v>
      </c>
      <c r="I60" s="477"/>
      <c r="J60" s="477"/>
      <c r="K60" s="477"/>
      <c r="L60" s="524"/>
    </row>
    <row r="61" spans="1:12" s="485" customFormat="1" ht="14.25" thickTop="1" thickBot="1" x14ac:dyDescent="0.25">
      <c r="A61" s="1511" t="s">
        <v>767</v>
      </c>
      <c r="B61" s="483">
        <v>8540</v>
      </c>
      <c r="C61" s="531">
        <v>0</v>
      </c>
      <c r="D61" s="531" t="s">
        <v>1231</v>
      </c>
      <c r="E61" s="477"/>
      <c r="F61" s="477"/>
      <c r="G61" s="477"/>
      <c r="H61" s="530" t="s">
        <v>1231</v>
      </c>
      <c r="I61" s="477"/>
      <c r="J61" s="477"/>
      <c r="K61" s="477"/>
      <c r="L61" s="524"/>
    </row>
    <row r="62" spans="1:12" s="485" customFormat="1" ht="13.5" customHeight="1" thickTop="1" thickBot="1" x14ac:dyDescent="0.25">
      <c r="A62" s="1510" t="s">
        <v>768</v>
      </c>
      <c r="B62" s="483">
        <v>8610</v>
      </c>
      <c r="C62" s="531">
        <v>0</v>
      </c>
      <c r="D62" s="531" t="s">
        <v>1231</v>
      </c>
      <c r="E62" s="477"/>
      <c r="F62" s="477"/>
      <c r="G62" s="477"/>
      <c r="H62" s="477"/>
      <c r="I62" s="477"/>
      <c r="J62" s="477"/>
      <c r="K62" s="477"/>
      <c r="L62" s="524"/>
    </row>
    <row r="63" spans="1:12" s="485" customFormat="1" ht="14.25" thickTop="1" thickBot="1" x14ac:dyDescent="0.25">
      <c r="A63" s="1511" t="s">
        <v>719</v>
      </c>
      <c r="B63" s="483">
        <v>8620</v>
      </c>
      <c r="C63" s="531">
        <v>0</v>
      </c>
      <c r="D63" s="531" t="s">
        <v>1231</v>
      </c>
      <c r="E63" s="477"/>
      <c r="F63" s="477"/>
      <c r="G63" s="477"/>
      <c r="H63" s="477"/>
      <c r="I63" s="477"/>
      <c r="J63" s="477"/>
      <c r="K63" s="477"/>
      <c r="L63" s="524"/>
    </row>
    <row r="64" spans="1:12" s="485" customFormat="1" ht="13.5" customHeight="1" thickTop="1" thickBot="1" x14ac:dyDescent="0.25">
      <c r="A64" s="1510" t="s">
        <v>769</v>
      </c>
      <c r="B64" s="483">
        <v>8630</v>
      </c>
      <c r="C64" s="531">
        <v>0</v>
      </c>
      <c r="D64" s="531" t="s">
        <v>1231</v>
      </c>
      <c r="E64" s="477"/>
      <c r="F64" s="477"/>
      <c r="G64" s="477"/>
      <c r="H64" s="477"/>
      <c r="I64" s="477"/>
      <c r="J64" s="477"/>
      <c r="K64" s="477"/>
      <c r="L64" s="524"/>
    </row>
    <row r="65" spans="1:12" s="485" customFormat="1" ht="14.25" thickTop="1" thickBot="1" x14ac:dyDescent="0.25">
      <c r="A65" s="1511" t="s">
        <v>770</v>
      </c>
      <c r="B65" s="483">
        <v>8640</v>
      </c>
      <c r="C65" s="531">
        <v>0</v>
      </c>
      <c r="D65" s="531">
        <v>0</v>
      </c>
      <c r="E65" s="477"/>
      <c r="F65" s="477"/>
      <c r="G65" s="477"/>
      <c r="H65" s="477"/>
      <c r="I65" s="477"/>
      <c r="J65" s="477"/>
      <c r="K65" s="477"/>
      <c r="L65" s="524"/>
    </row>
    <row r="66" spans="1:12" s="485" customFormat="1" ht="14.25" thickTop="1" thickBot="1" x14ac:dyDescent="0.25">
      <c r="A66" s="1510" t="s">
        <v>771</v>
      </c>
      <c r="B66" s="483">
        <v>8710</v>
      </c>
      <c r="C66" s="531">
        <v>0</v>
      </c>
      <c r="D66" s="531" t="s">
        <v>1231</v>
      </c>
      <c r="E66" s="477"/>
      <c r="F66" s="477"/>
      <c r="G66" s="477"/>
      <c r="H66" s="477"/>
      <c r="I66" s="477"/>
      <c r="J66" s="477"/>
      <c r="K66" s="477"/>
      <c r="L66" s="524"/>
    </row>
    <row r="67" spans="1:12" s="485" customFormat="1" ht="14.25" thickTop="1" thickBot="1" x14ac:dyDescent="0.25">
      <c r="A67" s="1511" t="s">
        <v>720</v>
      </c>
      <c r="B67" s="483">
        <v>8720</v>
      </c>
      <c r="C67" s="531">
        <v>0</v>
      </c>
      <c r="D67" s="531" t="s">
        <v>1231</v>
      </c>
      <c r="E67" s="477"/>
      <c r="F67" s="477"/>
      <c r="G67" s="477"/>
      <c r="H67" s="477"/>
      <c r="I67" s="477"/>
      <c r="J67" s="477"/>
      <c r="K67" s="477"/>
      <c r="L67" s="524"/>
    </row>
    <row r="68" spans="1:12" s="485" customFormat="1" ht="14.25" thickTop="1" thickBot="1" x14ac:dyDescent="0.25">
      <c r="A68" s="1512" t="s">
        <v>772</v>
      </c>
      <c r="B68" s="483">
        <v>8730</v>
      </c>
      <c r="C68" s="531">
        <v>0</v>
      </c>
      <c r="D68" s="531" t="s">
        <v>1231</v>
      </c>
      <c r="E68" s="477"/>
      <c r="F68" s="477"/>
      <c r="G68" s="477"/>
      <c r="H68" s="477"/>
      <c r="I68" s="477"/>
      <c r="J68" s="477"/>
      <c r="K68" s="477"/>
      <c r="L68" s="524"/>
    </row>
    <row r="69" spans="1:12" s="485" customFormat="1" ht="14.25" thickTop="1" thickBot="1" x14ac:dyDescent="0.25">
      <c r="A69" s="1511" t="s">
        <v>773</v>
      </c>
      <c r="B69" s="483">
        <v>8740</v>
      </c>
      <c r="C69" s="531">
        <v>0</v>
      </c>
      <c r="D69" s="531">
        <v>0</v>
      </c>
      <c r="E69" s="477"/>
      <c r="F69" s="477"/>
      <c r="G69" s="477"/>
      <c r="H69" s="477"/>
      <c r="I69" s="477"/>
      <c r="J69" s="477"/>
      <c r="K69" s="477"/>
      <c r="L69" s="524"/>
    </row>
    <row r="70" spans="1:12" s="485" customFormat="1" ht="14.25" thickTop="1" thickBot="1" x14ac:dyDescent="0.25">
      <c r="A70" s="1510" t="s">
        <v>774</v>
      </c>
      <c r="B70" s="483">
        <v>8810</v>
      </c>
      <c r="C70" s="531">
        <v>0</v>
      </c>
      <c r="D70" s="531" t="s">
        <v>1231</v>
      </c>
      <c r="E70" s="477"/>
      <c r="F70" s="477"/>
      <c r="G70" s="477"/>
      <c r="H70" s="477"/>
      <c r="I70" s="477"/>
      <c r="J70" s="477"/>
      <c r="K70" s="477"/>
      <c r="L70" s="524"/>
    </row>
    <row r="71" spans="1:12" s="485" customFormat="1" ht="14.25" thickTop="1" thickBot="1" x14ac:dyDescent="0.25">
      <c r="A71" s="1510" t="s">
        <v>778</v>
      </c>
      <c r="B71" s="483">
        <v>8820</v>
      </c>
      <c r="C71" s="531">
        <v>0</v>
      </c>
      <c r="D71" s="531" t="s">
        <v>1231</v>
      </c>
      <c r="E71" s="477"/>
      <c r="F71" s="477"/>
      <c r="G71" s="477"/>
      <c r="H71" s="477"/>
      <c r="I71" s="477"/>
      <c r="J71" s="477"/>
      <c r="K71" s="477"/>
      <c r="L71" s="524"/>
    </row>
    <row r="72" spans="1:12" s="485" customFormat="1" ht="14.25" thickTop="1" thickBot="1" x14ac:dyDescent="0.25">
      <c r="A72" s="1510" t="s">
        <v>775</v>
      </c>
      <c r="B72" s="483">
        <v>8830</v>
      </c>
      <c r="C72" s="531">
        <v>0</v>
      </c>
      <c r="D72" s="531" t="s">
        <v>1231</v>
      </c>
      <c r="E72" s="477"/>
      <c r="F72" s="477"/>
      <c r="G72" s="477"/>
      <c r="H72" s="477"/>
      <c r="I72" s="477"/>
      <c r="J72" s="477"/>
      <c r="K72" s="477"/>
      <c r="L72" s="524"/>
    </row>
    <row r="73" spans="1:12" s="485" customFormat="1" ht="14.25" thickTop="1" thickBot="1" x14ac:dyDescent="0.25">
      <c r="A73" s="1510" t="s">
        <v>776</v>
      </c>
      <c r="B73" s="483">
        <v>8840</v>
      </c>
      <c r="C73" s="531">
        <v>0</v>
      </c>
      <c r="D73" s="531" t="s">
        <v>1231</v>
      </c>
      <c r="E73" s="477"/>
      <c r="F73" s="477"/>
      <c r="G73" s="477"/>
      <c r="H73" s="477"/>
      <c r="I73" s="477"/>
      <c r="J73" s="477"/>
      <c r="K73" s="480"/>
      <c r="L73" s="524"/>
    </row>
    <row r="74" spans="1:12" s="485" customFormat="1" ht="14.25" thickTop="1" thickBot="1" x14ac:dyDescent="0.25">
      <c r="A74" s="1510" t="s">
        <v>393</v>
      </c>
      <c r="B74" s="483">
        <v>8910</v>
      </c>
      <c r="C74" s="531">
        <v>0</v>
      </c>
      <c r="D74" s="531">
        <v>0</v>
      </c>
      <c r="E74" s="480"/>
      <c r="F74" s="530">
        <v>0</v>
      </c>
      <c r="G74" s="530" t="s">
        <v>1231</v>
      </c>
      <c r="H74" s="530">
        <v>0</v>
      </c>
      <c r="I74" s="480"/>
      <c r="J74" s="480"/>
      <c r="K74" s="530" t="s">
        <v>1231</v>
      </c>
      <c r="L74" s="524"/>
    </row>
    <row r="75" spans="1:12" s="485" customFormat="1" ht="14.25" thickTop="1" thickBot="1" x14ac:dyDescent="0.25">
      <c r="A75" s="1513" t="s">
        <v>459</v>
      </c>
      <c r="B75" s="483">
        <v>8990</v>
      </c>
      <c r="C75" s="531">
        <v>0</v>
      </c>
      <c r="D75" s="531">
        <v>0</v>
      </c>
      <c r="E75" s="530">
        <v>0</v>
      </c>
      <c r="F75" s="532">
        <v>0</v>
      </c>
      <c r="G75" s="532">
        <v>0</v>
      </c>
      <c r="H75" s="532" t="s">
        <v>1231</v>
      </c>
      <c r="I75" s="530">
        <v>0</v>
      </c>
      <c r="J75" s="530">
        <v>0</v>
      </c>
      <c r="K75" s="532">
        <v>0</v>
      </c>
      <c r="L75" s="524"/>
    </row>
    <row r="76" spans="1:12" s="485" customFormat="1" ht="14.25" thickTop="1" thickBot="1" x14ac:dyDescent="0.25">
      <c r="A76" s="2132" t="s">
        <v>460</v>
      </c>
      <c r="B76" s="2133"/>
      <c r="C76" s="1721">
        <f t="shared" ref="C76:K76" si="7">SUM(C47:C75)</f>
        <v>18734</v>
      </c>
      <c r="D76" s="1721">
        <f t="shared" si="7"/>
        <v>0</v>
      </c>
      <c r="E76" s="1721">
        <f t="shared" si="7"/>
        <v>0</v>
      </c>
      <c r="F76" s="1721">
        <f t="shared" si="7"/>
        <v>0</v>
      </c>
      <c r="G76" s="1721">
        <f t="shared" si="7"/>
        <v>0</v>
      </c>
      <c r="H76" s="1721">
        <f t="shared" si="7"/>
        <v>0</v>
      </c>
      <c r="I76" s="1721">
        <f t="shared" si="7"/>
        <v>617615</v>
      </c>
      <c r="J76" s="1721">
        <f t="shared" si="7"/>
        <v>0</v>
      </c>
      <c r="K76" s="1721">
        <f t="shared" si="7"/>
        <v>0</v>
      </c>
      <c r="L76" s="524"/>
    </row>
    <row r="77" spans="1:12" ht="14.25" thickTop="1" thickBot="1" x14ac:dyDescent="0.25">
      <c r="A77" s="2134" t="s">
        <v>1239</v>
      </c>
      <c r="B77" s="2135"/>
      <c r="C77" s="1721">
        <f t="shared" ref="C77:K77" si="8">C44-C76</f>
        <v>298266</v>
      </c>
      <c r="D77" s="1721">
        <f t="shared" si="8"/>
        <v>310233</v>
      </c>
      <c r="E77" s="1721">
        <f t="shared" si="8"/>
        <v>18734</v>
      </c>
      <c r="F77" s="1721">
        <f t="shared" si="8"/>
        <v>0</v>
      </c>
      <c r="G77" s="1721">
        <f t="shared" si="8"/>
        <v>0</v>
      </c>
      <c r="H77" s="1721">
        <f t="shared" si="8"/>
        <v>0</v>
      </c>
      <c r="I77" s="1721">
        <f t="shared" si="8"/>
        <v>-617615</v>
      </c>
      <c r="J77" s="1721">
        <f t="shared" si="8"/>
        <v>0</v>
      </c>
      <c r="K77" s="1721">
        <f t="shared" si="8"/>
        <v>0</v>
      </c>
      <c r="L77" s="347"/>
    </row>
    <row r="78" spans="1:12" ht="21.75" customHeight="1" thickTop="1" thickBot="1" x14ac:dyDescent="0.25">
      <c r="A78" s="2138" t="s">
        <v>618</v>
      </c>
      <c r="B78" s="2139"/>
      <c r="C78" s="1720">
        <f t="shared" ref="C78:K78" si="9">C20+C77</f>
        <v>447516</v>
      </c>
      <c r="D78" s="1720">
        <f t="shared" si="9"/>
        <v>92693</v>
      </c>
      <c r="E78" s="1720">
        <f t="shared" si="9"/>
        <v>14071</v>
      </c>
      <c r="F78" s="1720">
        <f t="shared" si="9"/>
        <v>11765</v>
      </c>
      <c r="G78" s="1720">
        <f t="shared" si="9"/>
        <v>71135</v>
      </c>
      <c r="H78" s="1720">
        <f t="shared" si="9"/>
        <v>0</v>
      </c>
      <c r="I78" s="1720">
        <f t="shared" si="9"/>
        <v>-529949</v>
      </c>
      <c r="J78" s="1720">
        <f t="shared" si="9"/>
        <v>64058</v>
      </c>
      <c r="K78" s="1720">
        <f t="shared" si="9"/>
        <v>63004</v>
      </c>
      <c r="L78" s="533"/>
    </row>
    <row r="79" spans="1:12" ht="13.5" thickTop="1" x14ac:dyDescent="0.2">
      <c r="A79" s="1514" t="s">
        <v>2071</v>
      </c>
      <c r="B79" s="534"/>
      <c r="C79" s="478">
        <v>2329827</v>
      </c>
      <c r="D79" s="535">
        <v>670043</v>
      </c>
      <c r="E79" s="535">
        <v>471952</v>
      </c>
      <c r="F79" s="535">
        <v>94159</v>
      </c>
      <c r="G79" s="535">
        <v>491717</v>
      </c>
      <c r="H79" s="535">
        <v>0</v>
      </c>
      <c r="I79" s="535">
        <v>2194615</v>
      </c>
      <c r="J79" s="535">
        <v>372198</v>
      </c>
      <c r="K79" s="535">
        <v>262725</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2072</v>
      </c>
      <c r="B81" s="2137"/>
      <c r="C81" s="1706">
        <f>(SUM(C78:C80))</f>
        <v>2777343</v>
      </c>
      <c r="D81" s="1706">
        <f>SUM(D78:D80)</f>
        <v>762736</v>
      </c>
      <c r="E81" s="1706">
        <f t="shared" ref="E81:K81" si="10">SUM(E78:E80)</f>
        <v>486023</v>
      </c>
      <c r="F81" s="1706">
        <f t="shared" si="10"/>
        <v>105924</v>
      </c>
      <c r="G81" s="1706">
        <f t="shared" si="10"/>
        <v>562852</v>
      </c>
      <c r="H81" s="1706">
        <f t="shared" si="10"/>
        <v>0</v>
      </c>
      <c r="I81" s="1706">
        <f t="shared" si="10"/>
        <v>1664666</v>
      </c>
      <c r="J81" s="1706">
        <f t="shared" si="10"/>
        <v>436256</v>
      </c>
      <c r="K81" s="1706">
        <f t="shared" si="10"/>
        <v>325729</v>
      </c>
      <c r="L81" s="347"/>
    </row>
    <row r="82" spans="1:12" ht="0.75" customHeight="1" thickTop="1" thickBot="1" x14ac:dyDescent="0.25">
      <c r="A82" s="536" t="s">
        <v>361</v>
      </c>
      <c r="B82" s="537"/>
      <c r="C82" s="538">
        <f>(C81-C79)</f>
        <v>447516</v>
      </c>
      <c r="D82" s="538">
        <f t="shared" ref="D82:K82" si="11">(D81-D79)</f>
        <v>92693</v>
      </c>
      <c r="E82" s="538">
        <f t="shared" si="11"/>
        <v>14071</v>
      </c>
      <c r="F82" s="538">
        <f t="shared" si="11"/>
        <v>11765</v>
      </c>
      <c r="G82" s="538">
        <f t="shared" si="11"/>
        <v>71135</v>
      </c>
      <c r="H82" s="538">
        <f t="shared" si="11"/>
        <v>0</v>
      </c>
      <c r="I82" s="538">
        <f t="shared" si="11"/>
        <v>-529949</v>
      </c>
      <c r="J82" s="538">
        <f t="shared" si="11"/>
        <v>64058</v>
      </c>
      <c r="K82" s="538">
        <f t="shared" si="11"/>
        <v>63004</v>
      </c>
    </row>
    <row r="83" spans="1:12" ht="14.25" hidden="1" thickTop="1" thickBot="1" x14ac:dyDescent="0.25">
      <c r="A83" s="539" t="s">
        <v>362</v>
      </c>
      <c r="B83" s="464"/>
      <c r="C83" s="540">
        <f>C82/C81</f>
        <v>0.16113098022102421</v>
      </c>
      <c r="D83" s="540">
        <f t="shared" ref="D83:K83" si="12">D82/D81</f>
        <v>0.12152697656856369</v>
      </c>
      <c r="E83" s="540">
        <f t="shared" si="12"/>
        <v>2.8951304773642401E-2</v>
      </c>
      <c r="F83" s="540">
        <f t="shared" si="12"/>
        <v>0.11107020127638684</v>
      </c>
      <c r="G83" s="540">
        <f t="shared" si="12"/>
        <v>0.12638313446518801</v>
      </c>
      <c r="H83" s="540" t="e">
        <f t="shared" si="12"/>
        <v>#DIV/0!</v>
      </c>
      <c r="I83" s="540">
        <f t="shared" si="12"/>
        <v>-0.31835154919965925</v>
      </c>
      <c r="J83" s="540">
        <f t="shared" si="12"/>
        <v>0.14683580283136508</v>
      </c>
      <c r="K83" s="540">
        <f t="shared" si="12"/>
        <v>0.19342459529240566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H1" sqref="H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3673139</v>
      </c>
      <c r="D5" s="481">
        <v>592443</v>
      </c>
      <c r="E5" s="466">
        <v>903627</v>
      </c>
      <c r="F5" s="548">
        <v>236979</v>
      </c>
      <c r="G5" s="466">
        <v>151827</v>
      </c>
      <c r="H5" s="466">
        <v>0</v>
      </c>
      <c r="I5" s="466">
        <v>59245</v>
      </c>
      <c r="J5" s="467">
        <v>166032</v>
      </c>
      <c r="K5" s="466">
        <v>59245</v>
      </c>
    </row>
    <row r="6" spans="1:12" ht="15" x14ac:dyDescent="0.2">
      <c r="A6" s="463" t="s">
        <v>1761</v>
      </c>
      <c r="B6" s="470">
        <v>1130</v>
      </c>
      <c r="C6" s="466">
        <v>59245</v>
      </c>
      <c r="D6" s="466">
        <v>0</v>
      </c>
      <c r="E6" s="475"/>
      <c r="F6" s="475"/>
      <c r="G6" s="468"/>
      <c r="H6" s="468"/>
      <c r="I6" s="468"/>
      <c r="J6" s="468"/>
      <c r="K6" s="468"/>
    </row>
    <row r="7" spans="1:12" x14ac:dyDescent="0.2">
      <c r="A7" s="463" t="s">
        <v>112</v>
      </c>
      <c r="B7" s="549">
        <v>1140</v>
      </c>
      <c r="C7" s="466">
        <v>47396</v>
      </c>
      <c r="D7" s="466">
        <v>0</v>
      </c>
      <c r="E7" s="468"/>
      <c r="F7" s="467">
        <v>0</v>
      </c>
      <c r="G7" s="467">
        <v>0</v>
      </c>
      <c r="H7" s="467">
        <v>0</v>
      </c>
      <c r="I7" s="468"/>
      <c r="J7" s="468"/>
      <c r="K7" s="468"/>
    </row>
    <row r="8" spans="1:12" x14ac:dyDescent="0.2">
      <c r="A8" s="463" t="s">
        <v>433</v>
      </c>
      <c r="B8" s="470">
        <v>1150</v>
      </c>
      <c r="C8" s="475"/>
      <c r="D8" s="475"/>
      <c r="E8" s="477"/>
      <c r="F8" s="477"/>
      <c r="G8" s="481">
        <v>115421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3779780</v>
      </c>
      <c r="D12" s="1725">
        <f t="shared" si="0"/>
        <v>592443</v>
      </c>
      <c r="E12" s="1725">
        <f t="shared" si="0"/>
        <v>903627</v>
      </c>
      <c r="F12" s="1725">
        <f t="shared" si="0"/>
        <v>236979</v>
      </c>
      <c r="G12" s="1725">
        <f t="shared" si="0"/>
        <v>267248</v>
      </c>
      <c r="H12" s="1725">
        <f t="shared" si="0"/>
        <v>0</v>
      </c>
      <c r="I12" s="1725">
        <f t="shared" si="0"/>
        <v>59245</v>
      </c>
      <c r="J12" s="1725">
        <f t="shared" si="0"/>
        <v>166032</v>
      </c>
      <c r="K12" s="1706">
        <f t="shared" si="0"/>
        <v>59245</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181383</v>
      </c>
      <c r="D16" s="466">
        <v>60461</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6" t="s">
        <v>558</v>
      </c>
      <c r="B18" s="1727"/>
      <c r="C18" s="1728">
        <f>SUM(C14:C17)</f>
        <v>181383</v>
      </c>
      <c r="D18" s="1728">
        <f t="shared" ref="D18:K18" si="1">SUM(D14:D17)</f>
        <v>60461</v>
      </c>
      <c r="E18" s="1728">
        <f t="shared" si="1"/>
        <v>0</v>
      </c>
      <c r="F18" s="1728">
        <f t="shared" si="1"/>
        <v>0</v>
      </c>
      <c r="G18" s="1728">
        <f t="shared" si="1"/>
        <v>0</v>
      </c>
      <c r="H18" s="1728">
        <f t="shared" si="1"/>
        <v>0</v>
      </c>
      <c r="I18" s="1728">
        <f t="shared" si="1"/>
        <v>0</v>
      </c>
      <c r="J18" s="1728">
        <f t="shared" si="1"/>
        <v>0</v>
      </c>
      <c r="K18" s="1729">
        <f t="shared" si="1"/>
        <v>0</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5" t="s">
        <v>615</v>
      </c>
      <c r="B39" s="556">
        <v>1354</v>
      </c>
      <c r="C39" s="489">
        <v>0</v>
      </c>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7">
        <v>1431</v>
      </c>
      <c r="C51" s="468"/>
      <c r="D51" s="468"/>
      <c r="E51" s="468"/>
      <c r="F51" s="466">
        <v>0</v>
      </c>
      <c r="G51" s="468"/>
      <c r="H51" s="468"/>
      <c r="I51" s="468"/>
      <c r="J51" s="468"/>
      <c r="K51" s="468"/>
    </row>
    <row r="52" spans="1:11" ht="12.75" customHeight="1" x14ac:dyDescent="0.2">
      <c r="A52" s="1516" t="s">
        <v>1168</v>
      </c>
      <c r="B52" s="557">
        <v>1432</v>
      </c>
      <c r="C52" s="468"/>
      <c r="D52" s="468"/>
      <c r="E52" s="468"/>
      <c r="F52" s="466">
        <v>0</v>
      </c>
      <c r="G52" s="468"/>
      <c r="H52" s="468"/>
      <c r="I52" s="468"/>
      <c r="J52" s="468"/>
      <c r="K52" s="468"/>
    </row>
    <row r="53" spans="1:11" ht="12.75" customHeight="1" x14ac:dyDescent="0.2">
      <c r="A53" s="1516" t="s">
        <v>63</v>
      </c>
      <c r="B53" s="557">
        <v>1433</v>
      </c>
      <c r="C53" s="468"/>
      <c r="D53" s="468"/>
      <c r="E53" s="468"/>
      <c r="F53" s="466">
        <v>0</v>
      </c>
      <c r="G53" s="468"/>
      <c r="H53" s="468"/>
      <c r="I53" s="468"/>
      <c r="J53" s="468"/>
      <c r="K53" s="468"/>
    </row>
    <row r="54" spans="1:11" ht="12.75" customHeight="1" x14ac:dyDescent="0.2">
      <c r="A54" s="1516" t="s">
        <v>64</v>
      </c>
      <c r="B54" s="557">
        <v>1434</v>
      </c>
      <c r="C54" s="468"/>
      <c r="D54" s="468"/>
      <c r="E54" s="468"/>
      <c r="F54" s="467">
        <v>0</v>
      </c>
      <c r="G54" s="468"/>
      <c r="H54" s="468"/>
      <c r="I54" s="468"/>
      <c r="J54" s="468"/>
      <c r="K54" s="468"/>
    </row>
    <row r="55" spans="1:11" ht="12.75" customHeight="1" x14ac:dyDescent="0.2">
      <c r="A55" s="1516" t="s">
        <v>65</v>
      </c>
      <c r="B55" s="557">
        <v>1441</v>
      </c>
      <c r="C55" s="468"/>
      <c r="D55" s="468"/>
      <c r="E55" s="468"/>
      <c r="F55" s="466">
        <v>0</v>
      </c>
      <c r="G55" s="468"/>
      <c r="H55" s="468"/>
      <c r="I55" s="468"/>
      <c r="J55" s="468"/>
      <c r="K55" s="468"/>
    </row>
    <row r="56" spans="1:11" ht="12.75" customHeight="1" x14ac:dyDescent="0.2">
      <c r="A56" s="1516" t="s">
        <v>1169</v>
      </c>
      <c r="B56" s="557">
        <v>1442</v>
      </c>
      <c r="C56" s="468"/>
      <c r="D56" s="468"/>
      <c r="E56" s="468"/>
      <c r="F56" s="466">
        <v>0</v>
      </c>
      <c r="G56" s="468"/>
      <c r="H56" s="468"/>
      <c r="I56" s="468"/>
      <c r="J56" s="468"/>
      <c r="K56" s="468"/>
    </row>
    <row r="57" spans="1:11" ht="12.75" customHeight="1" x14ac:dyDescent="0.2">
      <c r="A57" s="1516" t="s">
        <v>510</v>
      </c>
      <c r="B57" s="557">
        <v>1443</v>
      </c>
      <c r="C57" s="468"/>
      <c r="D57" s="468"/>
      <c r="E57" s="468"/>
      <c r="F57" s="466">
        <v>0</v>
      </c>
      <c r="G57" s="468"/>
      <c r="H57" s="468"/>
      <c r="I57" s="468"/>
      <c r="J57" s="468"/>
      <c r="K57" s="468"/>
    </row>
    <row r="58" spans="1:11" ht="12.75" customHeight="1" x14ac:dyDescent="0.2">
      <c r="A58" s="1516" t="s">
        <v>67</v>
      </c>
      <c r="B58" s="557">
        <v>1444</v>
      </c>
      <c r="C58" s="468"/>
      <c r="D58" s="468"/>
      <c r="E58" s="468"/>
      <c r="F58" s="466">
        <v>0</v>
      </c>
      <c r="G58" s="468"/>
      <c r="H58" s="468"/>
      <c r="I58" s="468"/>
      <c r="J58" s="468"/>
      <c r="K58" s="468"/>
    </row>
    <row r="59" spans="1:11" ht="12.75" customHeight="1" x14ac:dyDescent="0.2">
      <c r="A59" s="1516" t="s">
        <v>933</v>
      </c>
      <c r="B59" s="557">
        <v>1451</v>
      </c>
      <c r="C59" s="468"/>
      <c r="D59" s="468"/>
      <c r="E59" s="468"/>
      <c r="F59" s="466">
        <v>0</v>
      </c>
      <c r="G59" s="468"/>
      <c r="H59" s="468"/>
      <c r="I59" s="468"/>
      <c r="J59" s="468"/>
      <c r="K59" s="468"/>
    </row>
    <row r="60" spans="1:11" ht="12.75" customHeight="1" x14ac:dyDescent="0.2">
      <c r="A60" s="1516"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7" t="s">
        <v>935</v>
      </c>
      <c r="B62" s="558">
        <v>1454</v>
      </c>
      <c r="C62" s="468"/>
      <c r="D62" s="468"/>
      <c r="E62" s="468"/>
      <c r="F62" s="467">
        <v>0</v>
      </c>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17848</v>
      </c>
      <c r="D65" s="466">
        <v>3630</v>
      </c>
      <c r="E65" s="466">
        <v>1944</v>
      </c>
      <c r="F65" s="467">
        <v>24</v>
      </c>
      <c r="G65" s="466">
        <v>6342</v>
      </c>
      <c r="H65" s="466">
        <v>0</v>
      </c>
      <c r="I65" s="466">
        <v>28421</v>
      </c>
      <c r="J65" s="467">
        <v>4632</v>
      </c>
      <c r="K65" s="466">
        <v>3759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6" t="s">
        <v>507</v>
      </c>
      <c r="B67" s="1727"/>
      <c r="C67" s="1706">
        <f>SUM(C65:C66)</f>
        <v>17848</v>
      </c>
      <c r="D67" s="1706">
        <f t="shared" ref="D67:K67" si="2">SUM(D65:D66)</f>
        <v>3630</v>
      </c>
      <c r="E67" s="1706">
        <f t="shared" si="2"/>
        <v>1944</v>
      </c>
      <c r="F67" s="1706">
        <f t="shared" si="2"/>
        <v>24</v>
      </c>
      <c r="G67" s="1706">
        <f t="shared" si="2"/>
        <v>6342</v>
      </c>
      <c r="H67" s="1706">
        <f t="shared" si="2"/>
        <v>0</v>
      </c>
      <c r="I67" s="1706">
        <f t="shared" si="2"/>
        <v>28421</v>
      </c>
      <c r="J67" s="1706">
        <f t="shared" si="2"/>
        <v>4632</v>
      </c>
      <c r="K67" s="1706">
        <f t="shared" si="2"/>
        <v>3759</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19367</v>
      </c>
      <c r="D69" s="468"/>
      <c r="E69" s="468"/>
      <c r="F69" s="468"/>
      <c r="G69" s="468"/>
      <c r="H69" s="468"/>
      <c r="I69" s="468"/>
      <c r="J69" s="468"/>
      <c r="K69" s="468"/>
    </row>
    <row r="70" spans="1:11" ht="12.75" customHeight="1" x14ac:dyDescent="0.2">
      <c r="A70" s="463" t="s">
        <v>1054</v>
      </c>
      <c r="B70" s="470">
        <v>1612</v>
      </c>
      <c r="C70" s="551">
        <v>947</v>
      </c>
      <c r="D70" s="468"/>
      <c r="E70" s="468"/>
      <c r="F70" s="468"/>
      <c r="G70" s="468"/>
      <c r="H70" s="468"/>
      <c r="I70" s="468"/>
      <c r="J70" s="468"/>
      <c r="K70" s="468"/>
    </row>
    <row r="71" spans="1:11" ht="12.75" customHeight="1" x14ac:dyDescent="0.2">
      <c r="A71" s="463" t="s">
        <v>291</v>
      </c>
      <c r="B71" s="470">
        <v>1613</v>
      </c>
      <c r="C71" s="551">
        <v>15105</v>
      </c>
      <c r="D71" s="468"/>
      <c r="E71" s="468"/>
      <c r="F71" s="468"/>
      <c r="G71" s="468"/>
      <c r="H71" s="468"/>
      <c r="I71" s="468"/>
      <c r="J71" s="468"/>
      <c r="K71" s="468"/>
    </row>
    <row r="72" spans="1:11" ht="12.75" customHeight="1" x14ac:dyDescent="0.2">
      <c r="A72" s="463" t="s">
        <v>24</v>
      </c>
      <c r="B72" s="470">
        <v>1614</v>
      </c>
      <c r="C72" s="551">
        <v>4236</v>
      </c>
      <c r="D72" s="468"/>
      <c r="E72" s="468"/>
      <c r="F72" s="468"/>
      <c r="G72" s="468"/>
      <c r="H72" s="468"/>
      <c r="I72" s="468"/>
      <c r="J72" s="468"/>
      <c r="K72" s="468"/>
    </row>
    <row r="73" spans="1:11" ht="12.75" customHeight="1" x14ac:dyDescent="0.2">
      <c r="A73" s="463" t="s">
        <v>1055</v>
      </c>
      <c r="B73" s="470">
        <v>1620</v>
      </c>
      <c r="C73" s="551">
        <v>6982</v>
      </c>
      <c r="D73" s="468"/>
      <c r="E73" s="468"/>
      <c r="F73" s="468"/>
      <c r="G73" s="468"/>
      <c r="H73" s="468"/>
      <c r="I73" s="468"/>
      <c r="J73" s="468"/>
      <c r="K73" s="468"/>
    </row>
    <row r="74" spans="1:11" ht="12.75" customHeight="1" x14ac:dyDescent="0.2">
      <c r="A74" s="463" t="s">
        <v>25</v>
      </c>
      <c r="B74" s="470">
        <v>1690</v>
      </c>
      <c r="C74" s="551">
        <v>3031</v>
      </c>
      <c r="D74" s="468"/>
      <c r="E74" s="468"/>
      <c r="F74" s="468"/>
      <c r="G74" s="468"/>
      <c r="H74" s="468"/>
      <c r="I74" s="468"/>
      <c r="J74" s="468"/>
      <c r="K74" s="468"/>
    </row>
    <row r="75" spans="1:11" ht="12.75" customHeight="1" thickBot="1" x14ac:dyDescent="0.25">
      <c r="A75" s="1726" t="s">
        <v>569</v>
      </c>
      <c r="B75" s="1727"/>
      <c r="C75" s="1706">
        <f>SUM(C69:C74)</f>
        <v>49668</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21566</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14980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36546</v>
      </c>
      <c r="D82" s="1706">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25636</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6" t="s">
        <v>261</v>
      </c>
      <c r="B93" s="1727"/>
      <c r="C93" s="1706">
        <f>SUM(C84:C92)</f>
        <v>25636</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5"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15940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6877</v>
      </c>
      <c r="D101" s="526"/>
      <c r="E101" s="480"/>
      <c r="F101" s="526"/>
      <c r="G101" s="475"/>
      <c r="H101" s="526"/>
      <c r="I101" s="468"/>
      <c r="J101" s="475"/>
      <c r="K101" s="475"/>
    </row>
    <row r="102" spans="1:12" ht="12.75" customHeight="1" x14ac:dyDescent="0.2">
      <c r="A102" s="463" t="s">
        <v>265</v>
      </c>
      <c r="B102" s="470">
        <v>1980</v>
      </c>
      <c r="C102" s="489">
        <v>3000</v>
      </c>
      <c r="D102" s="489">
        <v>0</v>
      </c>
      <c r="E102" s="489">
        <v>0</v>
      </c>
      <c r="F102" s="489">
        <v>0</v>
      </c>
      <c r="G102" s="489">
        <v>0</v>
      </c>
      <c r="H102" s="489">
        <v>0</v>
      </c>
      <c r="I102" s="467" t="s">
        <v>1231</v>
      </c>
      <c r="J102" s="489">
        <v>0</v>
      </c>
      <c r="K102" s="467">
        <v>0</v>
      </c>
    </row>
    <row r="103" spans="1:12" ht="12.75" customHeight="1" x14ac:dyDescent="0.2">
      <c r="A103" s="463" t="s">
        <v>363</v>
      </c>
      <c r="B103" s="470">
        <v>1983</v>
      </c>
      <c r="C103" s="468"/>
      <c r="D103" s="468"/>
      <c r="E103" s="560" t="s">
        <v>1231</v>
      </c>
      <c r="F103" s="468"/>
      <c r="G103" s="468"/>
      <c r="H103" s="489" t="s">
        <v>1231</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29365</v>
      </c>
      <c r="D107" s="466">
        <v>1500</v>
      </c>
      <c r="E107" s="466">
        <v>0</v>
      </c>
      <c r="F107" s="466">
        <v>1232</v>
      </c>
      <c r="G107" s="466">
        <v>0</v>
      </c>
      <c r="H107" s="466">
        <v>0</v>
      </c>
      <c r="I107" s="466">
        <v>0</v>
      </c>
      <c r="J107" s="467">
        <v>2316</v>
      </c>
      <c r="K107" s="466">
        <v>0</v>
      </c>
    </row>
    <row r="108" spans="1:12" ht="12.75" customHeight="1" thickBot="1" x14ac:dyDescent="0.25">
      <c r="A108" s="1726" t="s">
        <v>508</v>
      </c>
      <c r="B108" s="1730"/>
      <c r="C108" s="1725">
        <f>SUM(C95:C107)</f>
        <v>39242</v>
      </c>
      <c r="D108" s="1725">
        <f t="shared" ref="D108:K108" si="3">SUM(D95:D107)</f>
        <v>17440</v>
      </c>
      <c r="E108" s="1725">
        <f t="shared" si="3"/>
        <v>0</v>
      </c>
      <c r="F108" s="1725">
        <f t="shared" si="3"/>
        <v>1232</v>
      </c>
      <c r="G108" s="1725">
        <f t="shared" si="3"/>
        <v>0</v>
      </c>
      <c r="H108" s="1725">
        <f t="shared" si="3"/>
        <v>0</v>
      </c>
      <c r="I108" s="1725">
        <f t="shared" si="3"/>
        <v>0</v>
      </c>
      <c r="J108" s="1725">
        <f t="shared" si="3"/>
        <v>2316</v>
      </c>
      <c r="K108" s="1706">
        <f t="shared" si="3"/>
        <v>0</v>
      </c>
    </row>
    <row r="109" spans="1:12" ht="14.25" thickTop="1" thickBot="1" x14ac:dyDescent="0.25">
      <c r="A109" s="1731" t="s">
        <v>266</v>
      </c>
      <c r="B109" s="1732" t="s">
        <v>591</v>
      </c>
      <c r="C109" s="1733">
        <f t="shared" ref="C109:K109" si="4">SUM(C12,C18,C40,C63,C67,C75,C82,C93,C108,)</f>
        <v>4130103</v>
      </c>
      <c r="D109" s="1733">
        <f t="shared" si="4"/>
        <v>673974</v>
      </c>
      <c r="E109" s="1733">
        <f t="shared" si="4"/>
        <v>905571</v>
      </c>
      <c r="F109" s="1733">
        <f t="shared" si="4"/>
        <v>238235</v>
      </c>
      <c r="G109" s="1733">
        <f t="shared" si="4"/>
        <v>273590</v>
      </c>
      <c r="H109" s="1733">
        <f t="shared" si="4"/>
        <v>0</v>
      </c>
      <c r="I109" s="1733">
        <f t="shared" si="4"/>
        <v>87666</v>
      </c>
      <c r="J109" s="1733">
        <f t="shared" si="4"/>
        <v>172980</v>
      </c>
      <c r="K109" s="1720">
        <f t="shared" si="4"/>
        <v>63004</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512280</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6"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509</v>
      </c>
      <c r="B121" s="1737"/>
      <c r="C121" s="1725">
        <f t="shared" ref="C121:H121" si="5">SUM(C117:C120)</f>
        <v>512280</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37934</v>
      </c>
      <c r="D124" s="561"/>
      <c r="E124" s="468"/>
      <c r="F124" s="548">
        <v>0</v>
      </c>
      <c r="G124" s="468"/>
      <c r="H124" s="468"/>
      <c r="I124" s="468"/>
      <c r="J124" s="468"/>
      <c r="K124" s="468"/>
    </row>
    <row r="125" spans="1:11" ht="12.75" customHeight="1" x14ac:dyDescent="0.2">
      <c r="A125" s="463" t="s">
        <v>1521</v>
      </c>
      <c r="B125" s="562">
        <v>3105</v>
      </c>
      <c r="C125" s="466">
        <v>37117</v>
      </c>
      <c r="D125" s="561"/>
      <c r="E125" s="468"/>
      <c r="F125" s="466">
        <v>0</v>
      </c>
      <c r="G125" s="468"/>
      <c r="H125" s="468"/>
      <c r="I125" s="468"/>
      <c r="J125" s="468"/>
      <c r="K125" s="468"/>
    </row>
    <row r="126" spans="1:11" ht="12.75" customHeight="1" x14ac:dyDescent="0.2">
      <c r="A126" s="463" t="s">
        <v>922</v>
      </c>
      <c r="B126" s="562">
        <v>3110</v>
      </c>
      <c r="C126" s="551">
        <v>31162</v>
      </c>
      <c r="D126" s="466">
        <v>0</v>
      </c>
      <c r="E126" s="468"/>
      <c r="F126" s="466">
        <v>0</v>
      </c>
      <c r="G126" s="468"/>
      <c r="H126" s="468"/>
      <c r="I126" s="468"/>
      <c r="J126" s="468"/>
      <c r="K126" s="468"/>
    </row>
    <row r="127" spans="1:11" ht="12.75" customHeight="1" x14ac:dyDescent="0.2">
      <c r="A127" s="463" t="s">
        <v>107</v>
      </c>
      <c r="B127" s="562">
        <v>3120</v>
      </c>
      <c r="C127" s="466">
        <v>8386</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164</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1092</v>
      </c>
      <c r="B131" s="1738"/>
      <c r="C131" s="1725">
        <f>SUM(C124:C130)</f>
        <v>114763</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2985</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624</v>
      </c>
      <c r="B140" s="1738"/>
      <c r="C140" s="1725">
        <f>SUM(C133:C139)</f>
        <v>2985</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8" t="s">
        <v>1116</v>
      </c>
      <c r="B145" s="568">
        <v>3360</v>
      </c>
      <c r="C145" s="569">
        <v>3182</v>
      </c>
      <c r="D145" s="570"/>
      <c r="E145" s="509"/>
      <c r="F145" s="468"/>
      <c r="G145" s="571"/>
      <c r="H145" s="468"/>
      <c r="I145" s="468"/>
      <c r="J145" s="468"/>
      <c r="K145" s="468"/>
    </row>
    <row r="146" spans="1:11" ht="12.75" customHeight="1" thickBot="1" x14ac:dyDescent="0.25">
      <c r="A146" s="1519" t="s">
        <v>979</v>
      </c>
      <c r="B146" s="572">
        <v>3365</v>
      </c>
      <c r="C146" s="573">
        <v>0</v>
      </c>
      <c r="D146" s="532">
        <v>0</v>
      </c>
      <c r="E146" s="561"/>
      <c r="F146" s="468"/>
      <c r="G146" s="532">
        <v>0</v>
      </c>
      <c r="H146" s="468"/>
      <c r="I146" s="468"/>
      <c r="J146" s="468"/>
      <c r="K146" s="468"/>
    </row>
    <row r="147" spans="1:11" ht="12.75" customHeight="1" thickTop="1" thickBot="1" x14ac:dyDescent="0.25">
      <c r="A147" s="1520" t="s">
        <v>140</v>
      </c>
      <c r="B147" s="574">
        <v>3370</v>
      </c>
      <c r="C147" s="573">
        <v>8614</v>
      </c>
      <c r="D147" s="573">
        <v>0</v>
      </c>
      <c r="E147" s="509"/>
      <c r="F147" s="468"/>
      <c r="G147" s="468"/>
      <c r="H147" s="468"/>
      <c r="I147" s="468"/>
      <c r="J147" s="468"/>
      <c r="K147" s="468"/>
    </row>
    <row r="148" spans="1:11" ht="12.75" customHeight="1" thickTop="1" thickBot="1" x14ac:dyDescent="0.25">
      <c r="A148" s="1520"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0"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142074</v>
      </c>
      <c r="G151" s="467">
        <v>0</v>
      </c>
      <c r="H151" s="468"/>
      <c r="I151" s="468"/>
      <c r="J151" s="468"/>
      <c r="K151" s="468"/>
    </row>
    <row r="152" spans="1:11" ht="12.75" customHeight="1" x14ac:dyDescent="0.2">
      <c r="A152" s="463" t="s">
        <v>1117</v>
      </c>
      <c r="B152" s="562">
        <v>3510</v>
      </c>
      <c r="C152" s="551">
        <v>0</v>
      </c>
      <c r="D152" s="466">
        <v>0</v>
      </c>
      <c r="E152" s="561"/>
      <c r="F152" s="466">
        <v>63987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206061</v>
      </c>
      <c r="G154" s="1725">
        <f>SUM(G151:G153)</f>
        <v>0</v>
      </c>
      <c r="H154" s="468"/>
      <c r="I154" s="468"/>
      <c r="J154" s="468"/>
      <c r="K154" s="468"/>
    </row>
    <row r="155" spans="1:11" ht="12.75" customHeight="1" thickTop="1" thickBot="1" x14ac:dyDescent="0.25">
      <c r="A155" s="1520" t="s">
        <v>398</v>
      </c>
      <c r="B155" s="574">
        <v>3610</v>
      </c>
      <c r="C155" s="576">
        <v>0</v>
      </c>
      <c r="D155" s="468"/>
      <c r="E155" s="509"/>
      <c r="F155" s="468"/>
      <c r="G155" s="468"/>
      <c r="H155" s="468"/>
      <c r="I155" s="468"/>
      <c r="J155" s="468"/>
      <c r="K155" s="468"/>
    </row>
    <row r="156" spans="1:11" ht="12.75" customHeight="1" thickTop="1" thickBot="1" x14ac:dyDescent="0.25">
      <c r="A156" s="1520" t="s">
        <v>52</v>
      </c>
      <c r="B156" s="574">
        <v>3660</v>
      </c>
      <c r="C156" s="573">
        <v>0</v>
      </c>
      <c r="D156" s="578">
        <v>0</v>
      </c>
      <c r="E156" s="561"/>
      <c r="F156" s="578">
        <v>0</v>
      </c>
      <c r="G156" s="578">
        <v>0</v>
      </c>
      <c r="H156" s="468"/>
      <c r="I156" s="468"/>
      <c r="J156" s="468"/>
      <c r="K156" s="468"/>
    </row>
    <row r="157" spans="1:11" ht="12.75" customHeight="1" thickTop="1" thickBot="1" x14ac:dyDescent="0.25">
      <c r="A157" s="1520" t="s">
        <v>1057</v>
      </c>
      <c r="B157" s="574">
        <v>3695</v>
      </c>
      <c r="C157" s="576">
        <v>0</v>
      </c>
      <c r="D157" s="468"/>
      <c r="E157" s="561"/>
      <c r="F157" s="576">
        <v>0</v>
      </c>
      <c r="G157" s="576">
        <v>0</v>
      </c>
      <c r="H157" s="468"/>
      <c r="I157" s="468"/>
      <c r="J157" s="468"/>
      <c r="K157" s="468"/>
    </row>
    <row r="158" spans="1:11" ht="12.75" customHeight="1" thickTop="1" thickBot="1" x14ac:dyDescent="0.25">
      <c r="A158" s="1520" t="s">
        <v>1111</v>
      </c>
      <c r="B158" s="574">
        <v>3705</v>
      </c>
      <c r="C158" s="576">
        <v>178808</v>
      </c>
      <c r="D158" s="578">
        <v>0</v>
      </c>
      <c r="E158" s="561"/>
      <c r="F158" s="576">
        <v>0</v>
      </c>
      <c r="G158" s="576">
        <v>0</v>
      </c>
      <c r="H158" s="468"/>
      <c r="I158" s="468"/>
      <c r="J158" s="468"/>
      <c r="K158" s="468"/>
    </row>
    <row r="159" spans="1:11" ht="12.75" customHeight="1" thickTop="1" thickBot="1" x14ac:dyDescent="0.25">
      <c r="A159" s="1520" t="s">
        <v>39</v>
      </c>
      <c r="B159" s="574">
        <v>3715</v>
      </c>
      <c r="C159" s="576">
        <v>0</v>
      </c>
      <c r="D159" s="468"/>
      <c r="E159" s="561"/>
      <c r="F159" s="576">
        <v>0</v>
      </c>
      <c r="G159" s="576">
        <v>0</v>
      </c>
      <c r="H159" s="468"/>
      <c r="I159" s="468"/>
      <c r="J159" s="468"/>
      <c r="K159" s="468"/>
    </row>
    <row r="160" spans="1:11" ht="12.75" customHeight="1" thickTop="1" thickBot="1" x14ac:dyDescent="0.25">
      <c r="A160" s="1520" t="s">
        <v>40</v>
      </c>
      <c r="B160" s="574">
        <v>3720</v>
      </c>
      <c r="C160" s="576">
        <v>0</v>
      </c>
      <c r="D160" s="468"/>
      <c r="E160" s="561"/>
      <c r="F160" s="576">
        <v>0</v>
      </c>
      <c r="G160" s="576">
        <v>0</v>
      </c>
      <c r="H160" s="468"/>
      <c r="I160" s="468"/>
      <c r="J160" s="468"/>
      <c r="K160" s="468"/>
    </row>
    <row r="161" spans="1:11" ht="12.75" customHeight="1" thickTop="1" thickBot="1" x14ac:dyDescent="0.25">
      <c r="A161" s="1520" t="s">
        <v>415</v>
      </c>
      <c r="B161" s="574">
        <v>3725</v>
      </c>
      <c r="C161" s="531">
        <v>0</v>
      </c>
      <c r="D161" s="468"/>
      <c r="E161" s="561"/>
      <c r="F161" s="531">
        <v>0</v>
      </c>
      <c r="G161" s="531">
        <v>0</v>
      </c>
      <c r="H161" s="468"/>
      <c r="I161" s="468"/>
      <c r="J161" s="468"/>
      <c r="K161" s="468"/>
    </row>
    <row r="162" spans="1:11" ht="12.75" customHeight="1" thickTop="1" thickBot="1" x14ac:dyDescent="0.25">
      <c r="A162" s="1520" t="s">
        <v>416</v>
      </c>
      <c r="B162" s="574">
        <v>3726</v>
      </c>
      <c r="C162" s="531">
        <v>0</v>
      </c>
      <c r="D162" s="468"/>
      <c r="E162" s="561"/>
      <c r="F162" s="531">
        <v>0</v>
      </c>
      <c r="G162" s="531">
        <v>0</v>
      </c>
      <c r="H162" s="468"/>
      <c r="I162" s="468"/>
      <c r="J162" s="468"/>
      <c r="K162" s="468"/>
    </row>
    <row r="163" spans="1:11" ht="12.75" customHeight="1" thickTop="1" thickBot="1" x14ac:dyDescent="0.25">
      <c r="A163" s="1520" t="s">
        <v>41</v>
      </c>
      <c r="B163" s="574">
        <v>3766</v>
      </c>
      <c r="C163" s="576">
        <v>0</v>
      </c>
      <c r="D163" s="578">
        <v>0</v>
      </c>
      <c r="E163" s="561"/>
      <c r="F163" s="576">
        <v>0</v>
      </c>
      <c r="G163" s="531">
        <v>0</v>
      </c>
      <c r="H163" s="468"/>
      <c r="I163" s="468"/>
      <c r="J163" s="468"/>
      <c r="K163" s="468"/>
    </row>
    <row r="164" spans="1:11" ht="12.75" customHeight="1" thickTop="1" thickBot="1" x14ac:dyDescent="0.25">
      <c r="A164" s="1520" t="s">
        <v>1042</v>
      </c>
      <c r="B164" s="574">
        <v>3767</v>
      </c>
      <c r="C164" s="576">
        <v>0</v>
      </c>
      <c r="D164" s="531">
        <v>0</v>
      </c>
      <c r="E164" s="561"/>
      <c r="F164" s="531">
        <v>0</v>
      </c>
      <c r="G164" s="531">
        <v>0</v>
      </c>
      <c r="H164" s="468"/>
      <c r="I164" s="468"/>
      <c r="J164" s="468"/>
      <c r="K164" s="468"/>
    </row>
    <row r="165" spans="1:11" ht="12.75" customHeight="1" thickTop="1" thickBot="1" x14ac:dyDescent="0.25">
      <c r="A165" s="1520"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0"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0" t="s">
        <v>913</v>
      </c>
      <c r="B167" s="574">
        <v>3815</v>
      </c>
      <c r="C167" s="576">
        <v>0</v>
      </c>
      <c r="D167" s="468"/>
      <c r="E167" s="561"/>
      <c r="F167" s="576">
        <v>0</v>
      </c>
      <c r="G167" s="468"/>
      <c r="H167" s="468"/>
      <c r="I167" s="468"/>
      <c r="J167" s="468"/>
      <c r="K167" s="468"/>
    </row>
    <row r="168" spans="1:11" ht="12.75" customHeight="1" thickTop="1" thickBot="1" x14ac:dyDescent="0.25">
      <c r="A168" s="1520" t="s">
        <v>417</v>
      </c>
      <c r="B168" s="574">
        <v>3825</v>
      </c>
      <c r="C168" s="576">
        <v>0</v>
      </c>
      <c r="D168" s="468"/>
      <c r="E168" s="561"/>
      <c r="F168" s="576">
        <v>0</v>
      </c>
      <c r="G168" s="468"/>
      <c r="H168" s="468"/>
      <c r="I168" s="468"/>
      <c r="J168" s="468"/>
      <c r="K168" s="468"/>
    </row>
    <row r="169" spans="1:11" ht="12.75" customHeight="1" thickTop="1" thickBot="1" x14ac:dyDescent="0.25">
      <c r="A169" s="1520" t="s">
        <v>366</v>
      </c>
      <c r="B169" s="574">
        <v>3920</v>
      </c>
      <c r="C169" s="566"/>
      <c r="D169" s="578">
        <v>0</v>
      </c>
      <c r="E169" s="468"/>
      <c r="F169" s="566"/>
      <c r="G169" s="468"/>
      <c r="H169" s="530">
        <v>0</v>
      </c>
      <c r="I169" s="468"/>
      <c r="J169" s="468"/>
      <c r="K169" s="468"/>
    </row>
    <row r="170" spans="1:11" ht="12.75" customHeight="1" thickTop="1" thickBot="1" x14ac:dyDescent="0.25">
      <c r="A170" s="1520" t="s">
        <v>367</v>
      </c>
      <c r="B170" s="574">
        <v>3925</v>
      </c>
      <c r="C170" s="521"/>
      <c r="D170" s="576">
        <v>0</v>
      </c>
      <c r="E170" s="521"/>
      <c r="F170" s="521"/>
      <c r="G170" s="468"/>
      <c r="H170" s="531" t="s">
        <v>1231</v>
      </c>
      <c r="I170" s="468"/>
      <c r="J170" s="468"/>
      <c r="K170" s="530">
        <v>0</v>
      </c>
    </row>
    <row r="171" spans="1:11" ht="14.25" thickTop="1" thickBot="1" x14ac:dyDescent="0.25">
      <c r="A171" s="1520"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0" t="s">
        <v>418</v>
      </c>
      <c r="B172" s="2161"/>
      <c r="C172" s="1740">
        <f t="shared" ref="C172:K172" si="6">SUM(C131,C140,C144,C145:C149,C154,C155:C170,C171)</f>
        <v>309852</v>
      </c>
      <c r="D172" s="1740">
        <f t="shared" si="6"/>
        <v>0</v>
      </c>
      <c r="E172" s="1740">
        <f t="shared" si="6"/>
        <v>0</v>
      </c>
      <c r="F172" s="1740">
        <f t="shared" si="6"/>
        <v>206061</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822132</v>
      </c>
      <c r="D173" s="1733">
        <f>SUM(D121,D172)</f>
        <v>0</v>
      </c>
      <c r="E173" s="1733">
        <f>SUM(E121,E172)</f>
        <v>0</v>
      </c>
      <c r="F173" s="1733">
        <f t="shared" ref="F173:K173" si="7">SUM(F121,F172)</f>
        <v>206061</v>
      </c>
      <c r="G173" s="1733">
        <f t="shared" si="7"/>
        <v>0</v>
      </c>
      <c r="H173" s="1733">
        <f t="shared" si="7"/>
        <v>0</v>
      </c>
      <c r="I173" s="1733">
        <f t="shared" si="7"/>
        <v>0</v>
      </c>
      <c r="J173" s="1733">
        <f t="shared" si="7"/>
        <v>0</v>
      </c>
      <c r="K173" s="1720">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6" t="s">
        <v>1764</v>
      </c>
      <c r="B178" s="2167"/>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26022</v>
      </c>
      <c r="D183" s="466">
        <v>0</v>
      </c>
      <c r="E183" s="468"/>
      <c r="F183" s="466">
        <v>0</v>
      </c>
      <c r="G183" s="466">
        <v>0</v>
      </c>
      <c r="H183" s="466">
        <v>0</v>
      </c>
      <c r="I183" s="468"/>
      <c r="J183" s="468"/>
      <c r="K183" s="466">
        <v>0</v>
      </c>
    </row>
    <row r="184" spans="1:11" ht="13.5" thickBot="1" x14ac:dyDescent="0.25">
      <c r="A184" s="2168" t="s">
        <v>818</v>
      </c>
      <c r="B184" s="2169"/>
      <c r="C184" s="1725">
        <f>SUM(C180:C183)</f>
        <v>26022</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173830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43987</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t="s">
        <v>1231</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t="s">
        <v>1231</v>
      </c>
      <c r="D199" s="468"/>
      <c r="E199" s="561"/>
      <c r="F199" s="468"/>
      <c r="G199" s="586"/>
      <c r="H199" s="468"/>
      <c r="I199" s="468"/>
      <c r="J199" s="468"/>
      <c r="K199" s="468"/>
    </row>
    <row r="200" spans="1:11" ht="12.75" customHeight="1" x14ac:dyDescent="0.2">
      <c r="A200" s="463" t="s">
        <v>73</v>
      </c>
      <c r="B200" s="470">
        <v>4299</v>
      </c>
      <c r="C200" s="551">
        <v>43356</v>
      </c>
      <c r="D200" s="468"/>
      <c r="E200" s="561"/>
      <c r="F200" s="468"/>
      <c r="G200" s="585">
        <v>0</v>
      </c>
      <c r="H200" s="468"/>
      <c r="I200" s="468"/>
      <c r="J200" s="468"/>
      <c r="K200" s="468"/>
    </row>
    <row r="201" spans="1:11" ht="12.75" customHeight="1" thickBot="1" x14ac:dyDescent="0.25">
      <c r="A201" s="1726" t="s">
        <v>569</v>
      </c>
      <c r="B201" s="1727"/>
      <c r="C201" s="1706">
        <f>SUM(C193:C200)</f>
        <v>261173</v>
      </c>
      <c r="D201" s="468"/>
      <c r="E201" s="468"/>
      <c r="F201" s="468"/>
      <c r="G201" s="1706">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114854</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t="s">
        <v>1231</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420</v>
      </c>
      <c r="B211" s="1727"/>
      <c r="C211" s="1725">
        <f>SUM(C203:C210)</f>
        <v>114854</v>
      </c>
      <c r="D211" s="1725">
        <f>SUM(D203:D210)</f>
        <v>0</v>
      </c>
      <c r="E211" s="468"/>
      <c r="F211" s="1725">
        <f>SUM(F203:F210)</f>
        <v>0</v>
      </c>
      <c r="G211" s="1725">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7777</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92194</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1" t="s">
        <v>76</v>
      </c>
      <c r="B223" s="557">
        <v>4699</v>
      </c>
      <c r="C223" s="551">
        <v>0</v>
      </c>
      <c r="D223" s="466">
        <v>0</v>
      </c>
      <c r="E223" s="468"/>
      <c r="F223" s="466">
        <v>0</v>
      </c>
      <c r="G223" s="466">
        <v>0</v>
      </c>
      <c r="H223" s="468"/>
      <c r="I223" s="468"/>
      <c r="J223" s="468"/>
      <c r="K223" s="468"/>
    </row>
    <row r="224" spans="1:11" ht="12.75" customHeight="1" thickBot="1" x14ac:dyDescent="0.25">
      <c r="A224" s="1726" t="s">
        <v>467</v>
      </c>
      <c r="B224" s="1727"/>
      <c r="C224" s="1725">
        <f>SUM(C218:C223)</f>
        <v>99971</v>
      </c>
      <c r="D224" s="1725">
        <f>SUM(D218:D223)</f>
        <v>0</v>
      </c>
      <c r="E224" s="468"/>
      <c r="F224" s="1725">
        <f>SUM(F218:F223)</f>
        <v>0</v>
      </c>
      <c r="G224" s="1725">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2" t="s">
        <v>1493</v>
      </c>
      <c r="B260" s="588">
        <v>4901</v>
      </c>
      <c r="C260" s="589" t="s">
        <v>1231</v>
      </c>
      <c r="D260" s="469"/>
      <c r="E260" s="468"/>
      <c r="F260" s="468"/>
      <c r="G260" s="468"/>
      <c r="H260" s="468"/>
      <c r="I260" s="468"/>
      <c r="J260" s="468"/>
      <c r="K260" s="468"/>
    </row>
    <row r="261" spans="1:11" ht="12.75" customHeight="1" thickTop="1" thickBot="1" x14ac:dyDescent="0.25">
      <c r="A261" s="1523"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19442</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9974</v>
      </c>
      <c r="D270" s="576">
        <v>0</v>
      </c>
      <c r="E270" s="468"/>
      <c r="F270" s="576">
        <v>0</v>
      </c>
      <c r="G270" s="576">
        <v>0</v>
      </c>
      <c r="H270" s="468"/>
      <c r="I270" s="468"/>
      <c r="J270" s="468"/>
      <c r="K270" s="468"/>
    </row>
    <row r="271" spans="1:11" ht="12.75" customHeight="1" thickTop="1" thickBot="1" x14ac:dyDescent="0.25">
      <c r="A271" s="463" t="s">
        <v>395</v>
      </c>
      <c r="B271" s="470">
        <v>4992</v>
      </c>
      <c r="C271" s="575">
        <v>7892</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1765</v>
      </c>
      <c r="B273" s="1745"/>
      <c r="C273" s="1733">
        <f t="shared" ref="C273:H273" si="10">SUM(C191,C201,C211,C216,C224,C228,C229,C259:C272)</f>
        <v>513306</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539328</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5491563</v>
      </c>
      <c r="D275" s="1733">
        <f t="shared" si="12"/>
        <v>673974</v>
      </c>
      <c r="E275" s="1733">
        <f t="shared" si="12"/>
        <v>905571</v>
      </c>
      <c r="F275" s="1733">
        <f t="shared" si="12"/>
        <v>444296</v>
      </c>
      <c r="G275" s="1733">
        <f t="shared" si="12"/>
        <v>273590</v>
      </c>
      <c r="H275" s="1733">
        <f t="shared" si="12"/>
        <v>0</v>
      </c>
      <c r="I275" s="1733">
        <f t="shared" si="12"/>
        <v>87666</v>
      </c>
      <c r="J275" s="1733">
        <f t="shared" si="12"/>
        <v>172980</v>
      </c>
      <c r="K275" s="1720">
        <f t="shared" si="12"/>
        <v>63004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Normal="100" workbookViewId="0">
      <pane ySplit="2" topLeftCell="A33" activePane="bottomLeft" state="frozen"/>
      <selection activeCell="H1" sqref="H1"/>
      <selection pane="bottomLeft" activeCell="H1" sqref="H1"/>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1997836</v>
      </c>
      <c r="D5" s="466">
        <v>195228</v>
      </c>
      <c r="E5" s="466">
        <v>15082</v>
      </c>
      <c r="F5" s="466">
        <v>113413</v>
      </c>
      <c r="G5" s="466">
        <v>0</v>
      </c>
      <c r="H5" s="466">
        <v>0</v>
      </c>
      <c r="I5" s="467">
        <v>0</v>
      </c>
      <c r="J5" s="467">
        <v>0</v>
      </c>
      <c r="K5" s="1689">
        <f>SUM(C5:J5)</f>
        <v>2321559</v>
      </c>
      <c r="L5" s="466">
        <v>2475534</v>
      </c>
    </row>
    <row r="6" spans="1:14" x14ac:dyDescent="0.2">
      <c r="A6" s="1524" t="s">
        <v>1508</v>
      </c>
      <c r="B6" s="615" t="s">
        <v>1506</v>
      </c>
      <c r="C6" s="477"/>
      <c r="D6" s="477"/>
      <c r="E6" s="466" t="s">
        <v>1231</v>
      </c>
      <c r="F6" s="477"/>
      <c r="G6" s="477"/>
      <c r="H6" s="477"/>
      <c r="I6" s="477"/>
      <c r="J6" s="477"/>
      <c r="K6" s="1689">
        <f>SUM(C6,E6)</f>
        <v>0</v>
      </c>
      <c r="L6" s="466">
        <v>0</v>
      </c>
    </row>
    <row r="7" spans="1:14" x14ac:dyDescent="0.2">
      <c r="A7" s="1524" t="s">
        <v>165</v>
      </c>
      <c r="B7" s="615" t="s">
        <v>1024</v>
      </c>
      <c r="C7" s="467">
        <v>99283</v>
      </c>
      <c r="D7" s="467">
        <v>17060</v>
      </c>
      <c r="E7" s="467">
        <v>2988</v>
      </c>
      <c r="F7" s="467">
        <v>18303</v>
      </c>
      <c r="G7" s="467">
        <v>0</v>
      </c>
      <c r="H7" s="467">
        <v>0</v>
      </c>
      <c r="I7" s="467">
        <v>0</v>
      </c>
      <c r="J7" s="467">
        <v>0</v>
      </c>
      <c r="K7" s="1689">
        <f t="shared" ref="K7:K32" si="0">SUM(C7:J7)</f>
        <v>137634</v>
      </c>
      <c r="L7" s="466">
        <v>140492</v>
      </c>
    </row>
    <row r="8" spans="1:14" x14ac:dyDescent="0.2">
      <c r="A8" s="1524" t="s">
        <v>166</v>
      </c>
      <c r="B8" s="615">
        <v>1200</v>
      </c>
      <c r="C8" s="466">
        <v>334199</v>
      </c>
      <c r="D8" s="466">
        <v>26884</v>
      </c>
      <c r="E8" s="466">
        <v>0</v>
      </c>
      <c r="F8" s="466">
        <v>2786</v>
      </c>
      <c r="G8" s="466">
        <v>0</v>
      </c>
      <c r="H8" s="466">
        <v>0</v>
      </c>
      <c r="I8" s="467">
        <v>0</v>
      </c>
      <c r="J8" s="467">
        <v>0</v>
      </c>
      <c r="K8" s="1689">
        <f t="shared" si="0"/>
        <v>363869</v>
      </c>
      <c r="L8" s="466">
        <v>350636</v>
      </c>
    </row>
    <row r="9" spans="1:14" x14ac:dyDescent="0.2">
      <c r="A9" s="1524" t="s">
        <v>745</v>
      </c>
      <c r="B9" s="615" t="s">
        <v>1025</v>
      </c>
      <c r="C9" s="467">
        <v>0</v>
      </c>
      <c r="D9" s="467">
        <v>0</v>
      </c>
      <c r="E9" s="467">
        <v>0</v>
      </c>
      <c r="F9" s="467">
        <v>0</v>
      </c>
      <c r="G9" s="467">
        <v>0</v>
      </c>
      <c r="H9" s="467">
        <v>0</v>
      </c>
      <c r="I9" s="467">
        <v>0</v>
      </c>
      <c r="J9" s="467">
        <v>0</v>
      </c>
      <c r="K9" s="1689">
        <f t="shared" si="0"/>
        <v>0</v>
      </c>
      <c r="L9" s="466">
        <v>0</v>
      </c>
    </row>
    <row r="10" spans="1:14" x14ac:dyDescent="0.2">
      <c r="A10" s="1524" t="s">
        <v>746</v>
      </c>
      <c r="B10" s="615">
        <v>1250</v>
      </c>
      <c r="C10" s="466">
        <v>50578</v>
      </c>
      <c r="D10" s="466">
        <v>7229</v>
      </c>
      <c r="E10" s="466">
        <v>0</v>
      </c>
      <c r="F10" s="466">
        <v>0</v>
      </c>
      <c r="G10" s="466">
        <v>0</v>
      </c>
      <c r="H10" s="466">
        <v>0</v>
      </c>
      <c r="I10" s="467">
        <v>0</v>
      </c>
      <c r="J10" s="467">
        <v>0</v>
      </c>
      <c r="K10" s="1689">
        <f t="shared" si="0"/>
        <v>57807</v>
      </c>
      <c r="L10" s="466">
        <v>57857</v>
      </c>
    </row>
    <row r="11" spans="1:14" x14ac:dyDescent="0.2">
      <c r="A11" s="1524" t="s">
        <v>1192</v>
      </c>
      <c r="B11" s="615" t="s">
        <v>163</v>
      </c>
      <c r="C11" s="467">
        <v>0</v>
      </c>
      <c r="D11" s="467">
        <v>0</v>
      </c>
      <c r="E11" s="467">
        <v>0</v>
      </c>
      <c r="F11" s="467">
        <v>0</v>
      </c>
      <c r="G11" s="467">
        <v>0</v>
      </c>
      <c r="H11" s="467">
        <v>0</v>
      </c>
      <c r="I11" s="467">
        <v>0</v>
      </c>
      <c r="J11" s="467">
        <v>0</v>
      </c>
      <c r="K11" s="1689">
        <f t="shared" si="0"/>
        <v>0</v>
      </c>
      <c r="L11" s="466">
        <v>0</v>
      </c>
    </row>
    <row r="12" spans="1:14" x14ac:dyDescent="0.2">
      <c r="A12" s="1524" t="s">
        <v>1019</v>
      </c>
      <c r="B12" s="615">
        <v>1300</v>
      </c>
      <c r="C12" s="466">
        <v>0</v>
      </c>
      <c r="D12" s="466">
        <v>0</v>
      </c>
      <c r="E12" s="466">
        <v>0</v>
      </c>
      <c r="F12" s="466">
        <v>0</v>
      </c>
      <c r="G12" s="466">
        <v>0</v>
      </c>
      <c r="H12" s="466">
        <v>0</v>
      </c>
      <c r="I12" s="467">
        <v>0</v>
      </c>
      <c r="J12" s="467">
        <v>0</v>
      </c>
      <c r="K12" s="1689">
        <f t="shared" si="0"/>
        <v>0</v>
      </c>
      <c r="L12" s="466">
        <v>0</v>
      </c>
    </row>
    <row r="13" spans="1:14" x14ac:dyDescent="0.2">
      <c r="A13" s="1524" t="s">
        <v>747</v>
      </c>
      <c r="B13" s="615">
        <v>1400</v>
      </c>
      <c r="C13" s="466">
        <v>52402</v>
      </c>
      <c r="D13" s="466">
        <v>6918</v>
      </c>
      <c r="E13" s="466">
        <v>710</v>
      </c>
      <c r="F13" s="466">
        <v>3381</v>
      </c>
      <c r="G13" s="466">
        <v>975</v>
      </c>
      <c r="H13" s="466">
        <v>0</v>
      </c>
      <c r="I13" s="467">
        <v>0</v>
      </c>
      <c r="J13" s="467">
        <v>0</v>
      </c>
      <c r="K13" s="1689">
        <f t="shared" si="0"/>
        <v>64386</v>
      </c>
      <c r="L13" s="466">
        <v>63898</v>
      </c>
    </row>
    <row r="14" spans="1:14" x14ac:dyDescent="0.2">
      <c r="A14" s="1524" t="s">
        <v>1020</v>
      </c>
      <c r="B14" s="615">
        <v>1500</v>
      </c>
      <c r="C14" s="466">
        <v>256723</v>
      </c>
      <c r="D14" s="466">
        <v>13990</v>
      </c>
      <c r="E14" s="466">
        <v>23588</v>
      </c>
      <c r="F14" s="466">
        <v>13966</v>
      </c>
      <c r="G14" s="466">
        <v>14631</v>
      </c>
      <c r="H14" s="466">
        <v>11291</v>
      </c>
      <c r="I14" s="466">
        <v>0</v>
      </c>
      <c r="J14" s="466">
        <v>0</v>
      </c>
      <c r="K14" s="1689">
        <f t="shared" si="0"/>
        <v>334189</v>
      </c>
      <c r="L14" s="466">
        <v>337680</v>
      </c>
    </row>
    <row r="15" spans="1:14" x14ac:dyDescent="0.2">
      <c r="A15" s="1524" t="s">
        <v>1021</v>
      </c>
      <c r="B15" s="615">
        <v>1600</v>
      </c>
      <c r="C15" s="466">
        <v>0</v>
      </c>
      <c r="D15" s="466">
        <v>0</v>
      </c>
      <c r="E15" s="466">
        <v>0</v>
      </c>
      <c r="F15" s="466">
        <v>0</v>
      </c>
      <c r="G15" s="466">
        <v>0</v>
      </c>
      <c r="H15" s="466">
        <v>0</v>
      </c>
      <c r="I15" s="466">
        <v>0</v>
      </c>
      <c r="J15" s="466">
        <v>0</v>
      </c>
      <c r="K15" s="1689">
        <f t="shared" si="0"/>
        <v>0</v>
      </c>
      <c r="L15" s="466">
        <v>0</v>
      </c>
    </row>
    <row r="16" spans="1:14" x14ac:dyDescent="0.2">
      <c r="A16" s="1524" t="s">
        <v>1044</v>
      </c>
      <c r="B16" s="615" t="s">
        <v>444</v>
      </c>
      <c r="C16" s="466">
        <v>0</v>
      </c>
      <c r="D16" s="466">
        <v>0</v>
      </c>
      <c r="E16" s="466">
        <v>0</v>
      </c>
      <c r="F16" s="466">
        <v>0</v>
      </c>
      <c r="G16" s="466">
        <v>0</v>
      </c>
      <c r="H16" s="466">
        <v>0</v>
      </c>
      <c r="I16" s="466">
        <v>0</v>
      </c>
      <c r="J16" s="466">
        <v>0</v>
      </c>
      <c r="K16" s="1689">
        <f t="shared" si="0"/>
        <v>0</v>
      </c>
      <c r="L16" s="466">
        <v>61400</v>
      </c>
    </row>
    <row r="17" spans="1:12" x14ac:dyDescent="0.2">
      <c r="A17" s="1524" t="s">
        <v>748</v>
      </c>
      <c r="B17" s="615" t="s">
        <v>164</v>
      </c>
      <c r="C17" s="466">
        <v>55896</v>
      </c>
      <c r="D17" s="466">
        <v>0</v>
      </c>
      <c r="E17" s="466">
        <v>4693</v>
      </c>
      <c r="F17" s="466">
        <v>0</v>
      </c>
      <c r="G17" s="466">
        <v>0</v>
      </c>
      <c r="H17" s="466">
        <v>0</v>
      </c>
      <c r="I17" s="466">
        <v>0</v>
      </c>
      <c r="J17" s="466">
        <v>0</v>
      </c>
      <c r="K17" s="1689">
        <f t="shared" si="0"/>
        <v>60589</v>
      </c>
      <c r="L17" s="466">
        <v>0</v>
      </c>
    </row>
    <row r="18" spans="1:12" x14ac:dyDescent="0.2">
      <c r="A18" s="1524" t="s">
        <v>1148</v>
      </c>
      <c r="B18" s="615">
        <v>1800</v>
      </c>
      <c r="C18" s="466">
        <v>0</v>
      </c>
      <c r="D18" s="466">
        <v>0</v>
      </c>
      <c r="E18" s="466">
        <v>0</v>
      </c>
      <c r="F18" s="466">
        <v>0</v>
      </c>
      <c r="G18" s="466">
        <v>0</v>
      </c>
      <c r="H18" s="466">
        <v>0</v>
      </c>
      <c r="I18" s="466">
        <v>0</v>
      </c>
      <c r="J18" s="466">
        <v>0</v>
      </c>
      <c r="K18" s="1689">
        <f t="shared" si="0"/>
        <v>0</v>
      </c>
      <c r="L18" s="466">
        <v>0</v>
      </c>
    </row>
    <row r="19" spans="1:12" x14ac:dyDescent="0.2">
      <c r="A19" s="1524" t="s">
        <v>136</v>
      </c>
      <c r="B19" s="615">
        <v>1900</v>
      </c>
      <c r="C19" s="466">
        <v>0</v>
      </c>
      <c r="D19" s="466">
        <v>0</v>
      </c>
      <c r="E19" s="466">
        <v>0</v>
      </c>
      <c r="F19" s="466">
        <v>0</v>
      </c>
      <c r="G19" s="466">
        <v>0</v>
      </c>
      <c r="H19" s="466">
        <v>0</v>
      </c>
      <c r="I19" s="466">
        <v>0</v>
      </c>
      <c r="J19" s="466">
        <v>0</v>
      </c>
      <c r="K19" s="1689">
        <f t="shared" si="0"/>
        <v>0</v>
      </c>
      <c r="L19" s="466">
        <v>0</v>
      </c>
    </row>
    <row r="20" spans="1:12" x14ac:dyDescent="0.2">
      <c r="A20" s="1525" t="s">
        <v>762</v>
      </c>
      <c r="B20" s="603" t="s">
        <v>749</v>
      </c>
      <c r="C20" s="477"/>
      <c r="D20" s="477"/>
      <c r="E20" s="477"/>
      <c r="F20" s="477"/>
      <c r="G20" s="477"/>
      <c r="H20" s="466" t="s">
        <v>1231</v>
      </c>
      <c r="I20" s="617"/>
      <c r="J20" s="475"/>
      <c r="K20" s="1689">
        <f t="shared" si="0"/>
        <v>0</v>
      </c>
      <c r="L20" s="471">
        <v>0</v>
      </c>
    </row>
    <row r="21" spans="1:12" x14ac:dyDescent="0.2">
      <c r="A21" s="1525" t="s">
        <v>763</v>
      </c>
      <c r="B21" s="603" t="s">
        <v>750</v>
      </c>
      <c r="C21" s="477"/>
      <c r="D21" s="477"/>
      <c r="E21" s="477"/>
      <c r="F21" s="477"/>
      <c r="G21" s="477"/>
      <c r="H21" s="466" t="s">
        <v>1231</v>
      </c>
      <c r="I21" s="617"/>
      <c r="J21" s="477"/>
      <c r="K21" s="1689">
        <f t="shared" si="0"/>
        <v>0</v>
      </c>
      <c r="L21" s="471">
        <v>0</v>
      </c>
    </row>
    <row r="22" spans="1:12" x14ac:dyDescent="0.2">
      <c r="A22" s="1525" t="s">
        <v>764</v>
      </c>
      <c r="B22" s="603" t="s">
        <v>751</v>
      </c>
      <c r="C22" s="477"/>
      <c r="D22" s="477"/>
      <c r="E22" s="477"/>
      <c r="F22" s="477"/>
      <c r="G22" s="477"/>
      <c r="H22" s="466">
        <v>171934</v>
      </c>
      <c r="I22" s="617"/>
      <c r="J22" s="477"/>
      <c r="K22" s="1689">
        <f t="shared" si="0"/>
        <v>171934</v>
      </c>
      <c r="L22" s="471">
        <v>0</v>
      </c>
    </row>
    <row r="23" spans="1:12" x14ac:dyDescent="0.2">
      <c r="A23" s="1525" t="s">
        <v>765</v>
      </c>
      <c r="B23" s="603" t="s">
        <v>752</v>
      </c>
      <c r="C23" s="477"/>
      <c r="D23" s="477"/>
      <c r="E23" s="477"/>
      <c r="F23" s="477"/>
      <c r="G23" s="477"/>
      <c r="H23" s="466">
        <v>0</v>
      </c>
      <c r="I23" s="617"/>
      <c r="J23" s="477"/>
      <c r="K23" s="1689">
        <f t="shared" si="0"/>
        <v>0</v>
      </c>
      <c r="L23" s="471">
        <v>0</v>
      </c>
    </row>
    <row r="24" spans="1:12" ht="12.75" customHeight="1" x14ac:dyDescent="0.2">
      <c r="A24" s="1525" t="s">
        <v>766</v>
      </c>
      <c r="B24" s="603" t="s">
        <v>753</v>
      </c>
      <c r="C24" s="477"/>
      <c r="D24" s="477"/>
      <c r="E24" s="477"/>
      <c r="F24" s="477"/>
      <c r="G24" s="477"/>
      <c r="H24" s="466" t="s">
        <v>1231</v>
      </c>
      <c r="I24" s="617"/>
      <c r="J24" s="477"/>
      <c r="K24" s="1689">
        <f t="shared" si="0"/>
        <v>0</v>
      </c>
      <c r="L24" s="471">
        <v>0</v>
      </c>
    </row>
    <row r="25" spans="1:12" ht="12.75" customHeight="1" x14ac:dyDescent="0.2">
      <c r="A25" s="1525" t="s">
        <v>835</v>
      </c>
      <c r="B25" s="603" t="s">
        <v>754</v>
      </c>
      <c r="C25" s="477"/>
      <c r="D25" s="477"/>
      <c r="E25" s="477"/>
      <c r="F25" s="477"/>
      <c r="G25" s="477"/>
      <c r="H25" s="466" t="s">
        <v>1231</v>
      </c>
      <c r="I25" s="617"/>
      <c r="J25" s="477"/>
      <c r="K25" s="1689">
        <f t="shared" si="0"/>
        <v>0</v>
      </c>
      <c r="L25" s="471">
        <v>0</v>
      </c>
    </row>
    <row r="26" spans="1:12" x14ac:dyDescent="0.2">
      <c r="A26" s="1525" t="s">
        <v>643</v>
      </c>
      <c r="B26" s="603" t="s">
        <v>755</v>
      </c>
      <c r="C26" s="477"/>
      <c r="D26" s="477"/>
      <c r="E26" s="477"/>
      <c r="F26" s="477"/>
      <c r="G26" s="477"/>
      <c r="H26" s="466" t="s">
        <v>1231</v>
      </c>
      <c r="I26" s="617"/>
      <c r="J26" s="477"/>
      <c r="K26" s="1689">
        <f t="shared" si="0"/>
        <v>0</v>
      </c>
      <c r="L26" s="471">
        <v>0</v>
      </c>
    </row>
    <row r="27" spans="1:12" x14ac:dyDescent="0.2">
      <c r="A27" s="1525" t="s">
        <v>644</v>
      </c>
      <c r="B27" s="603" t="s">
        <v>756</v>
      </c>
      <c r="C27" s="477"/>
      <c r="D27" s="477"/>
      <c r="E27" s="477"/>
      <c r="F27" s="477"/>
      <c r="G27" s="477"/>
      <c r="H27" s="466" t="s">
        <v>1231</v>
      </c>
      <c r="I27" s="617"/>
      <c r="J27" s="477"/>
      <c r="K27" s="1689">
        <f t="shared" si="0"/>
        <v>0</v>
      </c>
      <c r="L27" s="471">
        <v>0</v>
      </c>
    </row>
    <row r="28" spans="1:12" x14ac:dyDescent="0.2">
      <c r="A28" s="1525" t="s">
        <v>152</v>
      </c>
      <c r="B28" s="603" t="s">
        <v>757</v>
      </c>
      <c r="C28" s="477"/>
      <c r="D28" s="477"/>
      <c r="E28" s="477"/>
      <c r="F28" s="477"/>
      <c r="G28" s="477"/>
      <c r="H28" s="466" t="s">
        <v>1231</v>
      </c>
      <c r="I28" s="617"/>
      <c r="J28" s="477"/>
      <c r="K28" s="1689">
        <f t="shared" si="0"/>
        <v>0</v>
      </c>
      <c r="L28" s="471">
        <v>0</v>
      </c>
    </row>
    <row r="29" spans="1:12" x14ac:dyDescent="0.2">
      <c r="A29" s="1525" t="s">
        <v>153</v>
      </c>
      <c r="B29" s="603" t="s">
        <v>758</v>
      </c>
      <c r="C29" s="477"/>
      <c r="D29" s="477"/>
      <c r="E29" s="477"/>
      <c r="F29" s="477"/>
      <c r="G29" s="477"/>
      <c r="H29" s="466" t="s">
        <v>1231</v>
      </c>
      <c r="I29" s="617"/>
      <c r="J29" s="477"/>
      <c r="K29" s="1689">
        <f t="shared" si="0"/>
        <v>0</v>
      </c>
      <c r="L29" s="471">
        <v>0</v>
      </c>
    </row>
    <row r="30" spans="1:12" x14ac:dyDescent="0.2">
      <c r="A30" s="1525" t="s">
        <v>154</v>
      </c>
      <c r="B30" s="603" t="s">
        <v>759</v>
      </c>
      <c r="C30" s="477"/>
      <c r="D30" s="477"/>
      <c r="E30" s="477"/>
      <c r="F30" s="477"/>
      <c r="G30" s="477"/>
      <c r="H30" s="466" t="s">
        <v>1231</v>
      </c>
      <c r="I30" s="617"/>
      <c r="J30" s="477"/>
      <c r="K30" s="1689">
        <f t="shared" si="0"/>
        <v>0</v>
      </c>
      <c r="L30" s="471">
        <v>0</v>
      </c>
    </row>
    <row r="31" spans="1:12" x14ac:dyDescent="0.2">
      <c r="A31" s="1525" t="s">
        <v>155</v>
      </c>
      <c r="B31" s="603" t="s">
        <v>760</v>
      </c>
      <c r="C31" s="477"/>
      <c r="D31" s="477"/>
      <c r="E31" s="477"/>
      <c r="F31" s="477"/>
      <c r="G31" s="477"/>
      <c r="H31" s="466">
        <v>0</v>
      </c>
      <c r="I31" s="617"/>
      <c r="J31" s="477"/>
      <c r="K31" s="1689">
        <f t="shared" si="0"/>
        <v>0</v>
      </c>
      <c r="L31" s="471">
        <v>0</v>
      </c>
    </row>
    <row r="32" spans="1:12" x14ac:dyDescent="0.2">
      <c r="A32" s="1526" t="s">
        <v>1191</v>
      </c>
      <c r="B32" s="615" t="s">
        <v>761</v>
      </c>
      <c r="C32" s="477"/>
      <c r="D32" s="477"/>
      <c r="E32" s="477"/>
      <c r="F32" s="477"/>
      <c r="G32" s="477"/>
      <c r="H32" s="466">
        <v>0</v>
      </c>
      <c r="I32" s="617"/>
      <c r="J32" s="480"/>
      <c r="K32" s="1689">
        <f t="shared" si="0"/>
        <v>0</v>
      </c>
      <c r="L32" s="471">
        <v>0</v>
      </c>
    </row>
    <row r="33" spans="1:14" ht="12.75" customHeight="1" thickBot="1" x14ac:dyDescent="0.25">
      <c r="A33" s="1686" t="s">
        <v>1767</v>
      </c>
      <c r="B33" s="1687" t="s">
        <v>591</v>
      </c>
      <c r="C33" s="1688">
        <f>SUM(C5:C32)</f>
        <v>2846917</v>
      </c>
      <c r="D33" s="1688">
        <f t="shared" ref="D33:L33" si="1">SUM(D5:D32)</f>
        <v>267309</v>
      </c>
      <c r="E33" s="1688">
        <f t="shared" si="1"/>
        <v>47061</v>
      </c>
      <c r="F33" s="1688">
        <f t="shared" si="1"/>
        <v>151849</v>
      </c>
      <c r="G33" s="1688">
        <f t="shared" si="1"/>
        <v>15606</v>
      </c>
      <c r="H33" s="1688">
        <f t="shared" si="1"/>
        <v>183225</v>
      </c>
      <c r="I33" s="1688">
        <f t="shared" si="1"/>
        <v>0</v>
      </c>
      <c r="J33" s="1688">
        <f t="shared" si="1"/>
        <v>0</v>
      </c>
      <c r="K33" s="1688">
        <f t="shared" si="1"/>
        <v>3511967</v>
      </c>
      <c r="L33" s="1688">
        <f t="shared" si="1"/>
        <v>3487497</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0</v>
      </c>
      <c r="D36" s="481">
        <v>0</v>
      </c>
      <c r="E36" s="481">
        <v>0</v>
      </c>
      <c r="F36" s="481">
        <v>0</v>
      </c>
      <c r="G36" s="481">
        <v>0</v>
      </c>
      <c r="H36" s="481">
        <v>0</v>
      </c>
      <c r="I36" s="481">
        <v>0</v>
      </c>
      <c r="J36" s="481">
        <v>0</v>
      </c>
      <c r="K36" s="1689">
        <f t="shared" ref="K36:K41" si="2">SUM(C36:J36)</f>
        <v>0</v>
      </c>
      <c r="L36" s="466">
        <v>0</v>
      </c>
    </row>
    <row r="37" spans="1:14" x14ac:dyDescent="0.2">
      <c r="A37" s="1524" t="s">
        <v>1151</v>
      </c>
      <c r="B37" s="615">
        <v>2120</v>
      </c>
      <c r="C37" s="481">
        <v>112034</v>
      </c>
      <c r="D37" s="481">
        <v>1449</v>
      </c>
      <c r="E37" s="481">
        <v>0</v>
      </c>
      <c r="F37" s="481">
        <v>182</v>
      </c>
      <c r="G37" s="481">
        <v>0</v>
      </c>
      <c r="H37" s="481">
        <v>0</v>
      </c>
      <c r="I37" s="481">
        <v>0</v>
      </c>
      <c r="J37" s="481">
        <v>0</v>
      </c>
      <c r="K37" s="1689">
        <f t="shared" si="2"/>
        <v>113665</v>
      </c>
      <c r="L37" s="466">
        <v>112022</v>
      </c>
    </row>
    <row r="38" spans="1:14" x14ac:dyDescent="0.2">
      <c r="A38" s="1524" t="s">
        <v>207</v>
      </c>
      <c r="B38" s="615">
        <v>2130</v>
      </c>
      <c r="C38" s="481">
        <v>48990</v>
      </c>
      <c r="D38" s="481">
        <v>20</v>
      </c>
      <c r="E38" s="481">
        <v>0</v>
      </c>
      <c r="F38" s="481">
        <v>866</v>
      </c>
      <c r="G38" s="481">
        <v>0</v>
      </c>
      <c r="H38" s="481">
        <v>0</v>
      </c>
      <c r="I38" s="481">
        <v>0</v>
      </c>
      <c r="J38" s="481">
        <v>0</v>
      </c>
      <c r="K38" s="1689">
        <f t="shared" si="2"/>
        <v>49876</v>
      </c>
      <c r="L38" s="466">
        <v>54149</v>
      </c>
    </row>
    <row r="39" spans="1:14" x14ac:dyDescent="0.2">
      <c r="A39" s="1524" t="s">
        <v>208</v>
      </c>
      <c r="B39" s="615">
        <v>2140</v>
      </c>
      <c r="C39" s="481">
        <v>0</v>
      </c>
      <c r="D39" s="481">
        <v>0</v>
      </c>
      <c r="E39" s="481">
        <v>0</v>
      </c>
      <c r="F39" s="481">
        <v>0</v>
      </c>
      <c r="G39" s="481">
        <v>0</v>
      </c>
      <c r="H39" s="481">
        <v>0</v>
      </c>
      <c r="I39" s="481">
        <v>0</v>
      </c>
      <c r="J39" s="481">
        <v>0</v>
      </c>
      <c r="K39" s="1689">
        <f t="shared" si="2"/>
        <v>0</v>
      </c>
      <c r="L39" s="466">
        <v>0</v>
      </c>
    </row>
    <row r="40" spans="1:14" x14ac:dyDescent="0.2">
      <c r="A40" s="1524" t="s">
        <v>209</v>
      </c>
      <c r="B40" s="615">
        <v>2150</v>
      </c>
      <c r="C40" s="481">
        <v>67632</v>
      </c>
      <c r="D40" s="481">
        <v>1306</v>
      </c>
      <c r="E40" s="481">
        <v>0</v>
      </c>
      <c r="F40" s="481">
        <v>272</v>
      </c>
      <c r="G40" s="481">
        <v>0</v>
      </c>
      <c r="H40" s="481">
        <v>0</v>
      </c>
      <c r="I40" s="481">
        <v>0</v>
      </c>
      <c r="J40" s="481">
        <v>0</v>
      </c>
      <c r="K40" s="1689">
        <f t="shared" si="2"/>
        <v>69210</v>
      </c>
      <c r="L40" s="466">
        <v>68123</v>
      </c>
    </row>
    <row r="41" spans="1:14" x14ac:dyDescent="0.2">
      <c r="A41" s="1524" t="s">
        <v>1768</v>
      </c>
      <c r="B41" s="615">
        <v>2190</v>
      </c>
      <c r="C41" s="481">
        <v>0</v>
      </c>
      <c r="D41" s="481">
        <v>0</v>
      </c>
      <c r="E41" s="481">
        <v>500</v>
      </c>
      <c r="F41" s="481">
        <v>0</v>
      </c>
      <c r="G41" s="481">
        <v>0</v>
      </c>
      <c r="H41" s="481">
        <v>0</v>
      </c>
      <c r="I41" s="481">
        <v>0</v>
      </c>
      <c r="J41" s="481">
        <v>0</v>
      </c>
      <c r="K41" s="1689">
        <f t="shared" si="2"/>
        <v>500</v>
      </c>
      <c r="L41" s="466">
        <v>1000</v>
      </c>
    </row>
    <row r="42" spans="1:14" ht="12.75" customHeight="1" thickBot="1" x14ac:dyDescent="0.25">
      <c r="A42" s="1686" t="s">
        <v>581</v>
      </c>
      <c r="B42" s="1687" t="s">
        <v>740</v>
      </c>
      <c r="C42" s="1688">
        <f>SUM(C36:C41)</f>
        <v>228656</v>
      </c>
      <c r="D42" s="1688">
        <f t="shared" ref="D42:L42" si="3">SUM(D36:D41)</f>
        <v>2775</v>
      </c>
      <c r="E42" s="1688">
        <f t="shared" si="3"/>
        <v>500</v>
      </c>
      <c r="F42" s="1688">
        <f t="shared" si="3"/>
        <v>1320</v>
      </c>
      <c r="G42" s="1688">
        <f t="shared" si="3"/>
        <v>0</v>
      </c>
      <c r="H42" s="1688">
        <f t="shared" si="3"/>
        <v>0</v>
      </c>
      <c r="I42" s="1688">
        <f t="shared" si="3"/>
        <v>0</v>
      </c>
      <c r="J42" s="1688">
        <f t="shared" si="3"/>
        <v>0</v>
      </c>
      <c r="K42" s="1688">
        <f t="shared" si="3"/>
        <v>233251</v>
      </c>
      <c r="L42" s="1688">
        <f t="shared" si="3"/>
        <v>235294</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25835</v>
      </c>
      <c r="D44" s="481">
        <v>189</v>
      </c>
      <c r="E44" s="481">
        <v>29495</v>
      </c>
      <c r="F44" s="481">
        <v>10939</v>
      </c>
      <c r="G44" s="481">
        <v>0</v>
      </c>
      <c r="H44" s="481">
        <v>0</v>
      </c>
      <c r="I44" s="481">
        <v>0</v>
      </c>
      <c r="J44" s="481">
        <v>0</v>
      </c>
      <c r="K44" s="1690">
        <f>SUM(C44:J44)</f>
        <v>66458</v>
      </c>
      <c r="L44" s="481">
        <v>73895</v>
      </c>
    </row>
    <row r="45" spans="1:14" x14ac:dyDescent="0.2">
      <c r="A45" s="1524" t="s">
        <v>869</v>
      </c>
      <c r="B45" s="615">
        <v>2220</v>
      </c>
      <c r="C45" s="481">
        <v>83516</v>
      </c>
      <c r="D45" s="481">
        <v>6888</v>
      </c>
      <c r="E45" s="481">
        <v>3274</v>
      </c>
      <c r="F45" s="481">
        <v>27033</v>
      </c>
      <c r="G45" s="481">
        <v>0</v>
      </c>
      <c r="H45" s="481">
        <v>0</v>
      </c>
      <c r="I45" s="481">
        <v>0</v>
      </c>
      <c r="J45" s="481">
        <v>0</v>
      </c>
      <c r="K45" s="1690">
        <f>SUM(C45:J45)</f>
        <v>120711</v>
      </c>
      <c r="L45" s="466">
        <v>122264</v>
      </c>
    </row>
    <row r="46" spans="1:14" x14ac:dyDescent="0.2">
      <c r="A46" s="1524" t="s">
        <v>870</v>
      </c>
      <c r="B46" s="615">
        <v>2230</v>
      </c>
      <c r="C46" s="481">
        <v>0</v>
      </c>
      <c r="D46" s="481">
        <v>0</v>
      </c>
      <c r="E46" s="481">
        <v>7770</v>
      </c>
      <c r="F46" s="481">
        <v>0</v>
      </c>
      <c r="G46" s="481">
        <v>0</v>
      </c>
      <c r="H46" s="481">
        <v>0</v>
      </c>
      <c r="I46" s="481">
        <v>0</v>
      </c>
      <c r="J46" s="481">
        <v>0</v>
      </c>
      <c r="K46" s="1690">
        <f>SUM(C46:J46)</f>
        <v>7770</v>
      </c>
      <c r="L46" s="466">
        <v>7800</v>
      </c>
    </row>
    <row r="47" spans="1:14" ht="12.75" customHeight="1" thickBot="1" x14ac:dyDescent="0.25">
      <c r="A47" s="1686" t="s">
        <v>582</v>
      </c>
      <c r="B47" s="1687" t="s">
        <v>32</v>
      </c>
      <c r="C47" s="1688">
        <f>SUM(C44:C46)</f>
        <v>109351</v>
      </c>
      <c r="D47" s="1688">
        <f t="shared" ref="D47:K47" si="4">SUM(D44:D46)</f>
        <v>7077</v>
      </c>
      <c r="E47" s="1688">
        <f t="shared" si="4"/>
        <v>40539</v>
      </c>
      <c r="F47" s="1688">
        <f t="shared" si="4"/>
        <v>37972</v>
      </c>
      <c r="G47" s="1688">
        <f t="shared" si="4"/>
        <v>0</v>
      </c>
      <c r="H47" s="1688">
        <f t="shared" si="4"/>
        <v>0</v>
      </c>
      <c r="I47" s="1688">
        <f t="shared" si="4"/>
        <v>0</v>
      </c>
      <c r="J47" s="1688">
        <f t="shared" si="4"/>
        <v>0</v>
      </c>
      <c r="K47" s="1688">
        <f t="shared" si="4"/>
        <v>194939</v>
      </c>
      <c r="L47" s="1688">
        <f>SUM(L44:L46)</f>
        <v>203959</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0</v>
      </c>
      <c r="D49" s="481">
        <v>0</v>
      </c>
      <c r="E49" s="481">
        <v>19070</v>
      </c>
      <c r="F49" s="481">
        <v>13383</v>
      </c>
      <c r="G49" s="481">
        <v>0</v>
      </c>
      <c r="H49" s="481">
        <v>5108</v>
      </c>
      <c r="I49" s="481">
        <v>0</v>
      </c>
      <c r="J49" s="481">
        <v>0</v>
      </c>
      <c r="K49" s="1690">
        <f>SUM(C49:J49)</f>
        <v>37561</v>
      </c>
      <c r="L49" s="481">
        <v>34700</v>
      </c>
    </row>
    <row r="50" spans="1:14" x14ac:dyDescent="0.2">
      <c r="A50" s="1524" t="s">
        <v>872</v>
      </c>
      <c r="B50" s="615">
        <v>2320</v>
      </c>
      <c r="C50" s="481">
        <v>173131</v>
      </c>
      <c r="D50" s="481">
        <v>16454</v>
      </c>
      <c r="E50" s="481">
        <v>6555</v>
      </c>
      <c r="F50" s="481">
        <v>2789</v>
      </c>
      <c r="G50" s="481">
        <v>0</v>
      </c>
      <c r="H50" s="481">
        <v>2009</v>
      </c>
      <c r="I50" s="481">
        <v>0</v>
      </c>
      <c r="J50" s="481">
        <v>0</v>
      </c>
      <c r="K50" s="1690">
        <f>SUM(C50:J50)</f>
        <v>200938</v>
      </c>
      <c r="L50" s="466">
        <v>209080</v>
      </c>
    </row>
    <row r="51" spans="1:14" x14ac:dyDescent="0.2">
      <c r="A51" s="1524" t="s">
        <v>44</v>
      </c>
      <c r="B51" s="615">
        <v>2330</v>
      </c>
      <c r="C51" s="481">
        <v>0</v>
      </c>
      <c r="D51" s="481">
        <v>0</v>
      </c>
      <c r="E51" s="481">
        <v>0</v>
      </c>
      <c r="F51" s="481">
        <v>0</v>
      </c>
      <c r="G51" s="481">
        <v>0</v>
      </c>
      <c r="H51" s="481">
        <v>0</v>
      </c>
      <c r="I51" s="481">
        <v>0</v>
      </c>
      <c r="J51" s="481">
        <v>0</v>
      </c>
      <c r="K51" s="1690">
        <f>SUM(C51:J51)</f>
        <v>0</v>
      </c>
      <c r="L51" s="466">
        <v>0</v>
      </c>
    </row>
    <row r="52" spans="1:14" ht="22.5" x14ac:dyDescent="0.2">
      <c r="A52" s="1525" t="s">
        <v>316</v>
      </c>
      <c r="B52" s="628" t="s">
        <v>384</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741</v>
      </c>
      <c r="B53" s="1687" t="s">
        <v>33</v>
      </c>
      <c r="C53" s="1688">
        <f>SUM(C49:C52)</f>
        <v>173131</v>
      </c>
      <c r="D53" s="1688">
        <f t="shared" ref="D53:L53" si="5">SUM(D49:D52)</f>
        <v>16454</v>
      </c>
      <c r="E53" s="1688">
        <f t="shared" si="5"/>
        <v>25625</v>
      </c>
      <c r="F53" s="1688">
        <f t="shared" si="5"/>
        <v>16172</v>
      </c>
      <c r="G53" s="1688">
        <f t="shared" si="5"/>
        <v>0</v>
      </c>
      <c r="H53" s="1688">
        <f t="shared" si="5"/>
        <v>7117</v>
      </c>
      <c r="I53" s="1688">
        <f t="shared" si="5"/>
        <v>0</v>
      </c>
      <c r="J53" s="1688">
        <f t="shared" si="5"/>
        <v>0</v>
      </c>
      <c r="K53" s="1688">
        <f t="shared" si="5"/>
        <v>238499</v>
      </c>
      <c r="L53" s="1688">
        <f t="shared" si="5"/>
        <v>243780</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263950</v>
      </c>
      <c r="D55" s="481">
        <v>69631</v>
      </c>
      <c r="E55" s="481">
        <v>675</v>
      </c>
      <c r="F55" s="481">
        <v>200</v>
      </c>
      <c r="G55" s="481">
        <v>0</v>
      </c>
      <c r="H55" s="481">
        <v>1412</v>
      </c>
      <c r="I55" s="481">
        <v>0</v>
      </c>
      <c r="J55" s="481">
        <v>0</v>
      </c>
      <c r="K55" s="1690">
        <f>SUM(C55:J55)</f>
        <v>335868</v>
      </c>
      <c r="L55" s="481">
        <v>340474</v>
      </c>
    </row>
    <row r="56" spans="1:14" ht="12.75" customHeight="1" x14ac:dyDescent="0.2">
      <c r="A56" s="1528" t="s">
        <v>394</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281</v>
      </c>
      <c r="B57" s="1691" t="s">
        <v>34</v>
      </c>
      <c r="C57" s="1692">
        <f>SUM(C55:C56)</f>
        <v>263950</v>
      </c>
      <c r="D57" s="1692">
        <f t="shared" ref="D57:K57" si="6">SUM(D55:D56)</f>
        <v>69631</v>
      </c>
      <c r="E57" s="1692">
        <f t="shared" si="6"/>
        <v>675</v>
      </c>
      <c r="F57" s="1692">
        <f t="shared" si="6"/>
        <v>200</v>
      </c>
      <c r="G57" s="1692">
        <f t="shared" si="6"/>
        <v>0</v>
      </c>
      <c r="H57" s="1692">
        <f t="shared" si="6"/>
        <v>1412</v>
      </c>
      <c r="I57" s="1692">
        <f t="shared" si="6"/>
        <v>0</v>
      </c>
      <c r="J57" s="1692">
        <f t="shared" si="6"/>
        <v>0</v>
      </c>
      <c r="K57" s="1692">
        <f t="shared" si="6"/>
        <v>335868</v>
      </c>
      <c r="L57" s="1688">
        <f>SUM(L55:L56)</f>
        <v>340474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4" t="s">
        <v>483</v>
      </c>
      <c r="B60" s="615">
        <v>2520</v>
      </c>
      <c r="C60" s="481">
        <v>42130</v>
      </c>
      <c r="D60" s="481">
        <v>6290</v>
      </c>
      <c r="E60" s="481">
        <v>2439</v>
      </c>
      <c r="F60" s="481">
        <v>0</v>
      </c>
      <c r="G60" s="481">
        <v>0</v>
      </c>
      <c r="H60" s="481">
        <v>0</v>
      </c>
      <c r="I60" s="481">
        <v>0</v>
      </c>
      <c r="J60" s="481">
        <v>0</v>
      </c>
      <c r="K60" s="1690">
        <f t="shared" si="7"/>
        <v>50859</v>
      </c>
      <c r="L60" s="466">
        <v>51156</v>
      </c>
      <c r="M60" s="610"/>
      <c r="N60" s="610"/>
    </row>
    <row r="61" spans="1:14" s="343" customFormat="1" x14ac:dyDescent="0.2">
      <c r="A61" s="1524" t="s">
        <v>206</v>
      </c>
      <c r="B61" s="615">
        <v>2540</v>
      </c>
      <c r="C61" s="481">
        <v>0</v>
      </c>
      <c r="D61" s="481">
        <v>0</v>
      </c>
      <c r="E61" s="481">
        <v>33198</v>
      </c>
      <c r="F61" s="481">
        <v>0</v>
      </c>
      <c r="G61" s="481">
        <v>0</v>
      </c>
      <c r="H61" s="481">
        <v>0</v>
      </c>
      <c r="I61" s="481">
        <v>0</v>
      </c>
      <c r="J61" s="481">
        <v>0</v>
      </c>
      <c r="K61" s="1690">
        <f t="shared" si="7"/>
        <v>33198</v>
      </c>
      <c r="L61" s="466">
        <v>94080</v>
      </c>
      <c r="M61" s="610"/>
      <c r="N61" s="610"/>
    </row>
    <row r="62" spans="1:14" s="343" customFormat="1" x14ac:dyDescent="0.2">
      <c r="A62" s="1524" t="s">
        <v>1010</v>
      </c>
      <c r="B62" s="615">
        <v>2550</v>
      </c>
      <c r="C62" s="481">
        <v>0</v>
      </c>
      <c r="D62" s="481">
        <v>0</v>
      </c>
      <c r="E62" s="481">
        <v>1045</v>
      </c>
      <c r="F62" s="481">
        <v>0</v>
      </c>
      <c r="G62" s="481">
        <v>0</v>
      </c>
      <c r="H62" s="481">
        <v>0</v>
      </c>
      <c r="I62" s="481">
        <v>0</v>
      </c>
      <c r="J62" s="481">
        <v>0</v>
      </c>
      <c r="K62" s="1690">
        <f t="shared" si="7"/>
        <v>1045</v>
      </c>
      <c r="L62" s="466">
        <v>1045</v>
      </c>
      <c r="M62" s="610"/>
      <c r="N62" s="610"/>
    </row>
    <row r="63" spans="1:14" s="610" customFormat="1" x14ac:dyDescent="0.2">
      <c r="A63" s="1524" t="s">
        <v>102</v>
      </c>
      <c r="B63" s="615">
        <v>2560</v>
      </c>
      <c r="C63" s="481">
        <v>106806</v>
      </c>
      <c r="D63" s="481">
        <v>19285</v>
      </c>
      <c r="E63" s="481">
        <v>48</v>
      </c>
      <c r="F63" s="481">
        <v>151102</v>
      </c>
      <c r="G63" s="481">
        <v>40792</v>
      </c>
      <c r="H63" s="481">
        <v>0</v>
      </c>
      <c r="I63" s="481">
        <v>0</v>
      </c>
      <c r="J63" s="481">
        <v>0</v>
      </c>
      <c r="K63" s="1690">
        <f t="shared" si="7"/>
        <v>318033</v>
      </c>
      <c r="L63" s="466">
        <v>328129</v>
      </c>
    </row>
    <row r="64" spans="1:14" s="610" customFormat="1" x14ac:dyDescent="0.2">
      <c r="A64" s="1529" t="s">
        <v>103</v>
      </c>
      <c r="B64" s="631">
        <v>2570</v>
      </c>
      <c r="C64" s="481">
        <v>0</v>
      </c>
      <c r="D64" s="481">
        <v>0</v>
      </c>
      <c r="E64" s="481">
        <v>0</v>
      </c>
      <c r="F64" s="481">
        <v>0</v>
      </c>
      <c r="G64" s="481">
        <v>0</v>
      </c>
      <c r="H64" s="481">
        <v>0</v>
      </c>
      <c r="I64" s="481">
        <v>0</v>
      </c>
      <c r="J64" s="481">
        <v>0</v>
      </c>
      <c r="K64" s="1690">
        <f t="shared" si="7"/>
        <v>0</v>
      </c>
      <c r="L64" s="481">
        <v>0</v>
      </c>
    </row>
    <row r="65" spans="1:14" s="343" customFormat="1" ht="12.75" customHeight="1" thickBot="1" x14ac:dyDescent="0.25">
      <c r="A65" s="1686" t="s">
        <v>743</v>
      </c>
      <c r="B65" s="1687" t="s">
        <v>35</v>
      </c>
      <c r="C65" s="1688">
        <f>SUM(C59:C64)</f>
        <v>148936</v>
      </c>
      <c r="D65" s="1688">
        <f t="shared" ref="D65:L65" si="8">SUM(D59:D64)</f>
        <v>25575</v>
      </c>
      <c r="E65" s="1688">
        <f t="shared" si="8"/>
        <v>36730</v>
      </c>
      <c r="F65" s="1688">
        <f t="shared" si="8"/>
        <v>151102</v>
      </c>
      <c r="G65" s="1688">
        <f t="shared" si="8"/>
        <v>40792</v>
      </c>
      <c r="H65" s="1688">
        <f t="shared" si="8"/>
        <v>0</v>
      </c>
      <c r="I65" s="1688">
        <f t="shared" si="8"/>
        <v>0</v>
      </c>
      <c r="J65" s="1688">
        <f t="shared" si="8"/>
        <v>0</v>
      </c>
      <c r="K65" s="1688">
        <f t="shared" si="8"/>
        <v>403135</v>
      </c>
      <c r="L65" s="1688">
        <f t="shared" si="8"/>
        <v>474410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4" t="s">
        <v>628</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4" t="s">
        <v>1121</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4" t="s">
        <v>423</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4" t="s">
        <v>424</v>
      </c>
      <c r="B71" s="615">
        <v>2660</v>
      </c>
      <c r="C71" s="481">
        <v>0</v>
      </c>
      <c r="D71" s="481">
        <v>0</v>
      </c>
      <c r="E71" s="481">
        <v>170973</v>
      </c>
      <c r="F71" s="481">
        <v>0</v>
      </c>
      <c r="G71" s="481">
        <v>0</v>
      </c>
      <c r="H71" s="481">
        <v>0</v>
      </c>
      <c r="I71" s="481">
        <v>0</v>
      </c>
      <c r="J71" s="481">
        <v>0</v>
      </c>
      <c r="K71" s="1690">
        <f>SUM(C71:J71)</f>
        <v>170973</v>
      </c>
      <c r="L71" s="466">
        <v>0</v>
      </c>
      <c r="M71" s="610"/>
      <c r="N71" s="610"/>
    </row>
    <row r="72" spans="1:14" s="343" customFormat="1" ht="12.75" customHeight="1" thickBot="1" x14ac:dyDescent="0.25">
      <c r="A72" s="1686" t="s">
        <v>37</v>
      </c>
      <c r="B72" s="1693" t="s">
        <v>36</v>
      </c>
      <c r="C72" s="1688">
        <f>SUM(C67:C71)</f>
        <v>0</v>
      </c>
      <c r="D72" s="1688">
        <f t="shared" ref="D72:K72" si="9">SUM(D67:D71)</f>
        <v>0</v>
      </c>
      <c r="E72" s="1688">
        <f t="shared" si="9"/>
        <v>170973</v>
      </c>
      <c r="F72" s="1688">
        <f t="shared" si="9"/>
        <v>0</v>
      </c>
      <c r="G72" s="1688">
        <f t="shared" si="9"/>
        <v>0</v>
      </c>
      <c r="H72" s="1688">
        <f t="shared" si="9"/>
        <v>0</v>
      </c>
      <c r="I72" s="1688">
        <f t="shared" si="9"/>
        <v>0</v>
      </c>
      <c r="J72" s="1688">
        <f t="shared" si="9"/>
        <v>0</v>
      </c>
      <c r="K72" s="1688">
        <f t="shared" si="9"/>
        <v>170973</v>
      </c>
      <c r="L72" s="1688">
        <f>SUM(L67:L71)</f>
        <v>0</v>
      </c>
      <c r="M72" s="610"/>
      <c r="N72" s="610"/>
    </row>
    <row r="73" spans="1:14" s="343" customFormat="1" ht="14.25" thickTop="1" thickBot="1" x14ac:dyDescent="0.25">
      <c r="A73" s="1530" t="s">
        <v>1037</v>
      </c>
      <c r="B73" s="633" t="s">
        <v>595</v>
      </c>
      <c r="C73" s="573">
        <v>0</v>
      </c>
      <c r="D73" s="573">
        <v>0</v>
      </c>
      <c r="E73" s="573">
        <v>10</v>
      </c>
      <c r="F73" s="573">
        <v>0</v>
      </c>
      <c r="G73" s="573">
        <v>0</v>
      </c>
      <c r="H73" s="573">
        <v>0</v>
      </c>
      <c r="I73" s="573">
        <v>0</v>
      </c>
      <c r="J73" s="573">
        <v>0</v>
      </c>
      <c r="K73" s="1688">
        <f>SUM(C73:J73)</f>
        <v>10</v>
      </c>
      <c r="L73" s="576">
        <v>350</v>
      </c>
      <c r="M73" s="610"/>
      <c r="N73" s="610"/>
    </row>
    <row r="74" spans="1:14" ht="12.75" customHeight="1" thickTop="1" thickBot="1" x14ac:dyDescent="0.25">
      <c r="A74" s="1686" t="s">
        <v>865</v>
      </c>
      <c r="B74" s="1694">
        <v>2000</v>
      </c>
      <c r="C74" s="1695">
        <f>SUM(C42,C47,C53,C57,C65,C72,C73)</f>
        <v>924024</v>
      </c>
      <c r="D74" s="1695">
        <f t="shared" ref="D74:K74" si="10">SUM(D42,D47,D53,D57,D65,D72,D73)</f>
        <v>121512</v>
      </c>
      <c r="E74" s="1695">
        <f t="shared" si="10"/>
        <v>275052</v>
      </c>
      <c r="F74" s="1695">
        <f t="shared" si="10"/>
        <v>206766</v>
      </c>
      <c r="G74" s="1695">
        <f t="shared" si="10"/>
        <v>40792</v>
      </c>
      <c r="H74" s="1695">
        <f t="shared" si="10"/>
        <v>8529</v>
      </c>
      <c r="I74" s="1695">
        <f t="shared" si="10"/>
        <v>0</v>
      </c>
      <c r="J74" s="1695">
        <f t="shared" si="10"/>
        <v>0</v>
      </c>
      <c r="K74" s="1695">
        <f t="shared" si="10"/>
        <v>1576675</v>
      </c>
      <c r="L74" s="1695">
        <f>SUM(L42,L47,L53,L57,L65,L72,L73)</f>
        <v>1498267</v>
      </c>
    </row>
    <row r="75" spans="1:14" s="259" customFormat="1" ht="15.75" customHeight="1" thickTop="1" thickBot="1" x14ac:dyDescent="0.25">
      <c r="A75" s="1630" t="s">
        <v>49</v>
      </c>
      <c r="B75" s="1631" t="s">
        <v>596</v>
      </c>
      <c r="C75" s="573">
        <v>0</v>
      </c>
      <c r="D75" s="573">
        <v>0</v>
      </c>
      <c r="E75" s="573">
        <v>250</v>
      </c>
      <c r="F75" s="573">
        <v>266</v>
      </c>
      <c r="G75" s="573">
        <v>0</v>
      </c>
      <c r="H75" s="573">
        <v>0</v>
      </c>
      <c r="I75" s="573">
        <v>0</v>
      </c>
      <c r="J75" s="573">
        <v>0</v>
      </c>
      <c r="K75" s="1688">
        <f>SUM(C75:J75)</f>
        <v>516</v>
      </c>
      <c r="L75" s="576">
        <v>900</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v>0</v>
      </c>
      <c r="F78" s="617"/>
      <c r="G78" s="617"/>
      <c r="H78" s="481">
        <v>0</v>
      </c>
      <c r="I78" s="477"/>
      <c r="J78" s="477"/>
      <c r="K78" s="1689">
        <f t="shared" ref="K78:K83" si="11">SUM(C78:J78)</f>
        <v>0</v>
      </c>
      <c r="L78" s="481">
        <v>104680</v>
      </c>
    </row>
    <row r="79" spans="1:14" x14ac:dyDescent="0.2">
      <c r="A79" s="1524" t="s">
        <v>322</v>
      </c>
      <c r="B79" s="615">
        <v>4120</v>
      </c>
      <c r="C79" s="617"/>
      <c r="D79" s="617"/>
      <c r="E79" s="481">
        <v>0</v>
      </c>
      <c r="F79" s="617"/>
      <c r="G79" s="617"/>
      <c r="H79" s="481">
        <v>0</v>
      </c>
      <c r="I79" s="477"/>
      <c r="J79" s="477"/>
      <c r="K79" s="1689">
        <f t="shared" si="11"/>
        <v>0</v>
      </c>
      <c r="L79" s="466">
        <v>251486</v>
      </c>
    </row>
    <row r="80" spans="1:14" x14ac:dyDescent="0.2">
      <c r="A80" s="1524" t="s">
        <v>323</v>
      </c>
      <c r="B80" s="615">
        <v>4130</v>
      </c>
      <c r="C80" s="617"/>
      <c r="D80" s="617"/>
      <c r="E80" s="481">
        <v>0</v>
      </c>
      <c r="F80" s="617"/>
      <c r="G80" s="617"/>
      <c r="H80" s="481">
        <v>0</v>
      </c>
      <c r="I80" s="477"/>
      <c r="J80" s="477"/>
      <c r="K80" s="1689">
        <f t="shared" si="11"/>
        <v>0</v>
      </c>
      <c r="L80" s="466">
        <v>0</v>
      </c>
    </row>
    <row r="81" spans="1:12" x14ac:dyDescent="0.2">
      <c r="A81" s="1524" t="s">
        <v>721</v>
      </c>
      <c r="B81" s="615">
        <v>4140</v>
      </c>
      <c r="C81" s="617"/>
      <c r="D81" s="617"/>
      <c r="E81" s="481">
        <v>0</v>
      </c>
      <c r="F81" s="617"/>
      <c r="G81" s="617"/>
      <c r="H81" s="481">
        <v>627</v>
      </c>
      <c r="I81" s="477"/>
      <c r="J81" s="477"/>
      <c r="K81" s="1689">
        <f t="shared" si="11"/>
        <v>627</v>
      </c>
      <c r="L81" s="466">
        <v>627</v>
      </c>
    </row>
    <row r="82" spans="1:12" x14ac:dyDescent="0.2">
      <c r="A82" s="1524" t="s">
        <v>88</v>
      </c>
      <c r="B82" s="615">
        <v>4170</v>
      </c>
      <c r="C82" s="617"/>
      <c r="D82" s="617"/>
      <c r="E82" s="481">
        <v>0</v>
      </c>
      <c r="F82" s="617"/>
      <c r="G82" s="617"/>
      <c r="H82" s="481">
        <v>0</v>
      </c>
      <c r="I82" s="477"/>
      <c r="J82" s="477"/>
      <c r="K82" s="1689">
        <f t="shared" si="11"/>
        <v>0</v>
      </c>
      <c r="L82" s="466">
        <v>0</v>
      </c>
    </row>
    <row r="83" spans="1:12" x14ac:dyDescent="0.2">
      <c r="A83" s="1528" t="s">
        <v>722</v>
      </c>
      <c r="B83" s="629">
        <v>4190</v>
      </c>
      <c r="C83" s="617"/>
      <c r="D83" s="617"/>
      <c r="E83" s="481">
        <v>0</v>
      </c>
      <c r="F83" s="617"/>
      <c r="G83" s="617"/>
      <c r="H83" s="481">
        <v>5489</v>
      </c>
      <c r="I83" s="477"/>
      <c r="J83" s="477"/>
      <c r="K83" s="1689">
        <f t="shared" si="11"/>
        <v>5489</v>
      </c>
      <c r="L83" s="466">
        <v>0</v>
      </c>
    </row>
    <row r="84" spans="1:12" ht="13.5" thickBot="1" x14ac:dyDescent="0.25">
      <c r="A84" s="1686" t="s">
        <v>1565</v>
      </c>
      <c r="B84" s="1696">
        <v>4100</v>
      </c>
      <c r="C84" s="617"/>
      <c r="D84" s="617"/>
      <c r="E84" s="1688">
        <f>SUM(E78:E83)</f>
        <v>0</v>
      </c>
      <c r="F84" s="617"/>
      <c r="G84" s="617"/>
      <c r="H84" s="1688">
        <f>SUM(H78:H83)</f>
        <v>6116</v>
      </c>
      <c r="I84" s="477"/>
      <c r="J84" s="477"/>
      <c r="K84" s="1688">
        <f>SUM(K78:K83)</f>
        <v>6116</v>
      </c>
      <c r="L84" s="1688">
        <f>SUM(L78:L83)</f>
        <v>356793</v>
      </c>
    </row>
    <row r="85" spans="1:12" ht="12.75" customHeight="1" thickTop="1" thickBot="1" x14ac:dyDescent="0.25">
      <c r="A85" s="1531" t="s">
        <v>273</v>
      </c>
      <c r="B85" s="635">
        <v>4210</v>
      </c>
      <c r="C85" s="617"/>
      <c r="D85" s="617"/>
      <c r="E85" s="636"/>
      <c r="F85" s="617"/>
      <c r="G85" s="617"/>
      <c r="H85" s="535">
        <v>97201</v>
      </c>
      <c r="I85" s="477"/>
      <c r="J85" s="477"/>
      <c r="K85" s="1695">
        <f>H85</f>
        <v>97201</v>
      </c>
      <c r="L85" s="530">
        <v>0</v>
      </c>
    </row>
    <row r="86" spans="1:12" ht="12.75" customHeight="1" thickTop="1" thickBot="1" x14ac:dyDescent="0.25">
      <c r="A86" s="1532" t="s">
        <v>723</v>
      </c>
      <c r="B86" s="637">
        <v>4220</v>
      </c>
      <c r="C86" s="617"/>
      <c r="D86" s="617"/>
      <c r="E86" s="638"/>
      <c r="F86" s="617"/>
      <c r="G86" s="617"/>
      <c r="H86" s="467">
        <v>145338</v>
      </c>
      <c r="I86" s="477"/>
      <c r="J86" s="477"/>
      <c r="K86" s="1695">
        <f t="shared" ref="K86:K98" si="12">H86</f>
        <v>145338</v>
      </c>
      <c r="L86" s="530">
        <v>0</v>
      </c>
    </row>
    <row r="87" spans="1:12" ht="14.25" thickTop="1" thickBot="1" x14ac:dyDescent="0.25">
      <c r="A87" s="1533" t="s">
        <v>724</v>
      </c>
      <c r="B87" s="639">
        <v>4230</v>
      </c>
      <c r="C87" s="617"/>
      <c r="D87" s="617"/>
      <c r="E87" s="638"/>
      <c r="F87" s="617"/>
      <c r="G87" s="617"/>
      <c r="H87" s="467">
        <v>0</v>
      </c>
      <c r="I87" s="477"/>
      <c r="J87" s="477"/>
      <c r="K87" s="1695">
        <f t="shared" si="12"/>
        <v>0</v>
      </c>
      <c r="L87" s="530">
        <v>0</v>
      </c>
    </row>
    <row r="88" spans="1:12" ht="12.75" customHeight="1" thickTop="1" thickBot="1" x14ac:dyDescent="0.25">
      <c r="A88" s="1533" t="s">
        <v>789</v>
      </c>
      <c r="B88" s="639">
        <v>4240</v>
      </c>
      <c r="C88" s="617"/>
      <c r="D88" s="617"/>
      <c r="E88" s="638"/>
      <c r="F88" s="617"/>
      <c r="G88" s="617"/>
      <c r="H88" s="467">
        <v>0</v>
      </c>
      <c r="I88" s="477"/>
      <c r="J88" s="477"/>
      <c r="K88" s="1695">
        <f t="shared" si="12"/>
        <v>0</v>
      </c>
      <c r="L88" s="530">
        <v>2293</v>
      </c>
    </row>
    <row r="89" spans="1:12" ht="12.75" customHeight="1" thickTop="1" thickBot="1" x14ac:dyDescent="0.25">
      <c r="A89" s="1533" t="s">
        <v>725</v>
      </c>
      <c r="B89" s="639">
        <v>4270</v>
      </c>
      <c r="C89" s="617"/>
      <c r="D89" s="617"/>
      <c r="E89" s="638"/>
      <c r="F89" s="617"/>
      <c r="G89" s="617"/>
      <c r="H89" s="467">
        <v>4500</v>
      </c>
      <c r="I89" s="477"/>
      <c r="J89" s="477"/>
      <c r="K89" s="1695">
        <f t="shared" si="12"/>
        <v>4500</v>
      </c>
      <c r="L89" s="530">
        <v>0</v>
      </c>
    </row>
    <row r="90" spans="1:12" ht="12.75" customHeight="1" thickTop="1" thickBot="1" x14ac:dyDescent="0.25">
      <c r="A90" s="1533" t="s">
        <v>710</v>
      </c>
      <c r="B90" s="639">
        <v>4280</v>
      </c>
      <c r="C90" s="617"/>
      <c r="D90" s="617"/>
      <c r="E90" s="638"/>
      <c r="F90" s="617"/>
      <c r="G90" s="617"/>
      <c r="H90" s="467">
        <v>0</v>
      </c>
      <c r="I90" s="477"/>
      <c r="J90" s="477"/>
      <c r="K90" s="1695">
        <f t="shared" si="12"/>
        <v>0</v>
      </c>
      <c r="L90" s="530">
        <v>0</v>
      </c>
    </row>
    <row r="91" spans="1:12" ht="12.75" customHeight="1" thickTop="1" thickBot="1" x14ac:dyDescent="0.25">
      <c r="A91" s="1533" t="s">
        <v>711</v>
      </c>
      <c r="B91" s="639">
        <v>4290</v>
      </c>
      <c r="C91" s="617"/>
      <c r="D91" s="617"/>
      <c r="E91" s="638"/>
      <c r="F91" s="617"/>
      <c r="G91" s="617"/>
      <c r="H91" s="467">
        <v>0</v>
      </c>
      <c r="I91" s="477"/>
      <c r="J91" s="477"/>
      <c r="K91" s="1695">
        <f t="shared" si="12"/>
        <v>0</v>
      </c>
      <c r="L91" s="530">
        <v>0</v>
      </c>
    </row>
    <row r="92" spans="1:12" ht="14.25" thickTop="1" thickBot="1" x14ac:dyDescent="0.25">
      <c r="A92" s="1698" t="s">
        <v>1641</v>
      </c>
      <c r="B92" s="1696">
        <v>4200</v>
      </c>
      <c r="C92" s="617"/>
      <c r="D92" s="617"/>
      <c r="E92" s="638"/>
      <c r="F92" s="617"/>
      <c r="G92" s="617"/>
      <c r="H92" s="1688">
        <f>SUM(H85:H91)</f>
        <v>247039</v>
      </c>
      <c r="I92" s="477"/>
      <c r="J92" s="477"/>
      <c r="K92" s="1695">
        <f t="shared" si="12"/>
        <v>247039</v>
      </c>
      <c r="L92" s="1688">
        <f>SUM(L85:L91)</f>
        <v>2293</v>
      </c>
    </row>
    <row r="93" spans="1:12" ht="14.25" thickTop="1" thickBot="1" x14ac:dyDescent="0.25">
      <c r="A93" s="1532" t="s">
        <v>712</v>
      </c>
      <c r="B93" s="640">
        <v>4310</v>
      </c>
      <c r="C93" s="617"/>
      <c r="D93" s="617"/>
      <c r="E93" s="638"/>
      <c r="F93" s="617"/>
      <c r="G93" s="617"/>
      <c r="H93" s="641">
        <v>0</v>
      </c>
      <c r="I93" s="477"/>
      <c r="J93" s="477"/>
      <c r="K93" s="1695">
        <f t="shared" si="12"/>
        <v>0</v>
      </c>
      <c r="L93" s="532">
        <v>0</v>
      </c>
    </row>
    <row r="94" spans="1:12" ht="12.75" customHeight="1" thickTop="1" thickBot="1" x14ac:dyDescent="0.25">
      <c r="A94" s="1533" t="s">
        <v>713</v>
      </c>
      <c r="B94" s="639">
        <v>4320</v>
      </c>
      <c r="C94" s="617"/>
      <c r="D94" s="617"/>
      <c r="E94" s="638"/>
      <c r="F94" s="617"/>
      <c r="G94" s="617"/>
      <c r="H94" s="467">
        <v>0</v>
      </c>
      <c r="I94" s="477"/>
      <c r="J94" s="477"/>
      <c r="K94" s="1695">
        <f t="shared" si="12"/>
        <v>0</v>
      </c>
      <c r="L94" s="530">
        <v>0</v>
      </c>
    </row>
    <row r="95" spans="1:12" ht="15" customHeight="1" thickTop="1" thickBot="1" x14ac:dyDescent="0.25">
      <c r="A95" s="1533" t="s">
        <v>1568</v>
      </c>
      <c r="B95" s="639">
        <v>4330</v>
      </c>
      <c r="C95" s="617"/>
      <c r="D95" s="617"/>
      <c r="E95" s="638"/>
      <c r="F95" s="617"/>
      <c r="G95" s="617"/>
      <c r="H95" s="467">
        <v>0</v>
      </c>
      <c r="I95" s="477"/>
      <c r="J95" s="477"/>
      <c r="K95" s="1695">
        <f t="shared" si="12"/>
        <v>0</v>
      </c>
      <c r="L95" s="530">
        <v>0</v>
      </c>
    </row>
    <row r="96" spans="1:12" ht="14.25" thickTop="1" thickBot="1" x14ac:dyDescent="0.25">
      <c r="A96" s="1533" t="s">
        <v>714</v>
      </c>
      <c r="B96" s="639">
        <v>4340</v>
      </c>
      <c r="C96" s="617"/>
      <c r="D96" s="617"/>
      <c r="E96" s="638"/>
      <c r="F96" s="617"/>
      <c r="G96" s="617"/>
      <c r="H96" s="467">
        <v>0</v>
      </c>
      <c r="I96" s="477"/>
      <c r="J96" s="477"/>
      <c r="K96" s="1695">
        <f t="shared" si="12"/>
        <v>0</v>
      </c>
      <c r="L96" s="530">
        <v>0</v>
      </c>
    </row>
    <row r="97" spans="1:14" ht="12.75" customHeight="1" thickTop="1" thickBot="1" x14ac:dyDescent="0.25">
      <c r="A97" s="1533" t="s">
        <v>787</v>
      </c>
      <c r="B97" s="639">
        <v>4370</v>
      </c>
      <c r="C97" s="617"/>
      <c r="D97" s="617"/>
      <c r="E97" s="638"/>
      <c r="F97" s="617"/>
      <c r="G97" s="617"/>
      <c r="H97" s="467">
        <v>0</v>
      </c>
      <c r="I97" s="477"/>
      <c r="J97" s="477"/>
      <c r="K97" s="1695">
        <f t="shared" si="12"/>
        <v>0</v>
      </c>
      <c r="L97" s="530">
        <v>0</v>
      </c>
    </row>
    <row r="98" spans="1:14" ht="14.25" thickTop="1" thickBot="1" x14ac:dyDescent="0.25">
      <c r="A98" s="1533" t="s">
        <v>788</v>
      </c>
      <c r="B98" s="639">
        <v>4380</v>
      </c>
      <c r="C98" s="617"/>
      <c r="D98" s="617"/>
      <c r="E98" s="642"/>
      <c r="F98" s="617"/>
      <c r="G98" s="617"/>
      <c r="H98" s="467">
        <v>0</v>
      </c>
      <c r="I98" s="477"/>
      <c r="J98" s="477"/>
      <c r="K98" s="1695">
        <f t="shared" si="12"/>
        <v>0</v>
      </c>
      <c r="L98" s="530">
        <v>0</v>
      </c>
    </row>
    <row r="99" spans="1:14" ht="14.25" thickTop="1" thickBot="1" x14ac:dyDescent="0.25">
      <c r="A99" s="1533" t="s">
        <v>385</v>
      </c>
      <c r="B99" s="639">
        <v>4390</v>
      </c>
      <c r="C99" s="617"/>
      <c r="D99" s="617"/>
      <c r="E99" s="532">
        <v>0</v>
      </c>
      <c r="F99" s="617"/>
      <c r="G99" s="617"/>
      <c r="H99" s="467">
        <v>0</v>
      </c>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0" t="s">
        <v>1569</v>
      </c>
      <c r="B101" s="643" t="s">
        <v>988</v>
      </c>
      <c r="C101" s="617"/>
      <c r="D101" s="617"/>
      <c r="E101" s="531">
        <v>0</v>
      </c>
      <c r="F101" s="617"/>
      <c r="G101" s="617"/>
      <c r="H101" s="531">
        <v>0</v>
      </c>
      <c r="I101" s="477"/>
      <c r="J101" s="477"/>
      <c r="K101" s="1697">
        <f>SUM(C101:J101)</f>
        <v>0</v>
      </c>
      <c r="L101" s="530">
        <v>0</v>
      </c>
    </row>
    <row r="102" spans="1:14" ht="12.75" customHeight="1" thickTop="1" thickBot="1" x14ac:dyDescent="0.25">
      <c r="A102" s="1686" t="s">
        <v>1567</v>
      </c>
      <c r="B102" s="1696">
        <v>4000</v>
      </c>
      <c r="C102" s="617"/>
      <c r="D102" s="617"/>
      <c r="E102" s="1695">
        <f>SUM(E84,E92,E100,E101)</f>
        <v>0</v>
      </c>
      <c r="F102" s="617"/>
      <c r="G102" s="617"/>
      <c r="H102" s="1695">
        <f>SUM(H84,H92,H100,H101)</f>
        <v>253155</v>
      </c>
      <c r="I102" s="477"/>
      <c r="J102" s="477"/>
      <c r="K102" s="1695">
        <f>SUM(K84,K92,K100,K101)</f>
        <v>253155</v>
      </c>
      <c r="L102" s="1695">
        <f>SUM(L84,L92,L100,L101)</f>
        <v>359086</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4"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4" t="s">
        <v>1232</v>
      </c>
      <c r="B107" s="615">
        <v>5130</v>
      </c>
      <c r="C107" s="617"/>
      <c r="D107" s="617"/>
      <c r="E107" s="617"/>
      <c r="F107" s="617"/>
      <c r="G107" s="617"/>
      <c r="H107" s="466">
        <v>0</v>
      </c>
      <c r="I107" s="468"/>
      <c r="J107" s="468"/>
      <c r="K107" s="1689">
        <f>H107</f>
        <v>0</v>
      </c>
      <c r="L107" s="466">
        <v>0</v>
      </c>
      <c r="M107" s="210"/>
      <c r="N107" s="210"/>
    </row>
    <row r="108" spans="1:14" s="598" customFormat="1" x14ac:dyDescent="0.2">
      <c r="A108" s="1524" t="s">
        <v>91</v>
      </c>
      <c r="B108" s="615" t="s">
        <v>610</v>
      </c>
      <c r="C108" s="617"/>
      <c r="D108" s="617"/>
      <c r="E108" s="617"/>
      <c r="F108" s="617"/>
      <c r="G108" s="617"/>
      <c r="H108" s="466">
        <v>0</v>
      </c>
      <c r="I108" s="468"/>
      <c r="J108" s="468"/>
      <c r="K108" s="1689">
        <f>H108</f>
        <v>0</v>
      </c>
      <c r="L108" s="466">
        <v>0</v>
      </c>
      <c r="M108" s="210"/>
      <c r="N108" s="210"/>
    </row>
    <row r="109" spans="1:14" s="598" customFormat="1" x14ac:dyDescent="0.2">
      <c r="A109" s="1524"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4" t="s">
        <v>386</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v>100000</v>
      </c>
      <c r="M113" s="614"/>
      <c r="N113" s="614"/>
    </row>
    <row r="114" spans="1:14" ht="12.75" customHeight="1" thickTop="1" thickBot="1" x14ac:dyDescent="0.25">
      <c r="A114" s="1686" t="s">
        <v>50</v>
      </c>
      <c r="B114" s="1700"/>
      <c r="C114" s="1688">
        <f>SUM(C33,C74,C75,C102,C112,C113)</f>
        <v>3770941</v>
      </c>
      <c r="D114" s="1688">
        <f t="shared" ref="D114:K114" si="13">SUM(D33,D74,D75,D102,D112,D113)</f>
        <v>388821</v>
      </c>
      <c r="E114" s="1688">
        <f t="shared" si="13"/>
        <v>322363</v>
      </c>
      <c r="F114" s="1688">
        <f t="shared" si="13"/>
        <v>358881</v>
      </c>
      <c r="G114" s="1688">
        <f t="shared" si="13"/>
        <v>56398</v>
      </c>
      <c r="H114" s="1688">
        <f>SUM(H33,H74,H75,H102,H112,H113)</f>
        <v>444909</v>
      </c>
      <c r="I114" s="1688">
        <f t="shared" si="13"/>
        <v>0</v>
      </c>
      <c r="J114" s="1688">
        <f t="shared" si="13"/>
        <v>0</v>
      </c>
      <c r="K114" s="1688">
        <f t="shared" si="13"/>
        <v>5342313</v>
      </c>
      <c r="L114" s="1688">
        <f>SUM(L33,L74,L75,L102,L112,L113)</f>
        <v>5445750</v>
      </c>
    </row>
    <row r="115" spans="1:14" ht="13.5" thickTop="1" x14ac:dyDescent="0.2">
      <c r="A115" s="2172" t="s">
        <v>1053</v>
      </c>
      <c r="B115" s="2173"/>
      <c r="C115" s="619"/>
      <c r="D115" s="619"/>
      <c r="E115" s="619"/>
      <c r="F115" s="619"/>
      <c r="G115" s="619"/>
      <c r="H115" s="619"/>
      <c r="I115" s="619"/>
      <c r="J115" s="619"/>
      <c r="K115" s="1702">
        <f>'Revenues 9-14'!C275-'Expenditures 15-22'!K114</f>
        <v>149250</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7" t="s">
        <v>314</v>
      </c>
      <c r="B117" s="2178"/>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8"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4" t="s">
        <v>1128</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4" t="s">
        <v>4</v>
      </c>
      <c r="B123" s="615">
        <v>2530</v>
      </c>
      <c r="C123" s="466">
        <v>0</v>
      </c>
      <c r="D123" s="466">
        <v>0</v>
      </c>
      <c r="E123" s="466">
        <v>0</v>
      </c>
      <c r="F123" s="466">
        <v>0</v>
      </c>
      <c r="G123" s="466">
        <v>265786</v>
      </c>
      <c r="H123" s="466">
        <v>0</v>
      </c>
      <c r="I123" s="466">
        <v>0</v>
      </c>
      <c r="J123" s="466">
        <v>0</v>
      </c>
      <c r="K123" s="1688">
        <f>SUM(C123:J123)</f>
        <v>265786</v>
      </c>
      <c r="L123" s="466">
        <v>280000</v>
      </c>
    </row>
    <row r="124" spans="1:14" ht="14.25" thickTop="1" thickBot="1" x14ac:dyDescent="0.25">
      <c r="A124" s="1524" t="s">
        <v>206</v>
      </c>
      <c r="B124" s="615">
        <v>2540</v>
      </c>
      <c r="C124" s="466">
        <v>199689</v>
      </c>
      <c r="D124" s="466">
        <v>31550</v>
      </c>
      <c r="E124" s="466">
        <v>122428</v>
      </c>
      <c r="F124" s="466">
        <v>142328</v>
      </c>
      <c r="G124" s="466">
        <v>129733</v>
      </c>
      <c r="H124" s="466">
        <v>0</v>
      </c>
      <c r="I124" s="466">
        <v>0</v>
      </c>
      <c r="J124" s="466">
        <v>0</v>
      </c>
      <c r="K124" s="1688">
        <f>SUM(C124:J124)</f>
        <v>625728</v>
      </c>
      <c r="L124" s="466">
        <v>503438</v>
      </c>
    </row>
    <row r="125" spans="1:14" ht="14.25" thickTop="1" thickBot="1" x14ac:dyDescent="0.25">
      <c r="A125" s="1524" t="s">
        <v>1010</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4"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743</v>
      </c>
      <c r="B127" s="1687" t="s">
        <v>35</v>
      </c>
      <c r="C127" s="1688">
        <f>SUM(C122:C126)</f>
        <v>199689</v>
      </c>
      <c r="D127" s="1688">
        <f t="shared" ref="D127:L127" si="14">SUM(D122:D126)</f>
        <v>31550</v>
      </c>
      <c r="E127" s="1688">
        <f t="shared" si="14"/>
        <v>122428</v>
      </c>
      <c r="F127" s="1688">
        <f t="shared" si="14"/>
        <v>142328</v>
      </c>
      <c r="G127" s="1688">
        <f t="shared" si="14"/>
        <v>395519</v>
      </c>
      <c r="H127" s="1688">
        <f t="shared" si="14"/>
        <v>0</v>
      </c>
      <c r="I127" s="1688">
        <f t="shared" si="14"/>
        <v>0</v>
      </c>
      <c r="J127" s="1688">
        <f t="shared" si="14"/>
        <v>0</v>
      </c>
      <c r="K127" s="1688">
        <f t="shared" si="14"/>
        <v>891514</v>
      </c>
      <c r="L127" s="1688">
        <f t="shared" si="14"/>
        <v>783438</v>
      </c>
    </row>
    <row r="128" spans="1:14" ht="12.75" customHeight="1" thickTop="1" thickBot="1" x14ac:dyDescent="0.25">
      <c r="A128" s="1531" t="s">
        <v>1037</v>
      </c>
      <c r="B128" s="655" t="s">
        <v>595</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865</v>
      </c>
      <c r="B129" s="1705" t="s">
        <v>590</v>
      </c>
      <c r="C129" s="1695">
        <f>SUM(C120,C127,C128)</f>
        <v>199689</v>
      </c>
      <c r="D129" s="1695">
        <f t="shared" ref="D129:L129" si="15">SUM(D120,D127,D128)</f>
        <v>31550</v>
      </c>
      <c r="E129" s="1695">
        <f t="shared" si="15"/>
        <v>122428</v>
      </c>
      <c r="F129" s="1695">
        <f t="shared" si="15"/>
        <v>142328</v>
      </c>
      <c r="G129" s="1695">
        <f t="shared" si="15"/>
        <v>395519</v>
      </c>
      <c r="H129" s="1695">
        <f t="shared" si="15"/>
        <v>0</v>
      </c>
      <c r="I129" s="1695">
        <f t="shared" si="15"/>
        <v>0</v>
      </c>
      <c r="J129" s="1695">
        <f t="shared" si="15"/>
        <v>0</v>
      </c>
      <c r="K129" s="1695">
        <f t="shared" si="15"/>
        <v>891514</v>
      </c>
      <c r="L129" s="1695">
        <f t="shared" si="15"/>
        <v>783438</v>
      </c>
    </row>
    <row r="130" spans="1:14" ht="15.75" customHeight="1" thickTop="1" thickBot="1" x14ac:dyDescent="0.25">
      <c r="A130" s="1630" t="s">
        <v>1096</v>
      </c>
      <c r="B130" s="1631" t="s">
        <v>596</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0" t="s">
        <v>517</v>
      </c>
      <c r="B133" s="1859" t="s">
        <v>1955</v>
      </c>
      <c r="C133" s="468"/>
      <c r="D133" s="468"/>
      <c r="E133" s="641" t="s">
        <v>1231</v>
      </c>
      <c r="F133" s="468"/>
      <c r="G133" s="468"/>
      <c r="H133" s="641" t="s">
        <v>1231</v>
      </c>
      <c r="I133" s="468"/>
      <c r="J133" s="468"/>
      <c r="K133" s="1840">
        <f>SUM(E133,H133)</f>
        <v>0</v>
      </c>
      <c r="L133" s="641">
        <v>0</v>
      </c>
      <c r="M133" s="206"/>
      <c r="N133" s="206"/>
    </row>
    <row r="134" spans="1:14" x14ac:dyDescent="0.2">
      <c r="A134" s="1524" t="s">
        <v>322</v>
      </c>
      <c r="B134" s="615">
        <v>4120</v>
      </c>
      <c r="C134" s="617"/>
      <c r="D134" s="617"/>
      <c r="E134" s="641">
        <v>0</v>
      </c>
      <c r="F134" s="617"/>
      <c r="G134" s="617"/>
      <c r="H134" s="641">
        <v>0</v>
      </c>
      <c r="I134" s="477"/>
      <c r="J134" s="617"/>
      <c r="K134" s="1690">
        <f>SUM(E134,H134)</f>
        <v>0</v>
      </c>
      <c r="L134" s="481">
        <v>0</v>
      </c>
    </row>
    <row r="135" spans="1:14" x14ac:dyDescent="0.2">
      <c r="A135" s="1524" t="s">
        <v>721</v>
      </c>
      <c r="B135" s="615">
        <v>4140</v>
      </c>
      <c r="C135" s="617"/>
      <c r="D135" s="617"/>
      <c r="E135" s="641">
        <v>0</v>
      </c>
      <c r="F135" s="617"/>
      <c r="G135" s="617"/>
      <c r="H135" s="641">
        <v>0</v>
      </c>
      <c r="I135" s="477"/>
      <c r="J135" s="617"/>
      <c r="K135" s="1690">
        <f>SUM(E135,H135)</f>
        <v>0</v>
      </c>
      <c r="L135" s="466">
        <v>0</v>
      </c>
    </row>
    <row r="136" spans="1:14" x14ac:dyDescent="0.2">
      <c r="A136" s="1528" t="s">
        <v>722</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0" t="s">
        <v>98</v>
      </c>
      <c r="B138" s="643" t="s">
        <v>988</v>
      </c>
      <c r="C138" s="617"/>
      <c r="D138" s="617"/>
      <c r="E138" s="576" t="s">
        <v>1231</v>
      </c>
      <c r="F138" s="617"/>
      <c r="G138" s="617"/>
      <c r="H138" s="576">
        <v>0</v>
      </c>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2" t="s">
        <v>1097</v>
      </c>
      <c r="B140" s="1633"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v>0</v>
      </c>
      <c r="I142" s="468"/>
      <c r="J142" s="617"/>
      <c r="K142" s="1690">
        <f>SUM(H142)</f>
        <v>0</v>
      </c>
      <c r="L142" s="481">
        <v>0</v>
      </c>
    </row>
    <row r="143" spans="1:14" x14ac:dyDescent="0.2">
      <c r="A143" s="1524" t="s">
        <v>90</v>
      </c>
      <c r="B143" s="615">
        <v>5120</v>
      </c>
      <c r="C143" s="617"/>
      <c r="D143" s="617"/>
      <c r="E143" s="617"/>
      <c r="F143" s="617"/>
      <c r="G143" s="617"/>
      <c r="H143" s="466">
        <v>0</v>
      </c>
      <c r="I143" s="468"/>
      <c r="J143" s="617"/>
      <c r="K143" s="1690">
        <f>SUM(H143)</f>
        <v>0</v>
      </c>
      <c r="L143" s="466">
        <v>0</v>
      </c>
    </row>
    <row r="144" spans="1:14" ht="12.75" customHeight="1" x14ac:dyDescent="0.2">
      <c r="A144" s="1524" t="s">
        <v>1232</v>
      </c>
      <c r="B144" s="629" t="s">
        <v>638</v>
      </c>
      <c r="C144" s="617"/>
      <c r="D144" s="617"/>
      <c r="E144" s="617"/>
      <c r="F144" s="617"/>
      <c r="G144" s="617"/>
      <c r="H144" s="466">
        <v>0</v>
      </c>
      <c r="I144" s="468"/>
      <c r="J144" s="617"/>
      <c r="K144" s="1690">
        <f>SUM(H144)</f>
        <v>0</v>
      </c>
      <c r="L144" s="466">
        <v>0</v>
      </c>
    </row>
    <row r="145" spans="1:14" x14ac:dyDescent="0.2">
      <c r="A145" s="1524" t="s">
        <v>91</v>
      </c>
      <c r="B145" s="615" t="s">
        <v>610</v>
      </c>
      <c r="C145" s="617"/>
      <c r="D145" s="617"/>
      <c r="E145" s="617"/>
      <c r="F145" s="617"/>
      <c r="G145" s="617"/>
      <c r="H145" s="466">
        <v>0</v>
      </c>
      <c r="I145" s="468"/>
      <c r="J145" s="617"/>
      <c r="K145" s="1690">
        <f>SUM(H145)</f>
        <v>0</v>
      </c>
      <c r="L145" s="466">
        <v>0</v>
      </c>
    </row>
    <row r="146" spans="1:14" ht="12.75" customHeight="1" x14ac:dyDescent="0.2">
      <c r="A146" s="1524" t="s">
        <v>640</v>
      </c>
      <c r="B146" s="615" t="s">
        <v>639</v>
      </c>
      <c r="C146" s="617"/>
      <c r="D146" s="617"/>
      <c r="E146" s="617"/>
      <c r="F146" s="617"/>
      <c r="G146" s="617"/>
      <c r="H146" s="466">
        <v>0</v>
      </c>
      <c r="I146" s="468"/>
      <c r="J146" s="617"/>
      <c r="K146" s="1690">
        <f>SUM(H146)</f>
        <v>0</v>
      </c>
      <c r="L146" s="466">
        <v>0</v>
      </c>
    </row>
    <row r="147" spans="1:14" ht="12.75" customHeight="1" thickBot="1" x14ac:dyDescent="0.25">
      <c r="A147" s="1535" t="s">
        <v>647</v>
      </c>
      <c r="B147" s="659"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1165</v>
      </c>
      <c r="B148" s="661" t="s">
        <v>38</v>
      </c>
      <c r="C148" s="617"/>
      <c r="D148" s="617"/>
      <c r="E148" s="617"/>
      <c r="F148" s="617"/>
      <c r="G148" s="617"/>
      <c r="H148" s="479">
        <v>0</v>
      </c>
      <c r="I148" s="468"/>
      <c r="J148" s="617"/>
      <c r="K148" s="1690">
        <f>SUM(H148)</f>
        <v>0</v>
      </c>
      <c r="L148" s="492"/>
    </row>
    <row r="149" spans="1:14" ht="12.75" customHeight="1" thickBot="1" x14ac:dyDescent="0.25">
      <c r="A149" s="1527"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6" t="s">
        <v>1098</v>
      </c>
      <c r="B150" s="1633" t="s">
        <v>916</v>
      </c>
      <c r="C150" s="617"/>
      <c r="D150" s="617"/>
      <c r="E150" s="617"/>
      <c r="F150" s="617"/>
      <c r="G150" s="617"/>
      <c r="H150" s="662"/>
      <c r="I150" s="521"/>
      <c r="J150" s="617"/>
      <c r="K150" s="624"/>
      <c r="L150" s="573">
        <v>5000</v>
      </c>
    </row>
    <row r="151" spans="1:14" ht="12.75" customHeight="1" thickTop="1" thickBot="1" x14ac:dyDescent="0.25">
      <c r="A151" s="2189" t="s">
        <v>641</v>
      </c>
      <c r="B151" s="2169"/>
      <c r="C151" s="1688">
        <f>SUM(C129,C130,C139,C149,C150)</f>
        <v>199689</v>
      </c>
      <c r="D151" s="1688">
        <f t="shared" ref="D151:K151" si="16">SUM(D129,D130,D139,D149,D150)</f>
        <v>31550</v>
      </c>
      <c r="E151" s="1688">
        <f t="shared" si="16"/>
        <v>122428</v>
      </c>
      <c r="F151" s="1688">
        <f t="shared" si="16"/>
        <v>142328</v>
      </c>
      <c r="G151" s="1688">
        <f t="shared" si="16"/>
        <v>395519</v>
      </c>
      <c r="H151" s="1688">
        <f t="shared" si="16"/>
        <v>0</v>
      </c>
      <c r="I151" s="1688">
        <f t="shared" si="16"/>
        <v>0</v>
      </c>
      <c r="J151" s="1688">
        <f t="shared" si="16"/>
        <v>0</v>
      </c>
      <c r="K151" s="1688">
        <f t="shared" si="16"/>
        <v>891514</v>
      </c>
      <c r="L151" s="1688">
        <f>SUM(L129,L130,L139,L149,L150)</f>
        <v>788438</v>
      </c>
    </row>
    <row r="152" spans="1:14" ht="12.75" customHeight="1" thickTop="1" x14ac:dyDescent="0.2">
      <c r="A152" s="2192" t="s">
        <v>1240</v>
      </c>
      <c r="B152" s="2193"/>
      <c r="C152" s="619"/>
      <c r="D152" s="619"/>
      <c r="E152" s="619"/>
      <c r="F152" s="619"/>
      <c r="G152" s="619"/>
      <c r="H152" s="619"/>
      <c r="I152" s="619"/>
      <c r="J152" s="617"/>
      <c r="K152" s="1702">
        <f>'Revenues 9-14'!D275-'Expenditures 15-22'!K151</f>
        <v>-217540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7" t="s">
        <v>642</v>
      </c>
      <c r="B154" s="2179"/>
      <c r="C154" s="1646"/>
      <c r="D154" s="1647"/>
      <c r="E154" s="1647"/>
      <c r="F154" s="1647"/>
      <c r="G154" s="1647"/>
      <c r="H154" s="1647"/>
      <c r="I154" s="1647"/>
      <c r="J154" s="1647"/>
      <c r="K154" s="1647"/>
      <c r="L154" s="1648"/>
      <c r="M154" s="667"/>
      <c r="N154" s="667"/>
    </row>
    <row r="155" spans="1:14" s="621" customFormat="1" ht="15.75" customHeight="1" thickBot="1" x14ac:dyDescent="0.25">
      <c r="A155" s="1637" t="s">
        <v>83</v>
      </c>
      <c r="B155" s="1638"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1956</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1955</v>
      </c>
      <c r="C157" s="617"/>
      <c r="D157" s="617"/>
      <c r="E157" s="617"/>
      <c r="F157" s="617"/>
      <c r="G157" s="617"/>
      <c r="H157" s="641">
        <v>0</v>
      </c>
      <c r="I157" s="617"/>
      <c r="J157" s="617"/>
      <c r="K157" s="1689">
        <f>H157</f>
        <v>0</v>
      </c>
      <c r="L157" s="467">
        <v>0</v>
      </c>
      <c r="M157" s="620"/>
      <c r="N157" s="620"/>
    </row>
    <row r="158" spans="1:14" s="621" customFormat="1" ht="12" x14ac:dyDescent="0.2">
      <c r="A158" s="1845" t="s">
        <v>322</v>
      </c>
      <c r="B158" s="1846" t="s">
        <v>1957</v>
      </c>
      <c r="C158" s="617"/>
      <c r="D158" s="617"/>
      <c r="E158" s="617"/>
      <c r="F158" s="617"/>
      <c r="G158" s="617"/>
      <c r="H158" s="467" t="s">
        <v>1231</v>
      </c>
      <c r="I158" s="617"/>
      <c r="J158" s="617"/>
      <c r="K158" s="1689" t="str">
        <f>H158</f>
        <v xml:space="preserve"> </v>
      </c>
      <c r="L158" s="467">
        <v>0</v>
      </c>
      <c r="M158" s="620"/>
      <c r="N158" s="620"/>
    </row>
    <row r="159" spans="1:14" s="621" customFormat="1" ht="12" x14ac:dyDescent="0.2">
      <c r="A159" s="1845" t="s">
        <v>1958</v>
      </c>
      <c r="B159" s="1846" t="s">
        <v>579</v>
      </c>
      <c r="C159" s="617"/>
      <c r="D159" s="617"/>
      <c r="E159" s="617"/>
      <c r="F159" s="617"/>
      <c r="G159" s="617"/>
      <c r="H159" s="467" t="s">
        <v>1231</v>
      </c>
      <c r="I159" s="617"/>
      <c r="J159" s="617"/>
      <c r="K159" s="1689" t="str">
        <f>H159</f>
        <v xml:space="preserve"> </v>
      </c>
      <c r="L159" s="467">
        <v>0</v>
      </c>
      <c r="M159" s="620"/>
      <c r="N159" s="620"/>
    </row>
    <row r="160" spans="1:14" s="621" customFormat="1" ht="15.75" customHeight="1" thickBot="1" x14ac:dyDescent="0.25">
      <c r="A160" s="1847" t="s">
        <v>1959</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v>0</v>
      </c>
      <c r="I163" s="617"/>
      <c r="J163" s="617"/>
      <c r="K163" s="1689">
        <f>SUM(C163:J163)</f>
        <v>0</v>
      </c>
      <c r="L163" s="466">
        <v>0</v>
      </c>
    </row>
    <row r="164" spans="1:14" x14ac:dyDescent="0.2">
      <c r="A164" s="1524" t="s">
        <v>90</v>
      </c>
      <c r="B164" s="615">
        <v>5120</v>
      </c>
      <c r="C164" s="617"/>
      <c r="D164" s="617"/>
      <c r="E164" s="617"/>
      <c r="F164" s="617"/>
      <c r="G164" s="617"/>
      <c r="H164" s="466">
        <v>0</v>
      </c>
      <c r="I164" s="617"/>
      <c r="J164" s="617"/>
      <c r="K164" s="1689">
        <f>SUM(C164:J164)</f>
        <v>0</v>
      </c>
      <c r="L164" s="466">
        <v>0</v>
      </c>
    </row>
    <row r="165" spans="1:14" ht="12.75" customHeight="1" x14ac:dyDescent="0.2">
      <c r="A165" s="1524" t="s">
        <v>1232</v>
      </c>
      <c r="B165" s="615" t="s">
        <v>638</v>
      </c>
      <c r="C165" s="617"/>
      <c r="D165" s="617"/>
      <c r="E165" s="617"/>
      <c r="F165" s="617"/>
      <c r="G165" s="617"/>
      <c r="H165" s="466">
        <v>0</v>
      </c>
      <c r="I165" s="617"/>
      <c r="J165" s="617"/>
      <c r="K165" s="1689">
        <f>SUM(C165:J165)</f>
        <v>0</v>
      </c>
      <c r="L165" s="466">
        <v>0</v>
      </c>
    </row>
    <row r="166" spans="1:14" x14ac:dyDescent="0.2">
      <c r="A166" s="1524" t="s">
        <v>91</v>
      </c>
      <c r="B166" s="629" t="s">
        <v>610</v>
      </c>
      <c r="C166" s="617"/>
      <c r="D166" s="617"/>
      <c r="E166" s="617"/>
      <c r="F166" s="617"/>
      <c r="G166" s="617"/>
      <c r="H166" s="466">
        <v>0</v>
      </c>
      <c r="I166" s="617"/>
      <c r="J166" s="617"/>
      <c r="K166" s="1689">
        <f>SUM(C166:J166)</f>
        <v>0</v>
      </c>
      <c r="L166" s="466">
        <v>0</v>
      </c>
    </row>
    <row r="167" spans="1:14" ht="12.75" customHeight="1" x14ac:dyDescent="0.2">
      <c r="A167" s="1524" t="s">
        <v>640</v>
      </c>
      <c r="B167" s="615" t="s">
        <v>639</v>
      </c>
      <c r="C167" s="617"/>
      <c r="D167" s="617"/>
      <c r="E167" s="617"/>
      <c r="F167" s="617"/>
      <c r="G167" s="617"/>
      <c r="H167" s="466">
        <v>0</v>
      </c>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83698</v>
      </c>
      <c r="I169" s="617"/>
      <c r="J169" s="617"/>
      <c r="K169" s="1689">
        <f>SUM(C169:H169)</f>
        <v>83698</v>
      </c>
      <c r="L169" s="656">
        <v>81500</v>
      </c>
    </row>
    <row r="170" spans="1:14" ht="33.75" customHeight="1" x14ac:dyDescent="0.2">
      <c r="A170" s="669" t="s">
        <v>1769</v>
      </c>
      <c r="B170" s="671" t="s">
        <v>31</v>
      </c>
      <c r="C170" s="617"/>
      <c r="D170" s="617"/>
      <c r="E170" s="617"/>
      <c r="F170" s="617"/>
      <c r="G170" s="617"/>
      <c r="H170" s="569">
        <v>826536</v>
      </c>
      <c r="I170" s="617"/>
      <c r="J170" s="617"/>
      <c r="K170" s="1689">
        <f>SUM(C170:J170)</f>
        <v>826536</v>
      </c>
      <c r="L170" s="569">
        <v>810000</v>
      </c>
    </row>
    <row r="171" spans="1:14" ht="15.75" customHeight="1" x14ac:dyDescent="0.2">
      <c r="A171" s="622" t="s">
        <v>790</v>
      </c>
      <c r="B171" s="672" t="s">
        <v>86</v>
      </c>
      <c r="C171" s="617"/>
      <c r="D171" s="617"/>
      <c r="E171" s="466">
        <v>0</v>
      </c>
      <c r="F171" s="617"/>
      <c r="G171" s="617"/>
      <c r="H171" s="569">
        <v>0</v>
      </c>
      <c r="I171" s="477"/>
      <c r="J171" s="617"/>
      <c r="K171" s="1689">
        <f>SUM(C171:J171)</f>
        <v>0</v>
      </c>
      <c r="L171" s="569">
        <v>0</v>
      </c>
    </row>
    <row r="172" spans="1:14" ht="12.75" customHeight="1" thickBot="1" x14ac:dyDescent="0.25">
      <c r="A172" s="1686" t="s">
        <v>659</v>
      </c>
      <c r="B172" s="1687" t="s">
        <v>513</v>
      </c>
      <c r="C172" s="617"/>
      <c r="D172" s="617"/>
      <c r="E172" s="1695">
        <f>SUM(E168,E169,E170,E171)</f>
        <v>0</v>
      </c>
      <c r="F172" s="617"/>
      <c r="G172" s="617"/>
      <c r="H172" s="1695">
        <f>SUM(H168,H169,H170,H171)</f>
        <v>910234</v>
      </c>
      <c r="I172" s="638"/>
      <c r="J172" s="617"/>
      <c r="K172" s="1695">
        <f>SUM(K168,K169,K170,K171)</f>
        <v>910234</v>
      </c>
      <c r="L172" s="1695">
        <f>SUM(L168,L169,L170,L171)</f>
        <v>891500</v>
      </c>
    </row>
    <row r="173" spans="1:14" ht="15.75" customHeight="1" thickTop="1" thickBot="1" x14ac:dyDescent="0.25">
      <c r="A173" s="1639" t="s">
        <v>87</v>
      </c>
      <c r="B173" s="1631" t="s">
        <v>916</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910234</v>
      </c>
      <c r="I174" s="638"/>
      <c r="J174" s="617"/>
      <c r="K174" s="1695">
        <f>SUM(K160,K172,K173)</f>
        <v>910234</v>
      </c>
      <c r="L174" s="1695">
        <f>SUM(L160,L172,L173)</f>
        <v>891500</v>
      </c>
    </row>
    <row r="175" spans="1:14" ht="13.5" thickTop="1" x14ac:dyDescent="0.2">
      <c r="A175" s="2172" t="s">
        <v>1053</v>
      </c>
      <c r="B175" s="2173"/>
      <c r="C175" s="617"/>
      <c r="D175" s="617"/>
      <c r="E175" s="617"/>
      <c r="F175" s="617"/>
      <c r="G175" s="617"/>
      <c r="H175" s="619"/>
      <c r="I175" s="617"/>
      <c r="J175" s="617"/>
      <c r="K175" s="1702">
        <f>'Revenues 9-14'!E275-'Expenditures 15-22'!K174</f>
        <v>-4663</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4" customFormat="1" ht="15.75" customHeight="1" x14ac:dyDescent="0.2">
      <c r="A178" s="1640" t="s">
        <v>995</v>
      </c>
      <c r="B178" s="1641"/>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4"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4" t="s">
        <v>1010</v>
      </c>
      <c r="B182" s="615">
        <v>2550</v>
      </c>
      <c r="C182" s="466">
        <v>168503</v>
      </c>
      <c r="D182" s="466">
        <v>5590</v>
      </c>
      <c r="E182" s="466">
        <v>203029</v>
      </c>
      <c r="F182" s="466">
        <v>55409</v>
      </c>
      <c r="G182" s="466">
        <v>0</v>
      </c>
      <c r="H182" s="466">
        <v>0</v>
      </c>
      <c r="I182" s="466">
        <v>0</v>
      </c>
      <c r="J182" s="466">
        <v>0</v>
      </c>
      <c r="K182" s="1689">
        <f>SUM(C182:J182)</f>
        <v>432531</v>
      </c>
      <c r="L182" s="466">
        <v>431770</v>
      </c>
    </row>
    <row r="183" spans="1:14" ht="12.75" customHeight="1" thickBot="1" x14ac:dyDescent="0.25">
      <c r="A183" s="1529" t="s">
        <v>1037</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865</v>
      </c>
      <c r="B184" s="1687" t="s">
        <v>590</v>
      </c>
      <c r="C184" s="1695">
        <f>SUM(C180,C182,C183)</f>
        <v>168503</v>
      </c>
      <c r="D184" s="1695">
        <f t="shared" ref="D184:J184" si="17">SUM(D180,D182,D183)</f>
        <v>5590</v>
      </c>
      <c r="E184" s="1695">
        <f t="shared" si="17"/>
        <v>203029</v>
      </c>
      <c r="F184" s="1695">
        <f t="shared" si="17"/>
        <v>55409</v>
      </c>
      <c r="G184" s="1695">
        <f t="shared" si="17"/>
        <v>0</v>
      </c>
      <c r="H184" s="1695">
        <f t="shared" si="17"/>
        <v>0</v>
      </c>
      <c r="I184" s="1695">
        <f t="shared" si="17"/>
        <v>0</v>
      </c>
      <c r="J184" s="1695">
        <f t="shared" si="17"/>
        <v>0</v>
      </c>
      <c r="K184" s="1695">
        <f>SUM(K180,K182,K183)</f>
        <v>432531</v>
      </c>
      <c r="L184" s="1695">
        <f>SUM(L180, L182:L183)</f>
        <v>431770</v>
      </c>
    </row>
    <row r="185" spans="1:14" ht="15.75" customHeight="1" thickTop="1" thickBot="1" x14ac:dyDescent="0.25">
      <c r="A185" s="1642" t="s">
        <v>996</v>
      </c>
      <c r="B185" s="1631">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6" t="s">
        <v>93</v>
      </c>
      <c r="B186" s="1629"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4" t="s">
        <v>517</v>
      </c>
      <c r="B188" s="615">
        <v>4110</v>
      </c>
      <c r="C188" s="617"/>
      <c r="D188" s="617"/>
      <c r="E188" s="466">
        <v>0</v>
      </c>
      <c r="F188" s="617"/>
      <c r="G188" s="617"/>
      <c r="H188" s="466">
        <v>0</v>
      </c>
      <c r="I188" s="477"/>
      <c r="J188" s="617"/>
      <c r="K188" s="1689">
        <f t="shared" ref="K188:K193" si="18">SUM(E188,H188)</f>
        <v>0</v>
      </c>
      <c r="L188" s="466">
        <v>0</v>
      </c>
    </row>
    <row r="189" spans="1:14" x14ac:dyDescent="0.2">
      <c r="A189" s="1524" t="s">
        <v>322</v>
      </c>
      <c r="B189" s="615">
        <v>4120</v>
      </c>
      <c r="C189" s="617"/>
      <c r="D189" s="617"/>
      <c r="E189" s="466">
        <v>0</v>
      </c>
      <c r="F189" s="617"/>
      <c r="G189" s="617"/>
      <c r="H189" s="466">
        <v>0</v>
      </c>
      <c r="I189" s="477"/>
      <c r="J189" s="617"/>
      <c r="K189" s="1689">
        <f t="shared" si="18"/>
        <v>0</v>
      </c>
      <c r="L189" s="466">
        <v>0</v>
      </c>
    </row>
    <row r="190" spans="1:14" x14ac:dyDescent="0.2">
      <c r="A190" s="1524" t="s">
        <v>323</v>
      </c>
      <c r="B190" s="629">
        <v>4130</v>
      </c>
      <c r="C190" s="617"/>
      <c r="D190" s="617"/>
      <c r="E190" s="466">
        <v>0</v>
      </c>
      <c r="F190" s="617"/>
      <c r="G190" s="617"/>
      <c r="H190" s="466">
        <v>0</v>
      </c>
      <c r="I190" s="477"/>
      <c r="J190" s="617"/>
      <c r="K190" s="1689">
        <f t="shared" si="18"/>
        <v>0</v>
      </c>
      <c r="L190" s="466">
        <v>0</v>
      </c>
    </row>
    <row r="191" spans="1:14" x14ac:dyDescent="0.2">
      <c r="A191" s="1524" t="s">
        <v>721</v>
      </c>
      <c r="B191" s="615">
        <v>4140</v>
      </c>
      <c r="C191" s="617"/>
      <c r="D191" s="617"/>
      <c r="E191" s="466">
        <v>0</v>
      </c>
      <c r="F191" s="617"/>
      <c r="G191" s="617"/>
      <c r="H191" s="466">
        <v>0</v>
      </c>
      <c r="I191" s="477"/>
      <c r="J191" s="617"/>
      <c r="K191" s="1689">
        <f t="shared" si="18"/>
        <v>0</v>
      </c>
      <c r="L191" s="466">
        <v>0</v>
      </c>
    </row>
    <row r="192" spans="1:14" x14ac:dyDescent="0.2">
      <c r="A192" s="1524" t="s">
        <v>88</v>
      </c>
      <c r="B192" s="615">
        <v>4170</v>
      </c>
      <c r="C192" s="617"/>
      <c r="D192" s="617"/>
      <c r="E192" s="466">
        <v>0</v>
      </c>
      <c r="F192" s="617"/>
      <c r="G192" s="617"/>
      <c r="H192" s="466">
        <v>0</v>
      </c>
      <c r="I192" s="477"/>
      <c r="J192" s="617"/>
      <c r="K192" s="1689">
        <f t="shared" si="18"/>
        <v>0</v>
      </c>
      <c r="L192" s="466">
        <v>0</v>
      </c>
    </row>
    <row r="193" spans="1:14" x14ac:dyDescent="0.2">
      <c r="A193" s="1528" t="s">
        <v>722</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988</v>
      </c>
      <c r="C195" s="617"/>
      <c r="D195" s="617"/>
      <c r="E195" s="656" t="s">
        <v>1231</v>
      </c>
      <c r="F195" s="617"/>
      <c r="G195" s="617"/>
      <c r="H195" s="656" t="s">
        <v>1231</v>
      </c>
      <c r="I195" s="477"/>
      <c r="J195" s="617"/>
      <c r="K195" s="1703">
        <f>SUM(E195,H195)</f>
        <v>0</v>
      </c>
      <c r="L195" s="656">
        <v>0</v>
      </c>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2" t="s">
        <v>997</v>
      </c>
      <c r="B197" s="1629"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4" t="s">
        <v>89</v>
      </c>
      <c r="B199" s="615">
        <v>5110</v>
      </c>
      <c r="C199" s="617"/>
      <c r="D199" s="617"/>
      <c r="E199" s="617"/>
      <c r="F199" s="617"/>
      <c r="G199" s="617"/>
      <c r="H199" s="466">
        <v>0</v>
      </c>
      <c r="I199" s="617"/>
      <c r="J199" s="617"/>
      <c r="K199" s="1689">
        <f>SUM(H199)</f>
        <v>0</v>
      </c>
      <c r="L199" s="466">
        <v>0</v>
      </c>
    </row>
    <row r="200" spans="1:14" x14ac:dyDescent="0.2">
      <c r="A200" s="1524" t="s">
        <v>90</v>
      </c>
      <c r="B200" s="615">
        <v>5120</v>
      </c>
      <c r="C200" s="617"/>
      <c r="D200" s="617"/>
      <c r="E200" s="617"/>
      <c r="F200" s="617"/>
      <c r="G200" s="617"/>
      <c r="H200" s="466">
        <v>0</v>
      </c>
      <c r="I200" s="617"/>
      <c r="J200" s="617"/>
      <c r="K200" s="1689">
        <f>SUM(H200)</f>
        <v>0</v>
      </c>
      <c r="L200" s="466">
        <v>0</v>
      </c>
    </row>
    <row r="201" spans="1:14" ht="12.75" customHeight="1" x14ac:dyDescent="0.2">
      <c r="A201" s="1524" t="s">
        <v>1232</v>
      </c>
      <c r="B201" s="629" t="s">
        <v>638</v>
      </c>
      <c r="C201" s="617"/>
      <c r="D201" s="617"/>
      <c r="E201" s="617"/>
      <c r="F201" s="617"/>
      <c r="G201" s="617"/>
      <c r="H201" s="466" t="s">
        <v>1231</v>
      </c>
      <c r="I201" s="617"/>
      <c r="J201" s="617"/>
      <c r="K201" s="1689">
        <f>SUM(H201)</f>
        <v>0</v>
      </c>
      <c r="L201" s="466">
        <v>0</v>
      </c>
    </row>
    <row r="202" spans="1:14" x14ac:dyDescent="0.2">
      <c r="A202" s="1524" t="s">
        <v>91</v>
      </c>
      <c r="B202" s="615" t="s">
        <v>610</v>
      </c>
      <c r="C202" s="617"/>
      <c r="D202" s="617"/>
      <c r="E202" s="617"/>
      <c r="F202" s="617"/>
      <c r="G202" s="617"/>
      <c r="H202" s="466">
        <v>0</v>
      </c>
      <c r="I202" s="617"/>
      <c r="J202" s="617"/>
      <c r="K202" s="1689">
        <f>SUM(H202)</f>
        <v>0</v>
      </c>
      <c r="L202" s="466">
        <v>0</v>
      </c>
    </row>
    <row r="203" spans="1:14" x14ac:dyDescent="0.2">
      <c r="A203" s="1536" t="s">
        <v>640</v>
      </c>
      <c r="B203" s="615" t="s">
        <v>639</v>
      </c>
      <c r="C203" s="617"/>
      <c r="D203" s="617"/>
      <c r="E203" s="617"/>
      <c r="F203" s="617"/>
      <c r="G203" s="617"/>
      <c r="H203" s="471">
        <v>0</v>
      </c>
      <c r="I203" s="617"/>
      <c r="J203" s="617"/>
      <c r="K203" s="1689">
        <f>SUM(H203)</f>
        <v>0</v>
      </c>
      <c r="L203" s="471">
        <v>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t="s">
        <v>1231</v>
      </c>
      <c r="I205" s="617"/>
      <c r="J205" s="617"/>
      <c r="K205" s="1703">
        <f>SUM(H205)</f>
        <v>0</v>
      </c>
      <c r="L205" s="535">
        <v>0</v>
      </c>
    </row>
    <row r="206" spans="1:14" ht="30" customHeight="1" x14ac:dyDescent="0.2">
      <c r="A206" s="681" t="s">
        <v>1770</v>
      </c>
      <c r="B206" s="672" t="s">
        <v>31</v>
      </c>
      <c r="C206" s="617"/>
      <c r="D206" s="617"/>
      <c r="E206" s="617"/>
      <c r="F206" s="617"/>
      <c r="G206" s="617"/>
      <c r="H206" s="466">
        <v>0</v>
      </c>
      <c r="I206" s="617"/>
      <c r="J206" s="617"/>
      <c r="K206" s="1689">
        <f>SUM(H206)</f>
        <v>0</v>
      </c>
      <c r="L206" s="466">
        <v>0</v>
      </c>
    </row>
    <row r="207" spans="1:14" ht="15.75" customHeight="1" x14ac:dyDescent="0.2">
      <c r="A207" s="622" t="s">
        <v>790</v>
      </c>
      <c r="B207" s="672" t="s">
        <v>86</v>
      </c>
      <c r="C207" s="617"/>
      <c r="D207" s="617"/>
      <c r="E207" s="617"/>
      <c r="F207" s="617"/>
      <c r="G207" s="617"/>
      <c r="H207" s="467">
        <v>0</v>
      </c>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v>10000</v>
      </c>
    </row>
    <row r="210" spans="1:14" ht="12.75" customHeight="1" thickTop="1" thickBot="1" x14ac:dyDescent="0.25">
      <c r="A210" s="1710" t="s">
        <v>295</v>
      </c>
      <c r="B210" s="1711"/>
      <c r="C210" s="1688">
        <f>SUM(C184,C185)</f>
        <v>168503</v>
      </c>
      <c r="D210" s="1688">
        <f>SUM(D184,D185)</f>
        <v>5590</v>
      </c>
      <c r="E210" s="1688">
        <f>SUM(E184,E185,E196)</f>
        <v>203029</v>
      </c>
      <c r="F210" s="1688">
        <f>SUM(F184,F185)</f>
        <v>55409</v>
      </c>
      <c r="G210" s="1688">
        <f>SUM(G184,G185)</f>
        <v>0</v>
      </c>
      <c r="H210" s="1688">
        <f>SUM(H184,H185,H196,H208,H209)</f>
        <v>0</v>
      </c>
      <c r="I210" s="1688">
        <f>SUM(I184,I185)</f>
        <v>0</v>
      </c>
      <c r="J210" s="1688">
        <f>SUM(J184,J185)</f>
        <v>0</v>
      </c>
      <c r="K210" s="1689">
        <f>SUM(K184,K185,K196,K208,K209)</f>
        <v>432531</v>
      </c>
      <c r="L210" s="1688">
        <f>SUM(L184,L185,L196,L208,L209)</f>
        <v>441770</v>
      </c>
    </row>
    <row r="211" spans="1:14" ht="13.5" thickTop="1" x14ac:dyDescent="0.2">
      <c r="A211" s="2172" t="s">
        <v>1053</v>
      </c>
      <c r="B211" s="2173"/>
      <c r="C211" s="619"/>
      <c r="D211" s="619"/>
      <c r="E211" s="619"/>
      <c r="F211" s="619"/>
      <c r="G211" s="619"/>
      <c r="H211" s="619"/>
      <c r="I211" s="617"/>
      <c r="J211" s="617"/>
      <c r="K211" s="1702">
        <f>'Revenues 9-14'!F275-'Expenditures 15-22'!K210</f>
        <v>11765</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4" t="s">
        <v>1022</v>
      </c>
      <c r="B213" s="2195"/>
      <c r="C213" s="1571"/>
      <c r="D213" s="1572"/>
      <c r="E213" s="1572"/>
      <c r="F213" s="1572"/>
      <c r="G213" s="1572"/>
      <c r="H213" s="1572"/>
      <c r="I213" s="1572"/>
      <c r="J213" s="1572"/>
      <c r="K213" s="1572"/>
      <c r="L213" s="1573"/>
      <c r="M213" s="610"/>
      <c r="N213" s="610"/>
    </row>
    <row r="214" spans="1:14" s="674" customFormat="1" ht="15.75" customHeight="1" x14ac:dyDescent="0.2">
      <c r="A214" s="1643" t="s">
        <v>928</v>
      </c>
      <c r="B214" s="1635" t="s">
        <v>591</v>
      </c>
      <c r="C214" s="617"/>
      <c r="D214" s="624"/>
      <c r="E214" s="617"/>
      <c r="F214" s="617"/>
      <c r="G214" s="617"/>
      <c r="H214" s="617"/>
      <c r="I214" s="617"/>
      <c r="J214" s="617"/>
      <c r="K214" s="624"/>
      <c r="L214" s="624"/>
      <c r="M214" s="665"/>
      <c r="N214" s="665"/>
    </row>
    <row r="215" spans="1:14" x14ac:dyDescent="0.2">
      <c r="A215" s="1524" t="s">
        <v>1018</v>
      </c>
      <c r="B215" s="615">
        <v>1100</v>
      </c>
      <c r="C215" s="617"/>
      <c r="D215" s="466">
        <v>28191</v>
      </c>
      <c r="E215" s="617"/>
      <c r="F215" s="617"/>
      <c r="G215" s="617"/>
      <c r="H215" s="617"/>
      <c r="I215" s="617"/>
      <c r="J215" s="617"/>
      <c r="K215" s="1689">
        <f>D215</f>
        <v>28191</v>
      </c>
      <c r="L215" s="466">
        <v>52650</v>
      </c>
    </row>
    <row r="216" spans="1:14" x14ac:dyDescent="0.2">
      <c r="A216" s="1524" t="s">
        <v>165</v>
      </c>
      <c r="B216" s="615" t="s">
        <v>1024</v>
      </c>
      <c r="C216" s="617"/>
      <c r="D216" s="467">
        <v>10697</v>
      </c>
      <c r="E216" s="617"/>
      <c r="F216" s="617"/>
      <c r="G216" s="617"/>
      <c r="H216" s="617"/>
      <c r="I216" s="617"/>
      <c r="J216" s="617"/>
      <c r="K216" s="1689">
        <f t="shared" ref="K216:K228" si="19">D216</f>
        <v>10697</v>
      </c>
      <c r="L216" s="466">
        <v>8600</v>
      </c>
    </row>
    <row r="217" spans="1:14" x14ac:dyDescent="0.2">
      <c r="A217" s="1524" t="s">
        <v>166</v>
      </c>
      <c r="B217" s="615">
        <v>1200</v>
      </c>
      <c r="C217" s="617"/>
      <c r="D217" s="466">
        <v>26259</v>
      </c>
      <c r="E217" s="617"/>
      <c r="F217" s="617"/>
      <c r="G217" s="617"/>
      <c r="H217" s="617"/>
      <c r="I217" s="617"/>
      <c r="J217" s="617"/>
      <c r="K217" s="1689">
        <f t="shared" si="19"/>
        <v>26259</v>
      </c>
      <c r="L217" s="466">
        <v>24760</v>
      </c>
    </row>
    <row r="218" spans="1:14" x14ac:dyDescent="0.2">
      <c r="A218" s="1524" t="s">
        <v>296</v>
      </c>
      <c r="B218" s="615" t="s">
        <v>1025</v>
      </c>
      <c r="C218" s="617"/>
      <c r="D218" s="467">
        <v>0</v>
      </c>
      <c r="E218" s="617"/>
      <c r="F218" s="617"/>
      <c r="G218" s="617"/>
      <c r="H218" s="617"/>
      <c r="I218" s="617"/>
      <c r="J218" s="617"/>
      <c r="K218" s="1689">
        <f t="shared" si="19"/>
        <v>0</v>
      </c>
      <c r="L218" s="466">
        <v>0</v>
      </c>
    </row>
    <row r="219" spans="1:14" x14ac:dyDescent="0.2">
      <c r="A219" s="1524" t="s">
        <v>297</v>
      </c>
      <c r="B219" s="615">
        <v>1250</v>
      </c>
      <c r="C219" s="617"/>
      <c r="D219" s="466">
        <v>471</v>
      </c>
      <c r="E219" s="617"/>
      <c r="F219" s="617"/>
      <c r="G219" s="617"/>
      <c r="H219" s="617"/>
      <c r="I219" s="617"/>
      <c r="J219" s="617"/>
      <c r="K219" s="1689">
        <f t="shared" si="19"/>
        <v>471</v>
      </c>
      <c r="L219" s="466">
        <v>1000</v>
      </c>
    </row>
    <row r="220" spans="1:14" x14ac:dyDescent="0.2">
      <c r="A220" s="1524" t="s">
        <v>298</v>
      </c>
      <c r="B220" s="615" t="s">
        <v>163</v>
      </c>
      <c r="C220" s="617"/>
      <c r="D220" s="467">
        <v>0</v>
      </c>
      <c r="E220" s="617"/>
      <c r="F220" s="617"/>
      <c r="G220" s="617"/>
      <c r="H220" s="617"/>
      <c r="I220" s="617"/>
      <c r="J220" s="617"/>
      <c r="K220" s="1689">
        <f t="shared" si="19"/>
        <v>0</v>
      </c>
      <c r="L220" s="466">
        <v>0</v>
      </c>
    </row>
    <row r="221" spans="1:14" x14ac:dyDescent="0.2">
      <c r="A221" s="1524" t="s">
        <v>1019</v>
      </c>
      <c r="B221" s="615">
        <v>1300</v>
      </c>
      <c r="C221" s="617"/>
      <c r="D221" s="466">
        <v>0</v>
      </c>
      <c r="E221" s="617"/>
      <c r="F221" s="617"/>
      <c r="G221" s="617"/>
      <c r="H221" s="617"/>
      <c r="I221" s="617"/>
      <c r="J221" s="617"/>
      <c r="K221" s="1689">
        <f t="shared" si="19"/>
        <v>0</v>
      </c>
      <c r="L221" s="466">
        <v>0</v>
      </c>
    </row>
    <row r="222" spans="1:14" x14ac:dyDescent="0.2">
      <c r="A222" s="1524" t="s">
        <v>747</v>
      </c>
      <c r="B222" s="615">
        <v>1400</v>
      </c>
      <c r="C222" s="617"/>
      <c r="D222" s="466">
        <v>728</v>
      </c>
      <c r="E222" s="617"/>
      <c r="F222" s="617"/>
      <c r="G222" s="617"/>
      <c r="H222" s="617"/>
      <c r="I222" s="617"/>
      <c r="J222" s="617"/>
      <c r="K222" s="1689">
        <f t="shared" si="19"/>
        <v>728</v>
      </c>
      <c r="L222" s="466">
        <v>1000</v>
      </c>
    </row>
    <row r="223" spans="1:14" x14ac:dyDescent="0.2">
      <c r="A223" s="1524" t="s">
        <v>1020</v>
      </c>
      <c r="B223" s="615">
        <v>1500</v>
      </c>
      <c r="C223" s="617"/>
      <c r="D223" s="466">
        <v>8291</v>
      </c>
      <c r="E223" s="617"/>
      <c r="F223" s="617"/>
      <c r="G223" s="617"/>
      <c r="H223" s="617"/>
      <c r="I223" s="617"/>
      <c r="J223" s="617"/>
      <c r="K223" s="1689">
        <f t="shared" si="19"/>
        <v>8291</v>
      </c>
      <c r="L223" s="466">
        <v>6700</v>
      </c>
    </row>
    <row r="224" spans="1:14" x14ac:dyDescent="0.2">
      <c r="A224" s="1524" t="s">
        <v>1021</v>
      </c>
      <c r="B224" s="615">
        <v>1600</v>
      </c>
      <c r="C224" s="617"/>
      <c r="D224" s="466">
        <v>0</v>
      </c>
      <c r="E224" s="617"/>
      <c r="F224" s="617"/>
      <c r="G224" s="617"/>
      <c r="H224" s="617"/>
      <c r="I224" s="617"/>
      <c r="J224" s="617"/>
      <c r="K224" s="1689">
        <f t="shared" si="19"/>
        <v>0</v>
      </c>
      <c r="L224" s="466">
        <v>0</v>
      </c>
    </row>
    <row r="225" spans="1:12" x14ac:dyDescent="0.2">
      <c r="A225" s="1524" t="s">
        <v>1044</v>
      </c>
      <c r="B225" s="615">
        <v>1650</v>
      </c>
      <c r="C225" s="617"/>
      <c r="D225" s="466">
        <v>0</v>
      </c>
      <c r="E225" s="617"/>
      <c r="F225" s="617"/>
      <c r="G225" s="617"/>
      <c r="H225" s="617"/>
      <c r="I225" s="617"/>
      <c r="J225" s="617"/>
      <c r="K225" s="1689">
        <f t="shared" si="19"/>
        <v>0</v>
      </c>
      <c r="L225" s="466">
        <v>0</v>
      </c>
    </row>
    <row r="226" spans="1:12" x14ac:dyDescent="0.2">
      <c r="A226" s="1524" t="s">
        <v>748</v>
      </c>
      <c r="B226" s="615" t="s">
        <v>164</v>
      </c>
      <c r="C226" s="617"/>
      <c r="D226" s="467">
        <v>169</v>
      </c>
      <c r="E226" s="617"/>
      <c r="F226" s="617"/>
      <c r="G226" s="617"/>
      <c r="H226" s="617"/>
      <c r="I226" s="617"/>
      <c r="J226" s="617"/>
      <c r="K226" s="1689">
        <f t="shared" si="19"/>
        <v>169</v>
      </c>
      <c r="L226" s="466">
        <v>975</v>
      </c>
    </row>
    <row r="227" spans="1:12" x14ac:dyDescent="0.2">
      <c r="A227" s="1524" t="s">
        <v>1148</v>
      </c>
      <c r="B227" s="615">
        <v>1800</v>
      </c>
      <c r="C227" s="617"/>
      <c r="D227" s="466">
        <v>0</v>
      </c>
      <c r="E227" s="617"/>
      <c r="F227" s="617"/>
      <c r="G227" s="617"/>
      <c r="H227" s="617"/>
      <c r="I227" s="617"/>
      <c r="J227" s="617"/>
      <c r="K227" s="1689">
        <f t="shared" si="19"/>
        <v>0</v>
      </c>
      <c r="L227" s="466">
        <v>0</v>
      </c>
    </row>
    <row r="228" spans="1:12" x14ac:dyDescent="0.2">
      <c r="A228" s="1524" t="s">
        <v>1149</v>
      </c>
      <c r="B228" s="615">
        <v>1900</v>
      </c>
      <c r="C228" s="617"/>
      <c r="D228" s="466">
        <v>0</v>
      </c>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74806</v>
      </c>
      <c r="E229" s="617"/>
      <c r="F229" s="617"/>
      <c r="G229" s="617"/>
      <c r="H229" s="617"/>
      <c r="I229" s="617"/>
      <c r="J229" s="617"/>
      <c r="K229" s="1688">
        <f>SUM(K215:K228)</f>
        <v>74806</v>
      </c>
      <c r="L229" s="1688">
        <f>SUM(L215:L228)</f>
        <v>95685</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4" t="s">
        <v>1150</v>
      </c>
      <c r="B232" s="615">
        <v>2110</v>
      </c>
      <c r="C232" s="617"/>
      <c r="D232" s="466">
        <v>0</v>
      </c>
      <c r="E232" s="617"/>
      <c r="F232" s="617"/>
      <c r="G232" s="617"/>
      <c r="H232" s="617"/>
      <c r="I232" s="617"/>
      <c r="J232" s="617"/>
      <c r="K232" s="1689">
        <f t="shared" ref="K232:K237" si="20">D232</f>
        <v>0</v>
      </c>
      <c r="L232" s="466">
        <v>0</v>
      </c>
    </row>
    <row r="233" spans="1:12" x14ac:dyDescent="0.2">
      <c r="A233" s="1524" t="s">
        <v>1151</v>
      </c>
      <c r="B233" s="615">
        <v>2120</v>
      </c>
      <c r="C233" s="617"/>
      <c r="D233" s="466">
        <v>1625</v>
      </c>
      <c r="E233" s="617"/>
      <c r="F233" s="617"/>
      <c r="G233" s="617"/>
      <c r="H233" s="617"/>
      <c r="I233" s="617"/>
      <c r="J233" s="617"/>
      <c r="K233" s="1689">
        <f t="shared" si="20"/>
        <v>1625</v>
      </c>
      <c r="L233" s="466">
        <v>1750</v>
      </c>
    </row>
    <row r="234" spans="1:12" x14ac:dyDescent="0.2">
      <c r="A234" s="1524" t="s">
        <v>207</v>
      </c>
      <c r="B234" s="615">
        <v>2130</v>
      </c>
      <c r="C234" s="617"/>
      <c r="D234" s="466">
        <v>8131</v>
      </c>
      <c r="E234" s="617"/>
      <c r="F234" s="617"/>
      <c r="G234" s="617"/>
      <c r="H234" s="617"/>
      <c r="I234" s="617"/>
      <c r="J234" s="617"/>
      <c r="K234" s="1689">
        <f t="shared" si="20"/>
        <v>8131</v>
      </c>
      <c r="L234" s="466">
        <v>9000</v>
      </c>
    </row>
    <row r="235" spans="1:12" x14ac:dyDescent="0.2">
      <c r="A235" s="1524" t="s">
        <v>208</v>
      </c>
      <c r="B235" s="615">
        <v>2140</v>
      </c>
      <c r="C235" s="617"/>
      <c r="D235" s="466">
        <v>0</v>
      </c>
      <c r="E235" s="617"/>
      <c r="F235" s="617"/>
      <c r="G235" s="617"/>
      <c r="H235" s="617"/>
      <c r="I235" s="617"/>
      <c r="J235" s="617"/>
      <c r="K235" s="1689">
        <f t="shared" si="20"/>
        <v>0</v>
      </c>
      <c r="L235" s="466">
        <v>0</v>
      </c>
    </row>
    <row r="236" spans="1:12" x14ac:dyDescent="0.2">
      <c r="A236" s="1524" t="s">
        <v>209</v>
      </c>
      <c r="B236" s="615">
        <v>2150</v>
      </c>
      <c r="C236" s="617"/>
      <c r="D236" s="466">
        <v>939</v>
      </c>
      <c r="E236" s="617"/>
      <c r="F236" s="617"/>
      <c r="G236" s="617"/>
      <c r="H236" s="617"/>
      <c r="I236" s="617"/>
      <c r="J236" s="617"/>
      <c r="K236" s="1689">
        <f t="shared" si="20"/>
        <v>939</v>
      </c>
      <c r="L236" s="466">
        <v>900</v>
      </c>
    </row>
    <row r="237" spans="1:12" x14ac:dyDescent="0.2">
      <c r="A237" s="1524" t="s">
        <v>167</v>
      </c>
      <c r="B237" s="615">
        <v>2190</v>
      </c>
      <c r="C237" s="617"/>
      <c r="D237" s="466">
        <v>0</v>
      </c>
      <c r="E237" s="617"/>
      <c r="F237" s="617"/>
      <c r="G237" s="617"/>
      <c r="H237" s="617"/>
      <c r="I237" s="617"/>
      <c r="J237" s="617"/>
      <c r="K237" s="1689">
        <f t="shared" si="20"/>
        <v>0</v>
      </c>
      <c r="L237" s="466">
        <v>0</v>
      </c>
    </row>
    <row r="238" spans="1:12" ht="12.75" customHeight="1" thickBot="1" x14ac:dyDescent="0.25">
      <c r="A238" s="1686" t="s">
        <v>581</v>
      </c>
      <c r="B238" s="1693" t="s">
        <v>740</v>
      </c>
      <c r="C238" s="617"/>
      <c r="D238" s="1688">
        <f>SUM(D232:D237)</f>
        <v>10695</v>
      </c>
      <c r="E238" s="617"/>
      <c r="F238" s="617"/>
      <c r="G238" s="617"/>
      <c r="H238" s="617"/>
      <c r="I238" s="617"/>
      <c r="J238" s="617"/>
      <c r="K238" s="1688">
        <f>SUM(K232:K237)</f>
        <v>10695</v>
      </c>
      <c r="L238" s="1688">
        <f>SUM(L232:L237)</f>
        <v>11650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352</v>
      </c>
      <c r="E240" s="617"/>
      <c r="F240" s="617"/>
      <c r="G240" s="617"/>
      <c r="H240" s="617"/>
      <c r="I240" s="617"/>
      <c r="J240" s="617"/>
      <c r="K240" s="1690">
        <f>D240</f>
        <v>352</v>
      </c>
      <c r="L240" s="481">
        <v>600</v>
      </c>
    </row>
    <row r="241" spans="1:12" x14ac:dyDescent="0.2">
      <c r="A241" s="1524" t="s">
        <v>869</v>
      </c>
      <c r="B241" s="615">
        <v>2220</v>
      </c>
      <c r="C241" s="617"/>
      <c r="D241" s="466">
        <v>6695</v>
      </c>
      <c r="E241" s="617"/>
      <c r="F241" s="617"/>
      <c r="G241" s="617"/>
      <c r="H241" s="617"/>
      <c r="I241" s="617"/>
      <c r="J241" s="617"/>
      <c r="K241" s="1690">
        <f>D241</f>
        <v>6695</v>
      </c>
      <c r="L241" s="466">
        <v>6750</v>
      </c>
    </row>
    <row r="242" spans="1:12" x14ac:dyDescent="0.2">
      <c r="A242" s="1524" t="s">
        <v>870</v>
      </c>
      <c r="B242" s="615">
        <v>2230</v>
      </c>
      <c r="C242" s="617"/>
      <c r="D242" s="466">
        <v>0</v>
      </c>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7047</v>
      </c>
      <c r="E243" s="617"/>
      <c r="F243" s="617"/>
      <c r="G243" s="617"/>
      <c r="H243" s="617"/>
      <c r="I243" s="617"/>
      <c r="J243" s="617"/>
      <c r="K243" s="1688">
        <f>SUM(K240:K242)</f>
        <v>7047</v>
      </c>
      <c r="L243" s="1688">
        <f>SUM(L240:L242)</f>
        <v>7350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4" t="s">
        <v>871</v>
      </c>
      <c r="B245" s="615">
        <v>2310</v>
      </c>
      <c r="C245" s="617"/>
      <c r="D245" s="481">
        <v>0</v>
      </c>
      <c r="E245" s="617"/>
      <c r="F245" s="617"/>
      <c r="G245" s="617"/>
      <c r="H245" s="617"/>
      <c r="I245" s="617"/>
      <c r="J245" s="617"/>
      <c r="K245" s="1690">
        <f>D245</f>
        <v>0</v>
      </c>
      <c r="L245" s="481">
        <v>0</v>
      </c>
    </row>
    <row r="246" spans="1:12" x14ac:dyDescent="0.2">
      <c r="A246" s="1524" t="s">
        <v>872</v>
      </c>
      <c r="B246" s="615">
        <v>2320</v>
      </c>
      <c r="C246" s="617"/>
      <c r="D246" s="466">
        <v>9702</v>
      </c>
      <c r="E246" s="617"/>
      <c r="F246" s="617"/>
      <c r="G246" s="617"/>
      <c r="H246" s="617"/>
      <c r="I246" s="617"/>
      <c r="J246" s="617"/>
      <c r="K246" s="1690">
        <f t="shared" ref="K246:K256" si="21">D246</f>
        <v>9702</v>
      </c>
      <c r="L246" s="466">
        <v>10100</v>
      </c>
    </row>
    <row r="247" spans="1:12" x14ac:dyDescent="0.2">
      <c r="A247" s="1524" t="s">
        <v>873</v>
      </c>
      <c r="B247" s="615">
        <v>2330</v>
      </c>
      <c r="C247" s="617"/>
      <c r="D247" s="466">
        <v>0</v>
      </c>
      <c r="E247" s="617"/>
      <c r="F247" s="617"/>
      <c r="G247" s="617"/>
      <c r="H247" s="617"/>
      <c r="I247" s="617"/>
      <c r="J247" s="617"/>
      <c r="K247" s="1690">
        <f t="shared" si="21"/>
        <v>0</v>
      </c>
      <c r="L247" s="466">
        <v>0</v>
      </c>
    </row>
    <row r="248" spans="1:12" x14ac:dyDescent="0.2">
      <c r="A248" s="1525" t="s">
        <v>317</v>
      </c>
      <c r="B248" s="603" t="s">
        <v>299</v>
      </c>
      <c r="C248" s="617"/>
      <c r="D248" s="474">
        <v>0</v>
      </c>
      <c r="E248" s="617"/>
      <c r="F248" s="617"/>
      <c r="G248" s="617"/>
      <c r="H248" s="617"/>
      <c r="I248" s="617"/>
      <c r="J248" s="617"/>
      <c r="K248" s="1690">
        <f t="shared" si="21"/>
        <v>0</v>
      </c>
      <c r="L248" s="466">
        <v>0</v>
      </c>
    </row>
    <row r="249" spans="1:12" x14ac:dyDescent="0.2">
      <c r="A249" s="1526" t="s">
        <v>1908</v>
      </c>
      <c r="B249" s="683" t="s">
        <v>300</v>
      </c>
      <c r="C249" s="617"/>
      <c r="D249" s="474">
        <v>0</v>
      </c>
      <c r="E249" s="617"/>
      <c r="F249" s="617"/>
      <c r="G249" s="617"/>
      <c r="H249" s="617"/>
      <c r="I249" s="617"/>
      <c r="J249" s="617"/>
      <c r="K249" s="1690">
        <f t="shared" si="21"/>
        <v>0</v>
      </c>
      <c r="L249" s="466">
        <v>0</v>
      </c>
    </row>
    <row r="250" spans="1:12" x14ac:dyDescent="0.2">
      <c r="A250" s="1525" t="s">
        <v>1909</v>
      </c>
      <c r="B250" s="603" t="s">
        <v>301</v>
      </c>
      <c r="C250" s="617"/>
      <c r="D250" s="474">
        <v>0</v>
      </c>
      <c r="E250" s="617"/>
      <c r="F250" s="617"/>
      <c r="G250" s="617"/>
      <c r="H250" s="617"/>
      <c r="I250" s="617"/>
      <c r="J250" s="617"/>
      <c r="K250" s="1690">
        <f t="shared" si="21"/>
        <v>0</v>
      </c>
      <c r="L250" s="466">
        <v>0</v>
      </c>
    </row>
    <row r="251" spans="1:12" x14ac:dyDescent="0.2">
      <c r="A251" s="1525" t="s">
        <v>256</v>
      </c>
      <c r="B251" s="603" t="s">
        <v>302</v>
      </c>
      <c r="C251" s="617"/>
      <c r="D251" s="474">
        <v>0</v>
      </c>
      <c r="E251" s="617"/>
      <c r="F251" s="617"/>
      <c r="G251" s="617"/>
      <c r="H251" s="617"/>
      <c r="I251" s="617"/>
      <c r="J251" s="617"/>
      <c r="K251" s="1690">
        <f t="shared" si="21"/>
        <v>0</v>
      </c>
      <c r="L251" s="466">
        <v>0</v>
      </c>
    </row>
    <row r="252" spans="1:12" x14ac:dyDescent="0.2">
      <c r="A252" s="1525" t="s">
        <v>726</v>
      </c>
      <c r="B252" s="603" t="s">
        <v>303</v>
      </c>
      <c r="C252" s="617"/>
      <c r="D252" s="474">
        <v>0</v>
      </c>
      <c r="E252" s="617"/>
      <c r="F252" s="617"/>
      <c r="G252" s="617"/>
      <c r="H252" s="617"/>
      <c r="I252" s="617"/>
      <c r="J252" s="617"/>
      <c r="K252" s="1690">
        <f t="shared" si="21"/>
        <v>0</v>
      </c>
      <c r="L252" s="466">
        <v>0</v>
      </c>
    </row>
    <row r="253" spans="1:12" x14ac:dyDescent="0.2">
      <c r="A253" s="1525" t="s">
        <v>257</v>
      </c>
      <c r="B253" s="603" t="s">
        <v>304</v>
      </c>
      <c r="C253" s="617"/>
      <c r="D253" s="474">
        <v>0</v>
      </c>
      <c r="E253" s="617"/>
      <c r="F253" s="617"/>
      <c r="G253" s="617"/>
      <c r="H253" s="617"/>
      <c r="I253" s="617"/>
      <c r="J253" s="617"/>
      <c r="K253" s="1690">
        <f t="shared" si="21"/>
        <v>0</v>
      </c>
      <c r="L253" s="466">
        <v>0</v>
      </c>
    </row>
    <row r="254" spans="1:12" ht="22.5" x14ac:dyDescent="0.2">
      <c r="A254" s="1525" t="s">
        <v>1087</v>
      </c>
      <c r="B254" s="683" t="s">
        <v>305</v>
      </c>
      <c r="C254" s="617"/>
      <c r="D254" s="474">
        <v>0</v>
      </c>
      <c r="E254" s="617"/>
      <c r="F254" s="617"/>
      <c r="G254" s="617"/>
      <c r="H254" s="617"/>
      <c r="I254" s="617"/>
      <c r="J254" s="617"/>
      <c r="K254" s="1690">
        <f t="shared" si="21"/>
        <v>0</v>
      </c>
      <c r="L254" s="466">
        <v>0</v>
      </c>
    </row>
    <row r="255" spans="1:12" x14ac:dyDescent="0.2">
      <c r="A255" s="1525" t="s">
        <v>1088</v>
      </c>
      <c r="B255" s="603" t="s">
        <v>306</v>
      </c>
      <c r="C255" s="617"/>
      <c r="D255" s="474">
        <v>0</v>
      </c>
      <c r="E255" s="617"/>
      <c r="F255" s="617"/>
      <c r="G255" s="617"/>
      <c r="H255" s="617"/>
      <c r="I255" s="617"/>
      <c r="J255" s="617"/>
      <c r="K255" s="1690">
        <f t="shared" si="21"/>
        <v>0</v>
      </c>
      <c r="L255" s="466">
        <v>0</v>
      </c>
    </row>
    <row r="256" spans="1:12" x14ac:dyDescent="0.2">
      <c r="A256" s="1525" t="s">
        <v>1028</v>
      </c>
      <c r="B256" s="615" t="s">
        <v>307</v>
      </c>
      <c r="C256" s="617"/>
      <c r="D256" s="474">
        <v>0</v>
      </c>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9702</v>
      </c>
      <c r="E257" s="617"/>
      <c r="F257" s="617"/>
      <c r="G257" s="617"/>
      <c r="H257" s="617"/>
      <c r="I257" s="617"/>
      <c r="J257" s="617"/>
      <c r="K257" s="1688">
        <f>SUM(K245:K256)</f>
        <v>9702</v>
      </c>
      <c r="L257" s="1688">
        <f>SUM(L245:L256)</f>
        <v>10100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4" t="s">
        <v>1127</v>
      </c>
      <c r="B259" s="685">
        <v>2410</v>
      </c>
      <c r="C259" s="617"/>
      <c r="D259" s="481">
        <v>16411</v>
      </c>
      <c r="E259" s="617"/>
      <c r="F259" s="617"/>
      <c r="G259" s="617"/>
      <c r="H259" s="617"/>
      <c r="I259" s="617"/>
      <c r="J259" s="617"/>
      <c r="K259" s="1690">
        <f>D259</f>
        <v>16411</v>
      </c>
      <c r="L259" s="481">
        <v>17750</v>
      </c>
    </row>
    <row r="260" spans="1:14" s="598" customFormat="1" x14ac:dyDescent="0.2">
      <c r="A260" s="1542" t="s">
        <v>1907</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16411</v>
      </c>
      <c r="E261" s="617"/>
      <c r="F261" s="617"/>
      <c r="G261" s="617"/>
      <c r="H261" s="617"/>
      <c r="I261" s="617"/>
      <c r="J261" s="617"/>
      <c r="K261" s="1688">
        <f>SUM(K259:K260)</f>
        <v>16411</v>
      </c>
      <c r="L261" s="1688">
        <f>SUM(L259:L260)</f>
        <v>17750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4" t="s">
        <v>1128</v>
      </c>
      <c r="B263" s="685">
        <v>2510</v>
      </c>
      <c r="C263" s="617"/>
      <c r="D263" s="466">
        <v>0</v>
      </c>
      <c r="E263" s="617"/>
      <c r="F263" s="617"/>
      <c r="G263" s="617"/>
      <c r="H263" s="617"/>
      <c r="I263" s="617"/>
      <c r="J263" s="617"/>
      <c r="K263" s="1690">
        <f>D263</f>
        <v>0</v>
      </c>
      <c r="L263" s="481">
        <v>0</v>
      </c>
    </row>
    <row r="264" spans="1:14" x14ac:dyDescent="0.2">
      <c r="A264" s="1524" t="s">
        <v>483</v>
      </c>
      <c r="B264" s="685">
        <v>2520</v>
      </c>
      <c r="C264" s="617"/>
      <c r="D264" s="466">
        <v>7119</v>
      </c>
      <c r="E264" s="617"/>
      <c r="F264" s="617"/>
      <c r="G264" s="617"/>
      <c r="H264" s="617"/>
      <c r="I264" s="617"/>
      <c r="J264" s="617"/>
      <c r="K264" s="1690">
        <f t="shared" ref="K264:K269" si="22">D264</f>
        <v>7119</v>
      </c>
      <c r="L264" s="466">
        <v>6900</v>
      </c>
    </row>
    <row r="265" spans="1:14" x14ac:dyDescent="0.2">
      <c r="A265" s="1524" t="s">
        <v>4</v>
      </c>
      <c r="B265" s="615">
        <v>2530</v>
      </c>
      <c r="C265" s="617"/>
      <c r="D265" s="466">
        <v>0</v>
      </c>
      <c r="E265" s="617"/>
      <c r="F265" s="617"/>
      <c r="G265" s="617"/>
      <c r="H265" s="617"/>
      <c r="I265" s="617"/>
      <c r="J265" s="617"/>
      <c r="K265" s="1690">
        <f t="shared" si="22"/>
        <v>0</v>
      </c>
      <c r="L265" s="466">
        <v>0</v>
      </c>
    </row>
    <row r="266" spans="1:14" x14ac:dyDescent="0.2">
      <c r="A266" s="1524" t="s">
        <v>206</v>
      </c>
      <c r="B266" s="615">
        <v>2540</v>
      </c>
      <c r="C266" s="617"/>
      <c r="D266" s="466">
        <v>33214</v>
      </c>
      <c r="E266" s="617"/>
      <c r="F266" s="617"/>
      <c r="G266" s="617"/>
      <c r="H266" s="617"/>
      <c r="I266" s="617"/>
      <c r="J266" s="617"/>
      <c r="K266" s="1690">
        <f t="shared" si="22"/>
        <v>33214</v>
      </c>
      <c r="L266" s="466">
        <v>32100</v>
      </c>
    </row>
    <row r="267" spans="1:14" x14ac:dyDescent="0.2">
      <c r="A267" s="1524" t="s">
        <v>1010</v>
      </c>
      <c r="B267" s="615">
        <v>2550</v>
      </c>
      <c r="C267" s="617"/>
      <c r="D267" s="466">
        <v>25775</v>
      </c>
      <c r="E267" s="617"/>
      <c r="F267" s="617"/>
      <c r="G267" s="617"/>
      <c r="H267" s="617"/>
      <c r="I267" s="617"/>
      <c r="J267" s="617"/>
      <c r="K267" s="1690">
        <f t="shared" si="22"/>
        <v>25775</v>
      </c>
      <c r="L267" s="466">
        <v>31900</v>
      </c>
    </row>
    <row r="268" spans="1:14" x14ac:dyDescent="0.2">
      <c r="A268" s="1524" t="s">
        <v>102</v>
      </c>
      <c r="B268" s="615">
        <v>2560</v>
      </c>
      <c r="C268" s="617"/>
      <c r="D268" s="466">
        <v>17686</v>
      </c>
      <c r="E268" s="617"/>
      <c r="F268" s="617"/>
      <c r="G268" s="617"/>
      <c r="H268" s="617"/>
      <c r="I268" s="617"/>
      <c r="J268" s="617"/>
      <c r="K268" s="1690">
        <f t="shared" si="22"/>
        <v>17686</v>
      </c>
      <c r="L268" s="466">
        <v>17750</v>
      </c>
    </row>
    <row r="269" spans="1:14" x14ac:dyDescent="0.2">
      <c r="A269" s="1524"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83794</v>
      </c>
      <c r="E270" s="617"/>
      <c r="F270" s="617"/>
      <c r="G270" s="617"/>
      <c r="H270" s="617"/>
      <c r="I270" s="617"/>
      <c r="J270" s="617"/>
      <c r="K270" s="1688">
        <f>SUM(K263:K269)</f>
        <v>83794</v>
      </c>
      <c r="L270" s="1688">
        <f>SUM(L263:L269)</f>
        <v>88650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4" t="s">
        <v>1120</v>
      </c>
      <c r="B272" s="615">
        <v>2610</v>
      </c>
      <c r="C272" s="617"/>
      <c r="D272" s="481">
        <v>0</v>
      </c>
      <c r="E272" s="617"/>
      <c r="F272" s="617"/>
      <c r="G272" s="617"/>
      <c r="H272" s="617"/>
      <c r="I272" s="617"/>
      <c r="J272" s="617"/>
      <c r="K272" s="1690">
        <f>D272</f>
        <v>0</v>
      </c>
      <c r="L272" s="481">
        <v>0</v>
      </c>
    </row>
    <row r="273" spans="1:12" x14ac:dyDescent="0.2">
      <c r="A273" s="1524" t="s">
        <v>628</v>
      </c>
      <c r="B273" s="629">
        <v>2620</v>
      </c>
      <c r="C273" s="617"/>
      <c r="D273" s="466">
        <v>0</v>
      </c>
      <c r="E273" s="617"/>
      <c r="F273" s="617"/>
      <c r="G273" s="617"/>
      <c r="H273" s="617"/>
      <c r="I273" s="617"/>
      <c r="J273" s="617"/>
      <c r="K273" s="1690">
        <f>D273</f>
        <v>0</v>
      </c>
      <c r="L273" s="466">
        <v>0</v>
      </c>
    </row>
    <row r="274" spans="1:12" ht="12" customHeight="1" x14ac:dyDescent="0.2">
      <c r="A274" s="1524" t="s">
        <v>1121</v>
      </c>
      <c r="B274" s="615">
        <v>2630</v>
      </c>
      <c r="C274" s="617"/>
      <c r="D274" s="466">
        <v>0</v>
      </c>
      <c r="E274" s="617"/>
      <c r="F274" s="617"/>
      <c r="G274" s="617"/>
      <c r="H274" s="617"/>
      <c r="I274" s="617"/>
      <c r="J274" s="617"/>
      <c r="K274" s="1690">
        <f>D274</f>
        <v>0</v>
      </c>
      <c r="L274" s="466">
        <v>0</v>
      </c>
    </row>
    <row r="275" spans="1:12" x14ac:dyDescent="0.2">
      <c r="A275" s="1524" t="s">
        <v>423</v>
      </c>
      <c r="B275" s="615">
        <v>2640</v>
      </c>
      <c r="C275" s="617"/>
      <c r="D275" s="466">
        <v>0</v>
      </c>
      <c r="E275" s="617"/>
      <c r="F275" s="617"/>
      <c r="G275" s="617"/>
      <c r="H275" s="617"/>
      <c r="I275" s="617"/>
      <c r="J275" s="617"/>
      <c r="K275" s="1690">
        <f>D275</f>
        <v>0</v>
      </c>
      <c r="L275" s="466">
        <v>0</v>
      </c>
    </row>
    <row r="276" spans="1:12" x14ac:dyDescent="0.2">
      <c r="A276" s="1524" t="s">
        <v>424</v>
      </c>
      <c r="B276" s="615">
        <v>2660</v>
      </c>
      <c r="C276" s="617"/>
      <c r="D276" s="466">
        <v>0</v>
      </c>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0" t="s">
        <v>1037</v>
      </c>
      <c r="B278" s="655" t="s">
        <v>595</v>
      </c>
      <c r="C278" s="617"/>
      <c r="D278" s="656">
        <v>0</v>
      </c>
      <c r="E278" s="617"/>
      <c r="F278" s="617"/>
      <c r="G278" s="617"/>
      <c r="H278" s="617"/>
      <c r="I278" s="617"/>
      <c r="J278" s="617"/>
      <c r="K278" s="1703">
        <f>D278</f>
        <v>0</v>
      </c>
      <c r="L278" s="656">
        <v>0</v>
      </c>
    </row>
    <row r="279" spans="1:12" ht="12.75" customHeight="1" thickBot="1" x14ac:dyDescent="0.25">
      <c r="A279" s="1716" t="s">
        <v>865</v>
      </c>
      <c r="B279" s="1699">
        <v>2000</v>
      </c>
      <c r="C279" s="617"/>
      <c r="D279" s="1695">
        <f>SUM(D238,D243,D257,D261,D270,D277,D278)</f>
        <v>127649</v>
      </c>
      <c r="E279" s="617"/>
      <c r="F279" s="617"/>
      <c r="G279" s="617"/>
      <c r="H279" s="617"/>
      <c r="I279" s="617"/>
      <c r="J279" s="617"/>
      <c r="K279" s="1695">
        <f>SUM(K238,K243,K257,K261,K270,K277,K278)</f>
        <v>127649</v>
      </c>
      <c r="L279" s="1695">
        <f>SUM(L238,L243,L257,L261,L270,L277,L278)</f>
        <v>135500</v>
      </c>
    </row>
    <row r="280" spans="1:12" ht="15.75" customHeight="1" thickTop="1" thickBot="1" x14ac:dyDescent="0.25">
      <c r="A280" s="1644" t="s">
        <v>930</v>
      </c>
      <c r="B280" s="1633">
        <v>3000</v>
      </c>
      <c r="C280" s="617"/>
      <c r="D280" s="576">
        <v>0</v>
      </c>
      <c r="E280" s="617"/>
      <c r="F280" s="617"/>
      <c r="G280" s="617"/>
      <c r="H280" s="617"/>
      <c r="I280" s="617"/>
      <c r="J280" s="617"/>
      <c r="K280" s="1697">
        <f>D280</f>
        <v>0</v>
      </c>
      <c r="L280" s="576">
        <v>0</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49" t="s">
        <v>517</v>
      </c>
      <c r="B282" s="690" t="s">
        <v>1955</v>
      </c>
      <c r="C282" s="617"/>
      <c r="D282" s="467" t="s">
        <v>1231</v>
      </c>
      <c r="E282" s="617"/>
      <c r="F282" s="617"/>
      <c r="G282" s="617"/>
      <c r="H282" s="617"/>
      <c r="I282" s="617"/>
      <c r="J282" s="617"/>
      <c r="K282" s="1689" t="str">
        <f>D282</f>
        <v xml:space="preserve"> </v>
      </c>
      <c r="L282" s="467">
        <v>0</v>
      </c>
    </row>
    <row r="283" spans="1:12" x14ac:dyDescent="0.2">
      <c r="A283" s="1524" t="s">
        <v>322</v>
      </c>
      <c r="B283" s="615">
        <v>4120</v>
      </c>
      <c r="C283" s="617"/>
      <c r="D283" s="466">
        <v>0</v>
      </c>
      <c r="E283" s="617"/>
      <c r="F283" s="617"/>
      <c r="G283" s="617"/>
      <c r="H283" s="617"/>
      <c r="I283" s="617"/>
      <c r="J283" s="617"/>
      <c r="K283" s="1689">
        <f>D283</f>
        <v>0</v>
      </c>
      <c r="L283" s="466">
        <v>0</v>
      </c>
    </row>
    <row r="284" spans="1:12" x14ac:dyDescent="0.2">
      <c r="A284" s="1524" t="s">
        <v>721</v>
      </c>
      <c r="B284" s="615">
        <v>4140</v>
      </c>
      <c r="C284" s="617"/>
      <c r="D284" s="467">
        <v>0</v>
      </c>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v>0</v>
      </c>
      <c r="I288" s="617"/>
      <c r="J288" s="617"/>
      <c r="K288" s="1689">
        <f>H288</f>
        <v>0</v>
      </c>
      <c r="L288" s="466">
        <v>0</v>
      </c>
    </row>
    <row r="289" spans="1:14" x14ac:dyDescent="0.2">
      <c r="A289" s="1524" t="s">
        <v>90</v>
      </c>
      <c r="B289" s="615">
        <v>5120</v>
      </c>
      <c r="C289" s="617"/>
      <c r="D289" s="617"/>
      <c r="E289" s="617"/>
      <c r="F289" s="617"/>
      <c r="G289" s="617"/>
      <c r="H289" s="466">
        <v>0</v>
      </c>
      <c r="I289" s="617"/>
      <c r="J289" s="617"/>
      <c r="K289" s="1689">
        <f>H289</f>
        <v>0</v>
      </c>
      <c r="L289" s="466">
        <v>0</v>
      </c>
    </row>
    <row r="290" spans="1:14" ht="12.75" customHeight="1" x14ac:dyDescent="0.2">
      <c r="A290" s="1524" t="s">
        <v>1232</v>
      </c>
      <c r="B290" s="629" t="s">
        <v>638</v>
      </c>
      <c r="C290" s="617"/>
      <c r="D290" s="617"/>
      <c r="E290" s="617"/>
      <c r="F290" s="617"/>
      <c r="G290" s="617"/>
      <c r="H290" s="466">
        <v>0</v>
      </c>
      <c r="I290" s="617"/>
      <c r="J290" s="617"/>
      <c r="K290" s="1689">
        <f>H290</f>
        <v>0</v>
      </c>
      <c r="L290" s="466">
        <v>0</v>
      </c>
    </row>
    <row r="291" spans="1:14" x14ac:dyDescent="0.2">
      <c r="A291" s="1524" t="s">
        <v>91</v>
      </c>
      <c r="B291" s="615" t="s">
        <v>610</v>
      </c>
      <c r="C291" s="617"/>
      <c r="D291" s="617"/>
      <c r="E291" s="617"/>
      <c r="F291" s="617"/>
      <c r="G291" s="617"/>
      <c r="H291" s="466">
        <v>0</v>
      </c>
      <c r="I291" s="617"/>
      <c r="J291" s="617"/>
      <c r="K291" s="1689">
        <f>H291</f>
        <v>0</v>
      </c>
      <c r="L291" s="466">
        <v>0</v>
      </c>
    </row>
    <row r="292" spans="1:14" x14ac:dyDescent="0.2">
      <c r="A292" s="1524" t="s">
        <v>786</v>
      </c>
      <c r="B292" s="615" t="s">
        <v>639</v>
      </c>
      <c r="C292" s="617"/>
      <c r="D292" s="617"/>
      <c r="E292" s="617"/>
      <c r="F292" s="617"/>
      <c r="G292" s="617"/>
      <c r="H292" s="466">
        <v>0</v>
      </c>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5" t="s">
        <v>932</v>
      </c>
      <c r="B294" s="1633" t="s">
        <v>916</v>
      </c>
      <c r="C294" s="617"/>
      <c r="D294" s="624"/>
      <c r="E294" s="617"/>
      <c r="F294" s="617"/>
      <c r="G294" s="617"/>
      <c r="H294" s="686"/>
      <c r="I294" s="617"/>
      <c r="J294" s="617"/>
      <c r="K294" s="686"/>
      <c r="L294" s="578">
        <v>5000</v>
      </c>
    </row>
    <row r="295" spans="1:14" ht="12.75" customHeight="1" thickTop="1" thickBot="1" x14ac:dyDescent="0.25">
      <c r="A295" s="2190" t="s">
        <v>526</v>
      </c>
      <c r="B295" s="2191"/>
      <c r="C295" s="617"/>
      <c r="D295" s="1688">
        <f>SUM(D229,D279,D280,D285)</f>
        <v>202455</v>
      </c>
      <c r="E295" s="617"/>
      <c r="F295" s="617"/>
      <c r="G295" s="617"/>
      <c r="H295" s="1688">
        <f>H293</f>
        <v>0</v>
      </c>
      <c r="I295" s="617"/>
      <c r="J295" s="617"/>
      <c r="K295" s="1688">
        <f>SUM(K229,K279,K280,K285,K293,K294)</f>
        <v>202455</v>
      </c>
      <c r="L295" s="1688">
        <f>SUM(L229,L279,L280,L285,L293,L294)</f>
        <v>236185</v>
      </c>
    </row>
    <row r="296" spans="1:14" ht="13.5" thickTop="1" x14ac:dyDescent="0.2">
      <c r="A296" s="2172" t="s">
        <v>1053</v>
      </c>
      <c r="B296" s="2173"/>
      <c r="C296" s="617"/>
      <c r="D296" s="619"/>
      <c r="E296" s="617"/>
      <c r="F296" s="617"/>
      <c r="G296" s="617"/>
      <c r="H296" s="687"/>
      <c r="I296" s="617"/>
      <c r="J296" s="617"/>
      <c r="K296" s="1702">
        <f>'Revenues 9-14'!G275-'Expenditures 15-22'!K295</f>
        <v>71135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2" t="s">
        <v>145</v>
      </c>
      <c r="B298" s="2176"/>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7" t="s">
        <v>629</v>
      </c>
      <c r="B301" s="689">
        <v>2530</v>
      </c>
      <c r="C301" s="466">
        <v>0</v>
      </c>
      <c r="D301" s="466">
        <v>0</v>
      </c>
      <c r="E301" s="466">
        <v>0</v>
      </c>
      <c r="F301" s="466">
        <v>0</v>
      </c>
      <c r="G301" s="466">
        <v>0</v>
      </c>
      <c r="H301" s="466">
        <v>0</v>
      </c>
      <c r="I301" s="466">
        <v>0</v>
      </c>
      <c r="J301" s="466">
        <v>0</v>
      </c>
      <c r="K301" s="1689">
        <f>SUM(C301:J301)</f>
        <v>0</v>
      </c>
      <c r="L301" s="467">
        <v>0</v>
      </c>
    </row>
    <row r="302" spans="1:14" ht="13.5" customHeight="1" x14ac:dyDescent="0.2">
      <c r="A302" s="1537" t="s">
        <v>1037</v>
      </c>
      <c r="B302" s="615" t="s">
        <v>595</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8" t="s">
        <v>1960</v>
      </c>
      <c r="B306" s="690" t="s">
        <v>1955</v>
      </c>
      <c r="C306" s="617"/>
      <c r="D306" s="617"/>
      <c r="E306" s="467" t="s">
        <v>1231</v>
      </c>
      <c r="F306" s="617"/>
      <c r="G306" s="617"/>
      <c r="H306" s="467" t="s">
        <v>1231</v>
      </c>
      <c r="I306" s="617"/>
      <c r="J306" s="617"/>
      <c r="K306" s="1689">
        <f>SUM(E306,H306)</f>
        <v>0</v>
      </c>
      <c r="L306" s="467">
        <v>0</v>
      </c>
    </row>
    <row r="307" spans="1:14" x14ac:dyDescent="0.2">
      <c r="A307" s="1524" t="s">
        <v>322</v>
      </c>
      <c r="B307" s="615">
        <v>4120</v>
      </c>
      <c r="C307" s="617"/>
      <c r="D307" s="617"/>
      <c r="E307" s="467">
        <v>0</v>
      </c>
      <c r="F307" s="617"/>
      <c r="G307" s="617"/>
      <c r="H307" s="467">
        <v>0</v>
      </c>
      <c r="I307" s="477"/>
      <c r="J307" s="617"/>
      <c r="K307" s="1689">
        <f>SUM(E307,H307)</f>
        <v>0</v>
      </c>
      <c r="L307" s="466">
        <v>0</v>
      </c>
    </row>
    <row r="308" spans="1:14" x14ac:dyDescent="0.2">
      <c r="A308" s="1524" t="s">
        <v>721</v>
      </c>
      <c r="B308" s="615">
        <v>4140</v>
      </c>
      <c r="C308" s="617"/>
      <c r="D308" s="617"/>
      <c r="E308" s="467">
        <v>0</v>
      </c>
      <c r="F308" s="617"/>
      <c r="G308" s="617"/>
      <c r="H308" s="467">
        <v>0</v>
      </c>
      <c r="I308" s="477"/>
      <c r="J308" s="617"/>
      <c r="K308" s="1689">
        <f>SUM(E308,H308)</f>
        <v>0</v>
      </c>
      <c r="L308" s="466">
        <v>0</v>
      </c>
    </row>
    <row r="309" spans="1:14" ht="12.75" customHeight="1" x14ac:dyDescent="0.2">
      <c r="A309" s="1528" t="s">
        <v>722</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v>0</v>
      </c>
    </row>
    <row r="312" spans="1:14" s="674" customFormat="1" ht="12.75" customHeight="1" thickTop="1" thickBot="1" x14ac:dyDescent="0.25">
      <c r="A312" s="2187" t="s">
        <v>295</v>
      </c>
      <c r="B312" s="2188"/>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5"/>
      <c r="N312" s="665"/>
    </row>
    <row r="313" spans="1:14" ht="13.5" thickTop="1" x14ac:dyDescent="0.2">
      <c r="A313" s="2183" t="s">
        <v>1053</v>
      </c>
      <c r="B313" s="2184"/>
      <c r="C313" s="627"/>
      <c r="D313" s="627"/>
      <c r="E313" s="627"/>
      <c r="F313" s="627"/>
      <c r="G313" s="627"/>
      <c r="H313" s="627"/>
      <c r="I313" s="627"/>
      <c r="J313" s="627"/>
      <c r="K313" s="1703">
        <f>'Revenues 9-14'!H275-'Expenditures 15-22'!K312</f>
        <v>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6" t="s">
        <v>151</v>
      </c>
      <c r="B315" s="2197"/>
      <c r="C315" s="1576"/>
      <c r="D315" s="1577"/>
      <c r="E315" s="1577"/>
      <c r="F315" s="1577"/>
      <c r="G315" s="1577"/>
      <c r="H315" s="1577"/>
      <c r="I315" s="1577"/>
      <c r="J315" s="1577"/>
      <c r="K315" s="1577"/>
      <c r="L315" s="157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8" t="s">
        <v>954</v>
      </c>
      <c r="B317" s="2197"/>
      <c r="C317" s="1576"/>
      <c r="D317" s="1577"/>
      <c r="E317" s="1577"/>
      <c r="F317" s="1577"/>
      <c r="G317" s="1577"/>
      <c r="H317" s="1577"/>
      <c r="I317" s="1577"/>
      <c r="J317" s="1577"/>
      <c r="K317" s="1577"/>
      <c r="L317" s="1578"/>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9" t="s">
        <v>317</v>
      </c>
      <c r="B319" s="697" t="s">
        <v>299</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3" t="s">
        <v>1908</v>
      </c>
      <c r="B320" s="698" t="s">
        <v>300</v>
      </c>
      <c r="C320" s="467">
        <v>0</v>
      </c>
      <c r="D320" s="467">
        <v>0</v>
      </c>
      <c r="E320" s="467">
        <v>0</v>
      </c>
      <c r="F320" s="467">
        <v>0</v>
      </c>
      <c r="G320" s="467">
        <v>0</v>
      </c>
      <c r="H320" s="467">
        <v>0</v>
      </c>
      <c r="I320" s="467">
        <v>0</v>
      </c>
      <c r="J320" s="467">
        <v>0</v>
      </c>
      <c r="K320" s="1689">
        <f t="shared" ref="K320:K327" si="24">SUM(C320:J320)</f>
        <v>0</v>
      </c>
      <c r="L320" s="467">
        <v>0</v>
      </c>
      <c r="M320" s="665"/>
      <c r="N320" s="665"/>
    </row>
    <row r="321" spans="1:14" s="674" customFormat="1" x14ac:dyDescent="0.2">
      <c r="A321" s="1539" t="s">
        <v>318</v>
      </c>
      <c r="B321" s="697" t="s">
        <v>301</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39" t="s">
        <v>256</v>
      </c>
      <c r="B322" s="697" t="s">
        <v>302</v>
      </c>
      <c r="C322" s="467">
        <v>0</v>
      </c>
      <c r="D322" s="467">
        <v>0</v>
      </c>
      <c r="E322" s="467">
        <v>82055</v>
      </c>
      <c r="F322" s="467">
        <v>0</v>
      </c>
      <c r="G322" s="467">
        <v>0</v>
      </c>
      <c r="H322" s="467">
        <v>0</v>
      </c>
      <c r="I322" s="467">
        <v>0</v>
      </c>
      <c r="J322" s="467">
        <v>0</v>
      </c>
      <c r="K322" s="1689">
        <f t="shared" si="24"/>
        <v>82055</v>
      </c>
      <c r="L322" s="467">
        <v>85000</v>
      </c>
      <c r="M322" s="665"/>
      <c r="N322" s="665"/>
    </row>
    <row r="323" spans="1:14" s="674" customFormat="1" x14ac:dyDescent="0.2">
      <c r="A323" s="1539" t="s">
        <v>726</v>
      </c>
      <c r="B323" s="697" t="s">
        <v>303</v>
      </c>
      <c r="C323" s="467">
        <v>0</v>
      </c>
      <c r="D323" s="467">
        <v>0</v>
      </c>
      <c r="E323" s="467">
        <v>9901</v>
      </c>
      <c r="F323" s="467">
        <v>0</v>
      </c>
      <c r="G323" s="467">
        <v>0</v>
      </c>
      <c r="H323" s="467">
        <v>0</v>
      </c>
      <c r="I323" s="467">
        <v>0</v>
      </c>
      <c r="J323" s="467">
        <v>0</v>
      </c>
      <c r="K323" s="1689">
        <f t="shared" si="24"/>
        <v>9901</v>
      </c>
      <c r="L323" s="467">
        <v>13770</v>
      </c>
      <c r="M323" s="665"/>
      <c r="N323" s="665"/>
    </row>
    <row r="324" spans="1:14" s="674" customFormat="1" x14ac:dyDescent="0.2">
      <c r="A324" s="1539" t="s">
        <v>257</v>
      </c>
      <c r="B324" s="697" t="s">
        <v>304</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39" t="s">
        <v>1087</v>
      </c>
      <c r="B325" s="698" t="s">
        <v>305</v>
      </c>
      <c r="C325" s="467">
        <v>0</v>
      </c>
      <c r="D325" s="467">
        <v>0</v>
      </c>
      <c r="E325" s="467">
        <v>10202</v>
      </c>
      <c r="F325" s="467">
        <v>653</v>
      </c>
      <c r="G325" s="467">
        <v>0</v>
      </c>
      <c r="H325" s="467">
        <v>0</v>
      </c>
      <c r="I325" s="467">
        <v>0</v>
      </c>
      <c r="J325" s="467">
        <v>0</v>
      </c>
      <c r="K325" s="1689">
        <f t="shared" si="24"/>
        <v>10855</v>
      </c>
      <c r="L325" s="467">
        <v>12000</v>
      </c>
      <c r="M325" s="665"/>
      <c r="N325" s="665"/>
    </row>
    <row r="326" spans="1:14" s="674" customFormat="1" x14ac:dyDescent="0.2">
      <c r="A326" s="1539" t="s">
        <v>1088</v>
      </c>
      <c r="B326" s="697" t="s">
        <v>306</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39" t="s">
        <v>1028</v>
      </c>
      <c r="B327" s="697" t="s">
        <v>307</v>
      </c>
      <c r="C327" s="467">
        <v>0</v>
      </c>
      <c r="D327" s="467">
        <v>0</v>
      </c>
      <c r="E327" s="467">
        <v>6111</v>
      </c>
      <c r="F327" s="467">
        <v>0</v>
      </c>
      <c r="G327" s="467">
        <v>0</v>
      </c>
      <c r="H327" s="467">
        <v>0</v>
      </c>
      <c r="I327" s="467">
        <v>0</v>
      </c>
      <c r="J327" s="467">
        <v>0</v>
      </c>
      <c r="K327" s="1689">
        <f t="shared" si="24"/>
        <v>6111</v>
      </c>
      <c r="L327" s="467">
        <v>11000</v>
      </c>
      <c r="M327" s="665"/>
      <c r="N327" s="665"/>
    </row>
    <row r="328" spans="1:14" s="674" customFormat="1" x14ac:dyDescent="0.2">
      <c r="A328" s="1540" t="s">
        <v>492</v>
      </c>
      <c r="B328" s="690" t="s">
        <v>1194</v>
      </c>
      <c r="C328" s="467">
        <v>0</v>
      </c>
      <c r="D328" s="467">
        <v>0</v>
      </c>
      <c r="E328" s="467" t="s">
        <v>1231</v>
      </c>
      <c r="F328" s="467" t="s">
        <v>1231</v>
      </c>
      <c r="G328" s="467" t="s">
        <v>1231</v>
      </c>
      <c r="H328" s="467" t="s">
        <v>1231</v>
      </c>
      <c r="I328" s="467" t="s">
        <v>1231</v>
      </c>
      <c r="J328" s="467">
        <v>0</v>
      </c>
      <c r="K328" s="1717">
        <f>SUM(C328:J328)</f>
        <v>0</v>
      </c>
      <c r="L328" s="474">
        <v>0</v>
      </c>
      <c r="M328" s="665"/>
      <c r="N328" s="665"/>
    </row>
    <row r="329" spans="1:14" s="674" customFormat="1" x14ac:dyDescent="0.2">
      <c r="A329" s="1540" t="s">
        <v>1195</v>
      </c>
      <c r="B329" s="690" t="s">
        <v>1196</v>
      </c>
      <c r="C329" s="467">
        <v>0</v>
      </c>
      <c r="D329" s="467">
        <v>0</v>
      </c>
      <c r="E329" s="467" t="s">
        <v>1231</v>
      </c>
      <c r="F329" s="467" t="s">
        <v>1231</v>
      </c>
      <c r="G329" s="467" t="s">
        <v>1231</v>
      </c>
      <c r="H329" s="467" t="s">
        <v>1231</v>
      </c>
      <c r="I329" s="467" t="s">
        <v>1231</v>
      </c>
      <c r="J329" s="467">
        <v>0</v>
      </c>
      <c r="K329" s="1717">
        <f>SUM(C329:J329)</f>
        <v>0</v>
      </c>
      <c r="L329" s="474">
        <v>0</v>
      </c>
      <c r="M329" s="665"/>
      <c r="N329" s="665"/>
    </row>
    <row r="330" spans="1:14" s="674" customFormat="1" ht="12.75" customHeight="1" thickBot="1" x14ac:dyDescent="0.25">
      <c r="A330" s="1718" t="s">
        <v>741</v>
      </c>
      <c r="B330" s="1687" t="s">
        <v>590</v>
      </c>
      <c r="C330" s="1688">
        <f>SUM(C319:C329)</f>
        <v>0</v>
      </c>
      <c r="D330" s="1688">
        <f t="shared" ref="D330:J330" si="25">SUM(D319:D329)</f>
        <v>0</v>
      </c>
      <c r="E330" s="1688">
        <f t="shared" si="25"/>
        <v>108269</v>
      </c>
      <c r="F330" s="1688">
        <f t="shared" si="25"/>
        <v>653</v>
      </c>
      <c r="G330" s="1688">
        <f t="shared" si="25"/>
        <v>0</v>
      </c>
      <c r="H330" s="1688">
        <f t="shared" si="25"/>
        <v>0</v>
      </c>
      <c r="I330" s="1688">
        <f t="shared" si="25"/>
        <v>0</v>
      </c>
      <c r="J330" s="1688">
        <f t="shared" si="25"/>
        <v>0</v>
      </c>
      <c r="K330" s="1688">
        <f>SUM(K319:K329)</f>
        <v>108922</v>
      </c>
      <c r="L330" s="1688">
        <f>SUM(L319:L329)</f>
        <v>121770</v>
      </c>
      <c r="M330" s="665"/>
      <c r="N330" s="665"/>
    </row>
    <row r="331" spans="1:14" s="674" customFormat="1" ht="12.75" customHeight="1" thickTop="1" x14ac:dyDescent="0.2">
      <c r="A331" s="1850" t="s">
        <v>1961</v>
      </c>
      <c r="B331" s="647" t="s">
        <v>915</v>
      </c>
      <c r="C331" s="1852"/>
      <c r="D331" s="1852"/>
      <c r="E331" s="1852"/>
      <c r="F331" s="1852"/>
      <c r="G331" s="1852"/>
      <c r="H331" s="1852"/>
      <c r="I331" s="1852"/>
      <c r="J331" s="1852"/>
      <c r="K331" s="1852"/>
      <c r="L331" s="1852"/>
      <c r="M331" s="665"/>
      <c r="N331" s="665"/>
    </row>
    <row r="332" spans="1:14" s="674" customFormat="1" ht="12.75" customHeight="1" x14ac:dyDescent="0.2">
      <c r="A332" s="1851" t="s">
        <v>517</v>
      </c>
      <c r="B332" s="1846" t="s">
        <v>1955</v>
      </c>
      <c r="C332" s="1852"/>
      <c r="D332" s="1852"/>
      <c r="E332" s="1852"/>
      <c r="F332" s="1852"/>
      <c r="G332" s="1852"/>
      <c r="H332" s="467" t="s">
        <v>1231</v>
      </c>
      <c r="I332" s="1852"/>
      <c r="J332" s="1852"/>
      <c r="K332" s="1689" t="str">
        <f>H332</f>
        <v xml:space="preserve"> </v>
      </c>
      <c r="L332" s="467">
        <v>0</v>
      </c>
      <c r="M332" s="665"/>
      <c r="N332" s="665"/>
    </row>
    <row r="333" spans="1:14" s="674" customFormat="1" ht="12.75" customHeight="1" x14ac:dyDescent="0.2">
      <c r="A333" s="1851" t="s">
        <v>322</v>
      </c>
      <c r="B333" s="1846" t="s">
        <v>1957</v>
      </c>
      <c r="C333" s="1852"/>
      <c r="D333" s="1852"/>
      <c r="E333" s="1852"/>
      <c r="F333" s="1852"/>
      <c r="G333" s="1852"/>
      <c r="H333" s="467" t="s">
        <v>1231</v>
      </c>
      <c r="I333" s="1852"/>
      <c r="J333" s="1852"/>
      <c r="K333" s="1689" t="str">
        <f>H333</f>
        <v xml:space="preserve"> </v>
      </c>
      <c r="L333" s="467">
        <v>0</v>
      </c>
      <c r="M333" s="665"/>
      <c r="N333" s="665"/>
    </row>
    <row r="334" spans="1:14" s="674" customFormat="1" ht="12.75" customHeight="1" thickBot="1" x14ac:dyDescent="0.25">
      <c r="A334" s="1851" t="s">
        <v>1962</v>
      </c>
      <c r="B334" s="1846" t="s">
        <v>915</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8" t="s">
        <v>89</v>
      </c>
      <c r="B337" s="690" t="s">
        <v>956</v>
      </c>
      <c r="C337" s="638"/>
      <c r="D337" s="638"/>
      <c r="E337" s="638"/>
      <c r="F337" s="638"/>
      <c r="G337" s="638"/>
      <c r="H337" s="478">
        <v>0</v>
      </c>
      <c r="I337" s="638"/>
      <c r="J337" s="638"/>
      <c r="K337" s="1689">
        <f>H337</f>
        <v>0</v>
      </c>
      <c r="L337" s="478">
        <v>0</v>
      </c>
    </row>
    <row r="338" spans="1:14" ht="12.75" customHeight="1" x14ac:dyDescent="0.2">
      <c r="A338" s="1538" t="s">
        <v>1232</v>
      </c>
      <c r="B338" s="690" t="s">
        <v>638</v>
      </c>
      <c r="C338" s="638"/>
      <c r="D338" s="638"/>
      <c r="E338" s="638"/>
      <c r="F338" s="638"/>
      <c r="G338" s="638"/>
      <c r="H338" s="478">
        <v>0</v>
      </c>
      <c r="I338" s="638"/>
      <c r="J338" s="638"/>
      <c r="K338" s="1689">
        <f>H338</f>
        <v>0</v>
      </c>
      <c r="L338" s="478">
        <v>0</v>
      </c>
    </row>
    <row r="339" spans="1:14" x14ac:dyDescent="0.2">
      <c r="A339" s="1524" t="s">
        <v>957</v>
      </c>
      <c r="B339" s="629">
        <v>5150</v>
      </c>
      <c r="C339" s="638"/>
      <c r="D339" s="638"/>
      <c r="E339" s="638"/>
      <c r="F339" s="638"/>
      <c r="G339" s="638"/>
      <c r="H339" s="467">
        <v>0</v>
      </c>
      <c r="I339" s="638"/>
      <c r="J339" s="638"/>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0</v>
      </c>
      <c r="D342" s="1688">
        <f>SUM(D330)</f>
        <v>0</v>
      </c>
      <c r="E342" s="1688">
        <f>SUM(E330)</f>
        <v>108269</v>
      </c>
      <c r="F342" s="1688">
        <f>SUM(F330)</f>
        <v>653</v>
      </c>
      <c r="G342" s="1688">
        <f>SUM(G330)</f>
        <v>0</v>
      </c>
      <c r="H342" s="1688">
        <f>SUM(H330,H334,H340)</f>
        <v>0</v>
      </c>
      <c r="I342" s="1688">
        <f>SUM(I330)</f>
        <v>0</v>
      </c>
      <c r="J342" s="1688">
        <f>SUM(J330)</f>
        <v>0</v>
      </c>
      <c r="K342" s="1688">
        <f>SUM(K330,K334,K340)</f>
        <v>108922</v>
      </c>
      <c r="L342" s="1695">
        <f>SUM(L330,L340,L341)</f>
        <v>121770</v>
      </c>
    </row>
    <row r="343" spans="1:14" ht="12.75" customHeight="1" thickTop="1" x14ac:dyDescent="0.2">
      <c r="A343" s="2185" t="s">
        <v>1053</v>
      </c>
      <c r="B343" s="2186"/>
      <c r="C343" s="617"/>
      <c r="D343" s="617"/>
      <c r="E343" s="617"/>
      <c r="F343" s="617"/>
      <c r="G343" s="617"/>
      <c r="H343" s="617"/>
      <c r="I343" s="617"/>
      <c r="J343" s="617"/>
      <c r="K343" s="1702">
        <f>'Revenues 9-14'!J275-'Expenditures 15-22'!K342</f>
        <v>64058</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5" t="s">
        <v>1023</v>
      </c>
      <c r="B345" s="2176"/>
      <c r="C345" s="1571"/>
      <c r="D345" s="1572"/>
      <c r="E345" s="1572"/>
      <c r="F345" s="1572"/>
      <c r="G345" s="1572"/>
      <c r="H345" s="1572"/>
      <c r="I345" s="1572"/>
      <c r="J345" s="1572"/>
      <c r="K345" s="1572"/>
      <c r="L345" s="1573"/>
      <c r="M345" s="667"/>
      <c r="N345" s="667"/>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4" t="s">
        <v>4</v>
      </c>
      <c r="B348" s="615">
        <v>2530</v>
      </c>
      <c r="C348" s="466">
        <v>0</v>
      </c>
      <c r="D348" s="466">
        <v>0</v>
      </c>
      <c r="E348" s="466">
        <v>0</v>
      </c>
      <c r="F348" s="466">
        <v>0</v>
      </c>
      <c r="G348" s="466">
        <v>0</v>
      </c>
      <c r="H348" s="466">
        <v>0</v>
      </c>
      <c r="I348" s="466">
        <v>0</v>
      </c>
      <c r="J348" s="466">
        <v>0</v>
      </c>
      <c r="K348" s="1689">
        <f>SUM(C348:J348)</f>
        <v>0</v>
      </c>
      <c r="L348" s="466">
        <v>0</v>
      </c>
    </row>
    <row r="349" spans="1:14" x14ac:dyDescent="0.2">
      <c r="A349" s="1524" t="s">
        <v>206</v>
      </c>
      <c r="B349" s="615">
        <v>2540</v>
      </c>
      <c r="C349" s="466">
        <v>0</v>
      </c>
      <c r="D349" s="466">
        <v>0</v>
      </c>
      <c r="E349" s="466">
        <v>0</v>
      </c>
      <c r="F349" s="466">
        <v>0</v>
      </c>
      <c r="G349" s="466">
        <v>0</v>
      </c>
      <c r="H349" s="466">
        <v>0</v>
      </c>
      <c r="I349" s="466">
        <v>0</v>
      </c>
      <c r="J349" s="466">
        <v>0</v>
      </c>
      <c r="K349" s="1689">
        <f>SUM(C349:J349)</f>
        <v>0</v>
      </c>
      <c r="L349" s="466">
        <v>100000</v>
      </c>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0</v>
      </c>
      <c r="H350" s="1688">
        <f t="shared" si="26"/>
        <v>0</v>
      </c>
      <c r="I350" s="1688">
        <f t="shared" si="26"/>
        <v>0</v>
      </c>
      <c r="J350" s="1688">
        <f t="shared" si="26"/>
        <v>0</v>
      </c>
      <c r="K350" s="1688">
        <f t="shared" si="26"/>
        <v>0</v>
      </c>
      <c r="L350" s="1688">
        <f t="shared" si="26"/>
        <v>100000</v>
      </c>
    </row>
    <row r="351" spans="1:14" ht="12.75" customHeight="1" thickTop="1" x14ac:dyDescent="0.2">
      <c r="A351" s="1530"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0</v>
      </c>
      <c r="H352" s="1688">
        <f t="shared" si="27"/>
        <v>0</v>
      </c>
      <c r="I352" s="1688">
        <f t="shared" si="27"/>
        <v>0</v>
      </c>
      <c r="J352" s="1688">
        <f t="shared" si="27"/>
        <v>0</v>
      </c>
      <c r="K352" s="1688">
        <f t="shared" si="27"/>
        <v>0</v>
      </c>
      <c r="L352" s="1688">
        <f t="shared" si="27"/>
        <v>100000</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3" t="s">
        <v>1963</v>
      </c>
      <c r="B354" s="683" t="s">
        <v>1955</v>
      </c>
      <c r="C354" s="617"/>
      <c r="D354" s="617"/>
      <c r="E354" s="617"/>
      <c r="F354" s="617"/>
      <c r="G354" s="617"/>
      <c r="H354" s="474" t="s">
        <v>1231</v>
      </c>
      <c r="I354" s="701"/>
      <c r="J354" s="617"/>
      <c r="K354" s="1717" t="str">
        <f>H354</f>
        <v xml:space="preserve"> </v>
      </c>
      <c r="L354" s="471">
        <v>0</v>
      </c>
    </row>
    <row r="355" spans="1:14" ht="12.75" customHeight="1" x14ac:dyDescent="0.2">
      <c r="A355" s="1533" t="s">
        <v>1964</v>
      </c>
      <c r="B355" s="690" t="s">
        <v>1957</v>
      </c>
      <c r="C355" s="617"/>
      <c r="D355" s="617"/>
      <c r="E355" s="617"/>
      <c r="F355" s="617"/>
      <c r="G355" s="617"/>
      <c r="H355" s="467" t="s">
        <v>1231</v>
      </c>
      <c r="I355" s="701"/>
      <c r="J355" s="617"/>
      <c r="K355" s="1761" t="str">
        <f>H355</f>
        <v xml:space="preserve"> </v>
      </c>
      <c r="L355" s="467">
        <v>0</v>
      </c>
    </row>
    <row r="356" spans="1:14" ht="12.75" customHeight="1" x14ac:dyDescent="0.2">
      <c r="A356" s="1853" t="s">
        <v>722</v>
      </c>
      <c r="B356" s="683" t="s">
        <v>579</v>
      </c>
      <c r="C356" s="617"/>
      <c r="D356" s="617"/>
      <c r="E356" s="617"/>
      <c r="F356" s="617"/>
      <c r="G356" s="617"/>
      <c r="H356" s="479">
        <v>0</v>
      </c>
      <c r="I356" s="701"/>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v>0</v>
      </c>
      <c r="I360" s="617"/>
      <c r="J360" s="617"/>
      <c r="K360" s="1689">
        <f>SUM(C360:J360)</f>
        <v>0</v>
      </c>
      <c r="L360" s="466">
        <v>0</v>
      </c>
    </row>
    <row r="361" spans="1:14" ht="12.75" customHeight="1" x14ac:dyDescent="0.2">
      <c r="A361" s="1525" t="s">
        <v>640</v>
      </c>
      <c r="B361" s="603" t="s">
        <v>639</v>
      </c>
      <c r="C361" s="617"/>
      <c r="D361" s="617"/>
      <c r="E361" s="617"/>
      <c r="F361" s="617"/>
      <c r="G361" s="617"/>
      <c r="H361" s="467">
        <v>0</v>
      </c>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t="s">
        <v>1231</v>
      </c>
      <c r="I363" s="638"/>
      <c r="J363" s="638"/>
      <c r="K363" s="1717">
        <f>SUM(C363:J363)</f>
        <v>0</v>
      </c>
      <c r="L363" s="479">
        <v>0</v>
      </c>
      <c r="M363" s="665"/>
      <c r="N363" s="665"/>
    </row>
    <row r="364" spans="1:14" s="708" customFormat="1" ht="29.25" customHeight="1" x14ac:dyDescent="0.2">
      <c r="A364" s="702" t="s">
        <v>1771</v>
      </c>
      <c r="B364" s="703">
        <v>5300</v>
      </c>
      <c r="C364" s="704"/>
      <c r="D364" s="705"/>
      <c r="E364" s="705"/>
      <c r="F364" s="704"/>
      <c r="G364" s="705"/>
      <c r="H364" s="706" t="s">
        <v>1231</v>
      </c>
      <c r="I364" s="705"/>
      <c r="J364" s="705"/>
      <c r="K364" s="1689">
        <f>SUM(C364:J364)</f>
        <v>0</v>
      </c>
      <c r="L364" s="707">
        <v>0</v>
      </c>
    </row>
    <row r="365" spans="1:14" s="674" customFormat="1" ht="12.75" customHeight="1" thickBot="1" x14ac:dyDescent="0.25">
      <c r="A365" s="1541" t="s">
        <v>611</v>
      </c>
      <c r="B365" s="659" t="s">
        <v>513</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0</v>
      </c>
      <c r="H367" s="1688">
        <f t="shared" si="28"/>
        <v>0</v>
      </c>
      <c r="I367" s="1688">
        <f t="shared" si="28"/>
        <v>0</v>
      </c>
      <c r="J367" s="1688">
        <f t="shared" si="28"/>
        <v>0</v>
      </c>
      <c r="K367" s="1688">
        <f t="shared" si="28"/>
        <v>0</v>
      </c>
      <c r="L367" s="1688">
        <f t="shared" si="28"/>
        <v>100000</v>
      </c>
    </row>
    <row r="368" spans="1:14" ht="13.5" thickTop="1" x14ac:dyDescent="0.2">
      <c r="A368" s="2172" t="s">
        <v>1053</v>
      </c>
      <c r="B368" s="2173"/>
      <c r="C368" s="654"/>
      <c r="D368" s="654"/>
      <c r="E368" s="627"/>
      <c r="F368" s="627"/>
      <c r="G368" s="627"/>
      <c r="H368" s="627"/>
      <c r="I368" s="627"/>
      <c r="J368" s="624"/>
      <c r="K368" s="1689">
        <f>'Revenues 9-14'!K275-'Expenditures 15-22'!K367</f>
        <v>63004</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5" colorId="8" zoomScale="110" zoomScaleNormal="110" workbookViewId="0">
      <selection activeCell="H1" sqref="H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199" t="s">
        <v>1905</v>
      </c>
      <c r="B2" s="1548" t="s">
        <v>2035</v>
      </c>
      <c r="C2" s="714" t="s">
        <v>1910</v>
      </c>
      <c r="D2" s="714" t="s">
        <v>1911</v>
      </c>
      <c r="E2" s="714" t="s">
        <v>1912</v>
      </c>
      <c r="F2" s="714" t="s">
        <v>1913</v>
      </c>
    </row>
    <row r="3" spans="1:6" ht="12" customHeight="1" x14ac:dyDescent="0.2">
      <c r="A3" s="2200"/>
      <c r="B3" s="1545"/>
      <c r="C3" s="1546"/>
      <c r="D3" s="1547" t="s">
        <v>274</v>
      </c>
      <c r="E3" s="1546"/>
      <c r="F3" s="1547" t="s">
        <v>275</v>
      </c>
    </row>
    <row r="4" spans="1:6" ht="13.7" customHeight="1" x14ac:dyDescent="0.2">
      <c r="A4" s="715" t="s">
        <v>1217</v>
      </c>
      <c r="B4" s="1767">
        <f>'Revenues 9-14'!C5</f>
        <v>3673139</v>
      </c>
      <c r="C4" s="1544">
        <v>2079063</v>
      </c>
      <c r="D4" s="1770">
        <f>B4-C4</f>
        <v>1594076</v>
      </c>
      <c r="E4" s="1544">
        <v>3659657</v>
      </c>
      <c r="F4" s="1770">
        <f>E4-C4</f>
        <v>1580594</v>
      </c>
    </row>
    <row r="5" spans="1:6" ht="13.7" customHeight="1" x14ac:dyDescent="0.2">
      <c r="A5" s="715" t="s">
        <v>925</v>
      </c>
      <c r="B5" s="1768">
        <f>'Revenues 9-14'!D5</f>
        <v>592443</v>
      </c>
      <c r="C5" s="585">
        <v>335334</v>
      </c>
      <c r="D5" s="1771">
        <f t="shared" ref="D5:D18" si="0">B5-C5</f>
        <v>257109</v>
      </c>
      <c r="E5" s="585">
        <v>590267</v>
      </c>
      <c r="F5" s="1771">
        <f>E5-C5</f>
        <v>254933</v>
      </c>
    </row>
    <row r="6" spans="1:6" ht="13.7" customHeight="1" x14ac:dyDescent="0.2">
      <c r="A6" s="715" t="s">
        <v>431</v>
      </c>
      <c r="B6" s="1768">
        <f>'Revenues 9-14'!E5</f>
        <v>903627</v>
      </c>
      <c r="C6" s="585">
        <v>507720</v>
      </c>
      <c r="D6" s="1771">
        <f t="shared" si="0"/>
        <v>395907</v>
      </c>
      <c r="E6" s="585">
        <v>893712</v>
      </c>
      <c r="F6" s="1771">
        <f t="shared" ref="F6:F18" si="1">E6-C6</f>
        <v>385992</v>
      </c>
    </row>
    <row r="7" spans="1:6" ht="13.7" customHeight="1" x14ac:dyDescent="0.2">
      <c r="A7" s="715" t="s">
        <v>157</v>
      </c>
      <c r="B7" s="1768">
        <f>'Revenues 9-14'!F5</f>
        <v>236979</v>
      </c>
      <c r="C7" s="585">
        <v>134134</v>
      </c>
      <c r="D7" s="1771">
        <f t="shared" si="0"/>
        <v>102845</v>
      </c>
      <c r="E7" s="585">
        <v>236107</v>
      </c>
      <c r="F7" s="1771">
        <f t="shared" si="1"/>
        <v>101973</v>
      </c>
    </row>
    <row r="8" spans="1:6" ht="13.7" customHeight="1" x14ac:dyDescent="0.2">
      <c r="A8" s="715" t="s">
        <v>1241</v>
      </c>
      <c r="B8" s="1768">
        <f>'Revenues 9-14'!G5</f>
        <v>151827</v>
      </c>
      <c r="C8" s="585">
        <v>85216</v>
      </c>
      <c r="D8" s="1771">
        <f t="shared" si="0"/>
        <v>66611</v>
      </c>
      <c r="E8" s="585">
        <v>149999</v>
      </c>
      <c r="F8" s="1771">
        <f t="shared" si="1"/>
        <v>64783</v>
      </c>
    </row>
    <row r="9" spans="1:6" ht="13.7" customHeight="1" x14ac:dyDescent="0.2">
      <c r="A9" s="715" t="s">
        <v>428</v>
      </c>
      <c r="B9" s="1768">
        <f>'Revenues 9-14'!H5</f>
        <v>0</v>
      </c>
      <c r="C9" s="585"/>
      <c r="D9" s="1771">
        <f t="shared" si="0"/>
        <v>0</v>
      </c>
      <c r="E9" s="585"/>
      <c r="F9" s="1771">
        <f t="shared" si="1"/>
        <v>0</v>
      </c>
    </row>
    <row r="10" spans="1:6" ht="13.7" customHeight="1" x14ac:dyDescent="0.2">
      <c r="A10" s="715" t="s">
        <v>427</v>
      </c>
      <c r="B10" s="1768">
        <f>'Revenues 9-14'!I5</f>
        <v>59245</v>
      </c>
      <c r="C10" s="585">
        <v>33533</v>
      </c>
      <c r="D10" s="1771">
        <f t="shared" si="0"/>
        <v>25712</v>
      </c>
      <c r="E10" s="585">
        <v>59027</v>
      </c>
      <c r="F10" s="1771">
        <f t="shared" si="1"/>
        <v>25494</v>
      </c>
    </row>
    <row r="11" spans="1:6" x14ac:dyDescent="0.2">
      <c r="A11" s="715" t="s">
        <v>429</v>
      </c>
      <c r="B11" s="1768">
        <f>'Revenues 9-14'!J5</f>
        <v>166032</v>
      </c>
      <c r="C11" s="585">
        <v>99421</v>
      </c>
      <c r="D11" s="1771">
        <f t="shared" si="0"/>
        <v>66611</v>
      </c>
      <c r="E11" s="585">
        <v>175002</v>
      </c>
      <c r="F11" s="1771">
        <f t="shared" si="1"/>
        <v>75581</v>
      </c>
    </row>
    <row r="12" spans="1:6" ht="13.7" customHeight="1" x14ac:dyDescent="0.2">
      <c r="A12" s="715" t="s">
        <v>159</v>
      </c>
      <c r="B12" s="1768">
        <f>'Revenues 9-14'!K5</f>
        <v>59245</v>
      </c>
      <c r="C12" s="585">
        <v>33533</v>
      </c>
      <c r="D12" s="1771">
        <f t="shared" si="0"/>
        <v>25712</v>
      </c>
      <c r="E12" s="585">
        <v>59027</v>
      </c>
      <c r="F12" s="1771">
        <f t="shared" si="1"/>
        <v>25494</v>
      </c>
    </row>
    <row r="13" spans="1:6" ht="13.7" customHeight="1" x14ac:dyDescent="0.2">
      <c r="A13" s="715" t="s">
        <v>993</v>
      </c>
      <c r="B13" s="1768">
        <f>SUM('Revenues 9-14'!C6:D6)</f>
        <v>59245</v>
      </c>
      <c r="C13" s="585">
        <v>33533</v>
      </c>
      <c r="D13" s="1771">
        <f t="shared" si="0"/>
        <v>25712</v>
      </c>
      <c r="E13" s="585">
        <v>59027</v>
      </c>
      <c r="F13" s="1771">
        <f t="shared" si="1"/>
        <v>25494</v>
      </c>
    </row>
    <row r="14" spans="1:6" ht="13.7" customHeight="1" x14ac:dyDescent="0.2">
      <c r="A14" s="715" t="s">
        <v>430</v>
      </c>
      <c r="B14" s="1768">
        <f>SUM('Revenues 9-14'!C7:D7,'Revenues 9-14'!F7:H7)</f>
        <v>47396</v>
      </c>
      <c r="C14" s="585">
        <v>26827</v>
      </c>
      <c r="D14" s="1771">
        <f t="shared" si="0"/>
        <v>20569</v>
      </c>
      <c r="E14" s="585">
        <v>47221</v>
      </c>
      <c r="F14" s="1771">
        <f t="shared" si="1"/>
        <v>20394</v>
      </c>
    </row>
    <row r="15" spans="1:6" ht="13.7" customHeight="1" x14ac:dyDescent="0.2">
      <c r="A15" s="715" t="s">
        <v>1220</v>
      </c>
      <c r="B15" s="1768">
        <f>'Revenues 9-14'!E9</f>
        <v>0</v>
      </c>
      <c r="C15" s="585"/>
      <c r="D15" s="1771">
        <f t="shared" si="0"/>
        <v>0</v>
      </c>
      <c r="E15" s="585"/>
      <c r="F15" s="1771">
        <f t="shared" si="1"/>
        <v>0</v>
      </c>
    </row>
    <row r="16" spans="1:6" ht="13.7" customHeight="1" x14ac:dyDescent="0.2">
      <c r="A16" s="715" t="s">
        <v>1221</v>
      </c>
      <c r="B16" s="1768">
        <f>'Revenues 9-14'!G8</f>
        <v>115421</v>
      </c>
      <c r="C16" s="585">
        <v>71012</v>
      </c>
      <c r="D16" s="1771">
        <f t="shared" si="0"/>
        <v>44409</v>
      </c>
      <c r="E16" s="585">
        <v>124995</v>
      </c>
      <c r="F16" s="1771">
        <f t="shared" si="1"/>
        <v>53983</v>
      </c>
    </row>
    <row r="17" spans="1:6" ht="13.7" customHeight="1" x14ac:dyDescent="0.2">
      <c r="A17" s="715" t="s">
        <v>1222</v>
      </c>
      <c r="B17" s="1768">
        <f>'Revenues 9-14'!C10</f>
        <v>0</v>
      </c>
      <c r="C17" s="585"/>
      <c r="D17" s="1771">
        <f t="shared" si="0"/>
        <v>0</v>
      </c>
      <c r="E17" s="585"/>
      <c r="F17" s="1771">
        <f t="shared" si="1"/>
        <v>0</v>
      </c>
    </row>
    <row r="18" spans="1:6" ht="13.7" customHeight="1" x14ac:dyDescent="0.2">
      <c r="A18" s="715" t="s">
        <v>786</v>
      </c>
      <c r="B18" s="1768">
        <f>SUM('Revenues 9-14'!C11:K11)</f>
        <v>0</v>
      </c>
      <c r="C18" s="585"/>
      <c r="D18" s="1771">
        <f t="shared" si="0"/>
        <v>0</v>
      </c>
      <c r="E18" s="585"/>
      <c r="F18" s="1771">
        <f t="shared" si="1"/>
        <v>0</v>
      </c>
    </row>
    <row r="19" spans="1:6" ht="13.7" customHeight="1" thickBot="1" x14ac:dyDescent="0.25">
      <c r="A19" s="1772" t="s">
        <v>1223</v>
      </c>
      <c r="B19" s="1769">
        <f>SUM(B4:B18)</f>
        <v>6064599</v>
      </c>
      <c r="C19" s="1769">
        <f>SUM(C4:C18)</f>
        <v>3439326</v>
      </c>
      <c r="D19" s="1769">
        <f>SUM(D4:D18)</f>
        <v>2625273</v>
      </c>
      <c r="E19" s="1769">
        <f>SUM(E4:E18)</f>
        <v>6054041</v>
      </c>
      <c r="F19" s="1769">
        <f>SUM(F4:F18)</f>
        <v>2614715</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2" colorId="8" zoomScale="80" zoomScaleNormal="80" workbookViewId="0">
      <selection activeCell="H1" sqref="H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1"/>
    </row>
    <row r="2" spans="1:7" ht="33.75" x14ac:dyDescent="0.2">
      <c r="A2" s="2226" t="s">
        <v>1905</v>
      </c>
      <c r="B2" s="2227"/>
      <c r="C2" s="1902" t="s">
        <v>2036</v>
      </c>
      <c r="D2" s="723" t="s">
        <v>2043</v>
      </c>
      <c r="E2" s="723" t="s">
        <v>2044</v>
      </c>
      <c r="F2" s="1902" t="s">
        <v>2037</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3">
        <f>SUM(C4+D4)-E4</f>
        <v>0</v>
      </c>
    </row>
    <row r="5" spans="1:7" ht="15.75" customHeight="1" thickTop="1" x14ac:dyDescent="0.2">
      <c r="A5" s="2220" t="s">
        <v>1172</v>
      </c>
      <c r="B5" s="2215"/>
      <c r="C5" s="2209"/>
      <c r="D5" s="2210"/>
      <c r="E5" s="2210"/>
      <c r="F5" s="2211"/>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529</v>
      </c>
      <c r="B8" s="725"/>
      <c r="C8" s="726"/>
      <c r="D8" s="585"/>
      <c r="E8" s="726"/>
      <c r="F8" s="1773">
        <f t="shared" si="0"/>
        <v>0</v>
      </c>
    </row>
    <row r="9" spans="1:7" ht="12.75" customHeight="1" thickTop="1" thickBot="1" x14ac:dyDescent="0.25">
      <c r="A9" s="724" t="s">
        <v>530</v>
      </c>
      <c r="B9" s="725"/>
      <c r="C9" s="726"/>
      <c r="D9" s="585"/>
      <c r="E9" s="726"/>
      <c r="F9" s="1773">
        <f t="shared" si="0"/>
        <v>0</v>
      </c>
    </row>
    <row r="10" spans="1:7" ht="12.75" customHeight="1" thickTop="1" thickBot="1" x14ac:dyDescent="0.25">
      <c r="A10" s="724" t="s">
        <v>531</v>
      </c>
      <c r="B10" s="725"/>
      <c r="C10" s="726"/>
      <c r="D10" s="585"/>
      <c r="E10" s="726"/>
      <c r="F10" s="1773">
        <f t="shared" si="0"/>
        <v>0</v>
      </c>
    </row>
    <row r="11" spans="1:7" ht="12.75" customHeight="1" thickTop="1" thickBot="1" x14ac:dyDescent="0.25">
      <c r="A11" s="724" t="s">
        <v>359</v>
      </c>
      <c r="B11" s="725"/>
      <c r="C11" s="726"/>
      <c r="D11" s="585"/>
      <c r="E11" s="726"/>
      <c r="F11" s="1773">
        <f t="shared" si="0"/>
        <v>0</v>
      </c>
    </row>
    <row r="12" spans="1:7" ht="12.75" customHeight="1" thickTop="1" thickBot="1" x14ac:dyDescent="0.25">
      <c r="A12" s="724" t="s">
        <v>1219</v>
      </c>
      <c r="B12" s="725"/>
      <c r="C12" s="726"/>
      <c r="D12" s="585"/>
      <c r="E12" s="726"/>
      <c r="F12" s="1773">
        <f t="shared" si="0"/>
        <v>0</v>
      </c>
    </row>
    <row r="13" spans="1:7" ht="12.75" customHeight="1" thickTop="1" thickBot="1" x14ac:dyDescent="0.25">
      <c r="A13" s="724" t="s">
        <v>406</v>
      </c>
      <c r="B13" s="725"/>
      <c r="C13" s="726"/>
      <c r="D13" s="585"/>
      <c r="E13" s="726"/>
      <c r="F13" s="1773">
        <f t="shared" si="0"/>
        <v>0</v>
      </c>
    </row>
    <row r="14" spans="1:7" ht="12.75" customHeight="1" thickTop="1" thickBot="1" x14ac:dyDescent="0.25">
      <c r="A14" s="724" t="s">
        <v>468</v>
      </c>
      <c r="B14" s="725"/>
      <c r="C14" s="726"/>
      <c r="D14" s="585"/>
      <c r="E14" s="726"/>
      <c r="F14" s="1773">
        <f t="shared" si="0"/>
        <v>0</v>
      </c>
    </row>
    <row r="15" spans="1:7" ht="14.25" thickTop="1" thickBot="1" x14ac:dyDescent="0.25">
      <c r="A15" s="2212" t="s">
        <v>652</v>
      </c>
      <c r="B15" s="2213"/>
      <c r="C15" s="1773">
        <f>SUM(C6:C14)</f>
        <v>0</v>
      </c>
      <c r="D15" s="1773">
        <f>SUM(D6:D14)</f>
        <v>0</v>
      </c>
      <c r="E15" s="1773">
        <f>SUM(E6:E14)</f>
        <v>0</v>
      </c>
      <c r="F15" s="1773">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6"/>
      <c r="D17" s="585"/>
      <c r="E17" s="726"/>
      <c r="F17" s="1773">
        <f>SUM(C17+D17)-E17</f>
        <v>0</v>
      </c>
    </row>
    <row r="18" spans="1:11" ht="12.75" customHeight="1" thickTop="1" thickBot="1" x14ac:dyDescent="0.25">
      <c r="A18" s="2207" t="s">
        <v>6</v>
      </c>
      <c r="B18" s="2208"/>
      <c r="C18" s="726"/>
      <c r="D18" s="585"/>
      <c r="E18" s="726"/>
      <c r="F18" s="1773">
        <f>SUM(C18+D18)-E18</f>
        <v>0</v>
      </c>
    </row>
    <row r="19" spans="1:11" ht="12.75" customHeight="1" thickTop="1" thickBot="1" x14ac:dyDescent="0.25">
      <c r="A19" s="2207" t="s">
        <v>406</v>
      </c>
      <c r="B19" s="2208"/>
      <c r="C19" s="726"/>
      <c r="D19" s="585"/>
      <c r="E19" s="726"/>
      <c r="F19" s="1773">
        <f>SUM(C19+D19)-E19</f>
        <v>0</v>
      </c>
    </row>
    <row r="20" spans="1:11" ht="12.75" customHeight="1" thickTop="1" thickBot="1" x14ac:dyDescent="0.25">
      <c r="A20" s="2207" t="s">
        <v>468</v>
      </c>
      <c r="B20" s="2208"/>
      <c r="C20" s="726"/>
      <c r="D20" s="585"/>
      <c r="E20" s="726"/>
      <c r="F20" s="1773">
        <f>SUM(C20+D20)-E20</f>
        <v>0</v>
      </c>
    </row>
    <row r="21" spans="1:11" ht="14.25" thickTop="1" thickBot="1" x14ac:dyDescent="0.25">
      <c r="A21" s="2212" t="s">
        <v>653</v>
      </c>
      <c r="B21" s="2213"/>
      <c r="C21" s="1773">
        <f>SUM(C17:C20)</f>
        <v>0</v>
      </c>
      <c r="D21" s="1773">
        <f>SUM(D17:D20)</f>
        <v>0</v>
      </c>
      <c r="E21" s="1773">
        <f>SUM(E17:E20)</f>
        <v>0</v>
      </c>
      <c r="F21" s="1773">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3">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3">
        <f>SUM(C25+D25)-E25</f>
        <v>0</v>
      </c>
      <c r="G25" s="552"/>
    </row>
    <row r="26" spans="1:11" ht="15.75" customHeight="1" thickTop="1" x14ac:dyDescent="0.2">
      <c r="A26" s="2220" t="s">
        <v>678</v>
      </c>
      <c r="B26" s="2215"/>
      <c r="C26" s="727"/>
      <c r="D26" s="727"/>
      <c r="E26" s="727"/>
      <c r="F26" s="728"/>
    </row>
    <row r="27" spans="1:11" ht="13.5" thickBot="1" x14ac:dyDescent="0.25">
      <c r="A27" s="2212" t="s">
        <v>1130</v>
      </c>
      <c r="B27" s="2213"/>
      <c r="C27" s="585"/>
      <c r="D27" s="585"/>
      <c r="E27" s="585"/>
      <c r="F27" s="1773">
        <f>SUM(C27+D27)-E27</f>
        <v>0</v>
      </c>
      <c r="G27" s="552"/>
    </row>
    <row r="28" spans="1:11" ht="7.5" customHeight="1" thickTop="1" x14ac:dyDescent="0.2">
      <c r="A28" s="594"/>
    </row>
    <row r="29" spans="1:11" ht="23.25" customHeight="1" x14ac:dyDescent="0.2">
      <c r="A29" s="2218" t="s">
        <v>603</v>
      </c>
      <c r="B29" s="2219"/>
      <c r="C29" s="729"/>
      <c r="D29" s="729"/>
      <c r="E29" s="729"/>
      <c r="F29" s="729"/>
      <c r="G29" s="729"/>
      <c r="H29" s="729"/>
      <c r="I29" s="729"/>
      <c r="J29" s="729"/>
    </row>
    <row r="30" spans="1:11" ht="33.75" x14ac:dyDescent="0.2">
      <c r="A30" s="1549" t="s">
        <v>1131</v>
      </c>
      <c r="B30" s="730" t="s">
        <v>1186</v>
      </c>
      <c r="C30" s="1903" t="s">
        <v>604</v>
      </c>
      <c r="D30" s="1903" t="s">
        <v>1772</v>
      </c>
      <c r="E30" s="1903" t="s">
        <v>2038</v>
      </c>
      <c r="F30" s="1903" t="s">
        <v>2039</v>
      </c>
      <c r="G30" s="1903" t="s">
        <v>2042</v>
      </c>
      <c r="H30" s="1903" t="s">
        <v>2040</v>
      </c>
      <c r="I30" s="1903" t="s">
        <v>2041</v>
      </c>
      <c r="J30" s="1904" t="s">
        <v>2</v>
      </c>
      <c r="K30" s="731"/>
    </row>
    <row r="31" spans="1:11" ht="12" customHeight="1" x14ac:dyDescent="0.2">
      <c r="A31" s="732" t="s">
        <v>2094</v>
      </c>
      <c r="B31" s="733">
        <v>42312</v>
      </c>
      <c r="C31" s="734">
        <v>1280000</v>
      </c>
      <c r="D31" s="735">
        <v>3</v>
      </c>
      <c r="E31" s="734">
        <v>580000</v>
      </c>
      <c r="F31" s="734"/>
      <c r="G31" s="734"/>
      <c r="H31" s="734">
        <v>580000</v>
      </c>
      <c r="I31" s="1774">
        <f>((E31+F31)-H31)+G31</f>
        <v>0</v>
      </c>
      <c r="J31" s="734"/>
      <c r="K31" s="736"/>
    </row>
    <row r="32" spans="1:11" ht="12" customHeight="1" x14ac:dyDescent="0.2">
      <c r="A32" s="732" t="s">
        <v>2095</v>
      </c>
      <c r="B32" s="733">
        <v>42426</v>
      </c>
      <c r="C32" s="734">
        <v>2000000</v>
      </c>
      <c r="D32" s="735">
        <v>1</v>
      </c>
      <c r="E32" s="734">
        <v>1935000</v>
      </c>
      <c r="F32" s="734"/>
      <c r="G32" s="734"/>
      <c r="H32" s="734">
        <v>230000</v>
      </c>
      <c r="I32" s="1774">
        <f>((E32+F32)-H32)+G32</f>
        <v>1705000</v>
      </c>
      <c r="J32" s="734">
        <v>1218977</v>
      </c>
      <c r="K32" s="736"/>
    </row>
    <row r="33" spans="1:11" ht="12" customHeight="1" x14ac:dyDescent="0.2">
      <c r="A33" s="732" t="s">
        <v>2096</v>
      </c>
      <c r="B33" s="733">
        <v>42226</v>
      </c>
      <c r="C33" s="734">
        <v>84900</v>
      </c>
      <c r="D33" s="735">
        <v>7</v>
      </c>
      <c r="E33" s="734">
        <v>51745</v>
      </c>
      <c r="F33" s="734"/>
      <c r="G33" s="734"/>
      <c r="H33" s="734">
        <v>16536</v>
      </c>
      <c r="I33" s="1774">
        <f t="shared" ref="I33:I48" si="1">((E33+F33)-H33)+G33</f>
        <v>35209</v>
      </c>
      <c r="J33" s="734">
        <v>35209</v>
      </c>
      <c r="K33" s="736"/>
    </row>
    <row r="34" spans="1:11" ht="12" customHeight="1" x14ac:dyDescent="0.2">
      <c r="A34" s="732"/>
      <c r="B34" s="733"/>
      <c r="C34" s="734"/>
      <c r="D34" s="735"/>
      <c r="E34" s="734"/>
      <c r="F34" s="734"/>
      <c r="G34" s="734"/>
      <c r="H34" s="734"/>
      <c r="I34" s="1774">
        <f t="shared" si="1"/>
        <v>0</v>
      </c>
      <c r="J34" s="734"/>
      <c r="K34" s="737"/>
    </row>
    <row r="35" spans="1:11" ht="12" customHeight="1" x14ac:dyDescent="0.2">
      <c r="A35" s="732"/>
      <c r="B35" s="733"/>
      <c r="C35" s="738"/>
      <c r="D35" s="735"/>
      <c r="E35" s="738"/>
      <c r="F35" s="738"/>
      <c r="G35" s="738"/>
      <c r="H35" s="738"/>
      <c r="I35" s="1774">
        <f t="shared" si="1"/>
        <v>0</v>
      </c>
      <c r="J35" s="738"/>
      <c r="K35" s="737"/>
    </row>
    <row r="36" spans="1:11" ht="12" customHeight="1" x14ac:dyDescent="0.2">
      <c r="A36" s="732"/>
      <c r="B36" s="733"/>
      <c r="C36" s="734"/>
      <c r="D36" s="735"/>
      <c r="E36" s="734"/>
      <c r="F36" s="734"/>
      <c r="G36" s="734"/>
      <c r="H36" s="734"/>
      <c r="I36" s="1774">
        <f t="shared" si="1"/>
        <v>0</v>
      </c>
      <c r="J36" s="734"/>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282</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3364900</v>
      </c>
      <c r="D49" s="745"/>
      <c r="E49" s="1774">
        <f t="shared" ref="E49:J49" si="2">SUM(E31:E48)</f>
        <v>2566745</v>
      </c>
      <c r="F49" s="1774">
        <f t="shared" si="2"/>
        <v>0</v>
      </c>
      <c r="G49" s="1774">
        <f t="shared" si="2"/>
        <v>0</v>
      </c>
      <c r="H49" s="1774">
        <f t="shared" si="2"/>
        <v>826536</v>
      </c>
      <c r="I49" s="1774">
        <f t="shared" si="2"/>
        <v>1740209</v>
      </c>
      <c r="J49" s="1774">
        <f t="shared" si="2"/>
        <v>1254186</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01" t="s">
        <v>605</v>
      </c>
      <c r="C52" s="2202"/>
      <c r="D52" s="2202"/>
      <c r="E52" s="749" t="s">
        <v>900</v>
      </c>
      <c r="F52" s="2203" t="s">
        <v>2097</v>
      </c>
      <c r="G52" s="2204"/>
      <c r="H52" s="736"/>
      <c r="I52" s="736"/>
      <c r="J52" s="746"/>
    </row>
    <row r="53" spans="1:11" ht="11.25" customHeight="1" x14ac:dyDescent="0.2">
      <c r="A53" s="750" t="s">
        <v>969</v>
      </c>
      <c r="B53" s="751" t="s">
        <v>1008</v>
      </c>
      <c r="C53" s="746"/>
      <c r="D53" s="737"/>
      <c r="E53" s="749" t="s">
        <v>518</v>
      </c>
      <c r="F53" s="2205"/>
      <c r="G53" s="2206"/>
      <c r="H53" s="736"/>
      <c r="I53" s="736"/>
      <c r="J53" s="746"/>
    </row>
    <row r="54" spans="1:11" ht="11.25" customHeight="1" x14ac:dyDescent="0.2">
      <c r="A54" s="752" t="s">
        <v>970</v>
      </c>
      <c r="B54" s="747" t="s">
        <v>1009</v>
      </c>
      <c r="C54" s="746"/>
      <c r="D54" s="737"/>
      <c r="E54" s="749" t="s">
        <v>519</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0"/>
      <c r="I1" s="760"/>
      <c r="J1" s="433"/>
    </row>
    <row r="2" spans="1:11" ht="26.25" x14ac:dyDescent="0.2">
      <c r="A2" s="2249" t="s">
        <v>1776</v>
      </c>
      <c r="B2" s="2250"/>
      <c r="C2" s="2250"/>
      <c r="D2" s="2250"/>
      <c r="E2" s="2251"/>
      <c r="F2" s="761" t="s">
        <v>960</v>
      </c>
      <c r="G2" s="762" t="s">
        <v>1773</v>
      </c>
      <c r="H2" s="762" t="s">
        <v>430</v>
      </c>
      <c r="I2" s="762" t="s">
        <v>1220</v>
      </c>
      <c r="J2" s="762" t="s">
        <v>1919</v>
      </c>
      <c r="K2" s="762" t="s">
        <v>140</v>
      </c>
    </row>
    <row r="3" spans="1:11" x14ac:dyDescent="0.2">
      <c r="A3" s="2252" t="s">
        <v>1698</v>
      </c>
      <c r="B3" s="2253"/>
      <c r="C3" s="2253"/>
      <c r="D3" s="2253"/>
      <c r="E3" s="2254"/>
      <c r="F3" s="763"/>
      <c r="G3" s="764">
        <v>208840</v>
      </c>
      <c r="H3" s="764"/>
      <c r="I3" s="764"/>
      <c r="J3" s="765"/>
      <c r="K3" s="765"/>
    </row>
    <row r="4" spans="1:11" x14ac:dyDescent="0.2">
      <c r="A4" s="2255" t="s">
        <v>387</v>
      </c>
      <c r="B4" s="2256"/>
      <c r="C4" s="2256"/>
      <c r="D4" s="2256"/>
      <c r="E4" s="2202"/>
      <c r="F4" s="766"/>
      <c r="G4" s="767"/>
      <c r="H4" s="768"/>
      <c r="I4" s="767"/>
      <c r="J4" s="769"/>
      <c r="K4" s="769"/>
    </row>
    <row r="5" spans="1:11" x14ac:dyDescent="0.2">
      <c r="A5" s="2233" t="s">
        <v>1129</v>
      </c>
      <c r="B5" s="2234"/>
      <c r="C5" s="2234"/>
      <c r="D5" s="2234"/>
      <c r="E5" s="2235"/>
      <c r="F5" s="770" t="s">
        <v>903</v>
      </c>
      <c r="G5" s="771"/>
      <c r="H5" s="764">
        <v>47396</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6877</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v>8614</v>
      </c>
    </row>
    <row r="10" spans="1:11" x14ac:dyDescent="0.2">
      <c r="A10" s="2233" t="s">
        <v>1920</v>
      </c>
      <c r="B10" s="2234"/>
      <c r="C10" s="2234"/>
      <c r="D10" s="2234"/>
      <c r="E10" s="2236"/>
      <c r="F10" s="783" t="s">
        <v>917</v>
      </c>
      <c r="G10" s="782"/>
      <c r="H10" s="784"/>
      <c r="I10" s="764"/>
      <c r="J10" s="765"/>
      <c r="K10" s="765"/>
    </row>
    <row r="11" spans="1:11" x14ac:dyDescent="0.2">
      <c r="A11" s="2233" t="s">
        <v>162</v>
      </c>
      <c r="B11" s="2234"/>
      <c r="C11" s="2234"/>
      <c r="D11" s="2234"/>
      <c r="E11" s="2235"/>
      <c r="F11" s="770" t="s">
        <v>907</v>
      </c>
      <c r="G11" s="771"/>
      <c r="H11" s="764"/>
      <c r="I11" s="764"/>
      <c r="J11" s="765"/>
      <c r="K11" s="773"/>
    </row>
    <row r="12" spans="1:11" ht="13.5" thickBot="1" x14ac:dyDescent="0.25">
      <c r="A12" s="2260" t="s">
        <v>961</v>
      </c>
      <c r="B12" s="2261"/>
      <c r="C12" s="2261"/>
      <c r="D12" s="2261"/>
      <c r="E12" s="2262"/>
      <c r="F12" s="1775"/>
      <c r="G12" s="1776">
        <f>SUM(G5:G11)</f>
        <v>0</v>
      </c>
      <c r="H12" s="1776">
        <f>SUM(H5:H11)</f>
        <v>47396</v>
      </c>
      <c r="I12" s="1776">
        <f>SUM(I5:I11)</f>
        <v>0</v>
      </c>
      <c r="J12" s="1776">
        <f>SUM(J5:J11)</f>
        <v>0</v>
      </c>
      <c r="K12" s="1776">
        <f>SUM(K5:K11)</f>
        <v>15491</v>
      </c>
    </row>
    <row r="13" spans="1:11" ht="13.5" thickTop="1" x14ac:dyDescent="0.2">
      <c r="A13" s="2257" t="s">
        <v>388</v>
      </c>
      <c r="B13" s="2258"/>
      <c r="C13" s="2258"/>
      <c r="D13" s="2258"/>
      <c r="E13" s="2259"/>
      <c r="F13" s="785"/>
      <c r="G13" s="786"/>
      <c r="H13" s="787"/>
      <c r="I13" s="788"/>
      <c r="J13" s="788"/>
      <c r="K13" s="788"/>
    </row>
    <row r="14" spans="1:11" x14ac:dyDescent="0.2">
      <c r="A14" s="2240" t="s">
        <v>476</v>
      </c>
      <c r="B14" s="2240"/>
      <c r="C14" s="2240"/>
      <c r="D14" s="2240"/>
      <c r="E14" s="2241"/>
      <c r="F14" s="789" t="s">
        <v>909</v>
      </c>
      <c r="G14" s="782"/>
      <c r="H14" s="764">
        <v>47396</v>
      </c>
      <c r="I14" s="771"/>
      <c r="J14" s="773"/>
      <c r="K14" s="765">
        <v>15491</v>
      </c>
    </row>
    <row r="15" spans="1:11" x14ac:dyDescent="0.2">
      <c r="A15" s="2234" t="s">
        <v>4</v>
      </c>
      <c r="B15" s="2234"/>
      <c r="C15" s="2234"/>
      <c r="D15" s="2234"/>
      <c r="E15" s="2235"/>
      <c r="F15" s="789" t="s">
        <v>910</v>
      </c>
      <c r="G15" s="771"/>
      <c r="H15" s="764"/>
      <c r="I15" s="764"/>
      <c r="J15" s="765"/>
      <c r="K15" s="765"/>
    </row>
    <row r="16" spans="1:11" x14ac:dyDescent="0.2">
      <c r="A16" s="2234" t="s">
        <v>316</v>
      </c>
      <c r="B16" s="2234"/>
      <c r="C16" s="2234"/>
      <c r="D16" s="2234"/>
      <c r="E16" s="2235"/>
      <c r="F16" s="789" t="s">
        <v>980</v>
      </c>
      <c r="G16" s="772"/>
      <c r="H16" s="767"/>
      <c r="I16" s="767"/>
      <c r="J16" s="769"/>
      <c r="K16" s="769"/>
    </row>
    <row r="17" spans="1:11" x14ac:dyDescent="0.2">
      <c r="A17" s="2265" t="s">
        <v>992</v>
      </c>
      <c r="B17" s="2265"/>
      <c r="C17" s="2265"/>
      <c r="D17" s="2265"/>
      <c r="E17" s="2266"/>
      <c r="F17" s="790"/>
      <c r="G17" s="791"/>
      <c r="H17" s="792"/>
      <c r="I17" s="792"/>
      <c r="J17" s="793"/>
      <c r="K17" s="794"/>
    </row>
    <row r="18" spans="1:11" x14ac:dyDescent="0.2">
      <c r="A18" s="2244" t="s">
        <v>386</v>
      </c>
      <c r="B18" s="2245"/>
      <c r="C18" s="2245"/>
      <c r="D18" s="2245"/>
      <c r="E18" s="2246"/>
      <c r="F18" s="789" t="s">
        <v>989</v>
      </c>
      <c r="G18" s="782"/>
      <c r="H18" s="782"/>
      <c r="I18" s="782"/>
      <c r="J18" s="765"/>
      <c r="K18" s="795"/>
    </row>
    <row r="19" spans="1:11" ht="21.75" customHeight="1" x14ac:dyDescent="0.2">
      <c r="A19" s="2242" t="s">
        <v>1916</v>
      </c>
      <c r="B19" s="2242"/>
      <c r="C19" s="2242"/>
      <c r="D19" s="2242"/>
      <c r="E19" s="2243"/>
      <c r="F19" s="789" t="s">
        <v>990</v>
      </c>
      <c r="G19" s="782"/>
      <c r="H19" s="782"/>
      <c r="I19" s="782"/>
      <c r="J19" s="765"/>
      <c r="K19" s="795"/>
    </row>
    <row r="20" spans="1:11" x14ac:dyDescent="0.2">
      <c r="A20" s="2244" t="s">
        <v>1921</v>
      </c>
      <c r="B20" s="2245"/>
      <c r="C20" s="2245"/>
      <c r="D20" s="2245"/>
      <c r="E20" s="2246"/>
      <c r="F20" s="789" t="s">
        <v>991</v>
      </c>
      <c r="G20" s="782"/>
      <c r="H20" s="782"/>
      <c r="I20" s="782"/>
      <c r="J20" s="765"/>
      <c r="K20" s="795"/>
    </row>
    <row r="21" spans="1:11" ht="13.5" thickBot="1" x14ac:dyDescent="0.25">
      <c r="A21" s="2263" t="s">
        <v>659</v>
      </c>
      <c r="B21" s="2263"/>
      <c r="C21" s="2263"/>
      <c r="D21" s="2263"/>
      <c r="E21" s="2263"/>
      <c r="F21" s="1777"/>
      <c r="G21" s="792"/>
      <c r="H21" s="796"/>
      <c r="I21" s="796"/>
      <c r="J21" s="1778">
        <f>SUM(J18:J20)</f>
        <v>0</v>
      </c>
      <c r="K21" s="793"/>
    </row>
    <row r="22" spans="1:11" ht="13.5" thickTop="1" x14ac:dyDescent="0.2">
      <c r="A22" s="2234" t="s">
        <v>1922</v>
      </c>
      <c r="B22" s="2234"/>
      <c r="C22" s="2234"/>
      <c r="D22" s="2234"/>
      <c r="E22" s="2235"/>
      <c r="F22" s="789" t="s">
        <v>917</v>
      </c>
      <c r="G22" s="782"/>
      <c r="H22" s="764"/>
      <c r="I22" s="764"/>
      <c r="J22" s="797"/>
      <c r="K22" s="765"/>
    </row>
    <row r="23" spans="1:11" ht="13.5" thickBot="1" x14ac:dyDescent="0.25">
      <c r="A23" s="2264" t="s">
        <v>962</v>
      </c>
      <c r="B23" s="2263"/>
      <c r="C23" s="2263"/>
      <c r="D23" s="2263"/>
      <c r="E23" s="2263"/>
      <c r="F23" s="1779"/>
      <c r="G23" s="1776">
        <f>SUM(G14:G16,G21,G22)</f>
        <v>0</v>
      </c>
      <c r="H23" s="1776">
        <f>SUM(H14:H16,H21,H22)</f>
        <v>47396</v>
      </c>
      <c r="I23" s="1776">
        <f>SUM(I14:I16,I21,I22)</f>
        <v>0</v>
      </c>
      <c r="J23" s="1776">
        <f>SUM(J14:J16,J21,J22)</f>
        <v>0</v>
      </c>
      <c r="K23" s="1776">
        <f>SUM(K14:K16,K21,K22)</f>
        <v>15491</v>
      </c>
    </row>
    <row r="24" spans="1:11" ht="14.25" thickTop="1" thickBot="1" x14ac:dyDescent="0.25">
      <c r="A24" s="2264" t="s">
        <v>2024</v>
      </c>
      <c r="B24" s="2263"/>
      <c r="C24" s="2263"/>
      <c r="D24" s="2263"/>
      <c r="E24" s="2263"/>
      <c r="F24" s="1780"/>
      <c r="G24" s="1781">
        <f>SUM(G3,G12)-G23</f>
        <v>208840</v>
      </c>
      <c r="H24" s="1781">
        <f>SUM(H3,H12)-H23</f>
        <v>0</v>
      </c>
      <c r="I24" s="1781">
        <f>SUM(I3,I12)-I23</f>
        <v>0</v>
      </c>
      <c r="J24" s="1781">
        <f>SUM(J3,J12)-J23</f>
        <v>0</v>
      </c>
      <c r="K24" s="1781">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6">
        <f>G24-G25</f>
        <v>208840</v>
      </c>
      <c r="H26" s="1776">
        <f>H24-H25</f>
        <v>0</v>
      </c>
      <c r="I26" s="1776">
        <f>I24-I25</f>
        <v>0</v>
      </c>
      <c r="J26" s="1776">
        <f>J24-J25</f>
        <v>0</v>
      </c>
      <c r="K26" s="1776">
        <f>K24-K25</f>
        <v>0</v>
      </c>
    </row>
    <row r="27" spans="1:11" ht="5.25" customHeight="1" thickTop="1" x14ac:dyDescent="0.2">
      <c r="I27" s="202"/>
      <c r="J27" s="202"/>
    </row>
    <row r="28" spans="1:11" ht="29.25" customHeight="1" x14ac:dyDescent="0.2">
      <c r="A28" s="1898" t="s">
        <v>2034</v>
      </c>
      <c r="B28" s="1899"/>
      <c r="C28" s="1899"/>
      <c r="D28" s="1899"/>
      <c r="E28" s="1900"/>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7"/>
      <c r="I31" s="2238"/>
      <c r="J31" s="2238"/>
      <c r="K31" s="2238"/>
    </row>
    <row r="32" spans="1:11" x14ac:dyDescent="0.2">
      <c r="A32" s="809"/>
      <c r="B32" s="237"/>
      <c r="C32" s="237"/>
      <c r="D32" s="237"/>
      <c r="E32" s="805"/>
      <c r="F32" s="811" t="s">
        <v>561</v>
      </c>
      <c r="G32" s="764"/>
      <c r="H32" s="2239"/>
      <c r="I32" s="2238"/>
      <c r="J32" s="2238"/>
      <c r="K32" s="2238"/>
    </row>
    <row r="33" spans="1:11" ht="1.5" customHeight="1" x14ac:dyDescent="0.2">
      <c r="A33" s="812" t="s">
        <v>1231</v>
      </c>
      <c r="B33" s="364"/>
      <c r="C33" s="364"/>
      <c r="D33" s="364"/>
      <c r="E33" s="364"/>
      <c r="F33" s="364"/>
      <c r="G33" s="813"/>
      <c r="H33" s="2239"/>
      <c r="I33" s="2238"/>
      <c r="J33" s="2238"/>
      <c r="K33" s="2238"/>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4" t="s">
        <v>562</v>
      </c>
      <c r="B41" s="2247"/>
      <c r="C41" s="2247"/>
      <c r="D41" s="2247"/>
      <c r="E41" s="2247"/>
      <c r="F41" s="2248"/>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1" t="s">
        <v>1917</v>
      </c>
      <c r="B46" s="408" t="s">
        <v>1774</v>
      </c>
    </row>
    <row r="47" spans="1:11" s="823" customFormat="1" ht="12.75" customHeight="1" x14ac:dyDescent="0.2">
      <c r="A47" s="821"/>
      <c r="B47" s="822" t="s">
        <v>1775</v>
      </c>
      <c r="E47" s="822"/>
      <c r="K47" s="824"/>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70" zoomScaleNormal="110" zoomScalePageLayoutView="110" workbookViewId="0">
      <selection activeCell="H1" sqref="H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6"/>
      <c r="E1" s="827"/>
      <c r="F1" s="827"/>
      <c r="G1" s="828"/>
      <c r="H1" s="829"/>
      <c r="I1" s="830"/>
      <c r="J1" s="2267"/>
      <c r="K1" s="2268"/>
      <c r="L1" s="2268"/>
    </row>
    <row r="2" spans="1:14" ht="69.75" customHeight="1" x14ac:dyDescent="0.2">
      <c r="A2" s="831" t="s">
        <v>1777</v>
      </c>
      <c r="B2" s="832" t="s">
        <v>396</v>
      </c>
      <c r="C2" s="833" t="s">
        <v>2028</v>
      </c>
      <c r="D2" s="833" t="s">
        <v>2025</v>
      </c>
      <c r="E2" s="833" t="s">
        <v>2026</v>
      </c>
      <c r="F2" s="833" t="s">
        <v>2027</v>
      </c>
      <c r="G2" s="833" t="s">
        <v>626</v>
      </c>
      <c r="H2" s="833" t="s">
        <v>2029</v>
      </c>
      <c r="I2" s="833" t="s">
        <v>2030</v>
      </c>
      <c r="J2" s="833" t="s">
        <v>2045</v>
      </c>
      <c r="K2" s="833" t="s">
        <v>2031</v>
      </c>
      <c r="L2" s="833" t="s">
        <v>2032</v>
      </c>
      <c r="M2" s="834"/>
      <c r="N2" s="834"/>
    </row>
    <row r="3" spans="1:14" ht="13.5" thickBot="1" x14ac:dyDescent="0.25">
      <c r="A3" s="1649" t="s">
        <v>948</v>
      </c>
      <c r="B3" s="1650">
        <v>210</v>
      </c>
      <c r="C3" s="835"/>
      <c r="D3" s="835"/>
      <c r="E3" s="835"/>
      <c r="F3" s="1778">
        <f>(C3+D3)-E3</f>
        <v>0</v>
      </c>
      <c r="G3" s="836"/>
      <c r="H3" s="835"/>
      <c r="I3" s="835"/>
      <c r="J3" s="835"/>
      <c r="K3" s="1787">
        <f>(H3+I3)-J3</f>
        <v>0</v>
      </c>
      <c r="L3" s="1787">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949</v>
      </c>
      <c r="B5" s="840">
        <v>221</v>
      </c>
      <c r="C5" s="841">
        <v>166208</v>
      </c>
      <c r="D5" s="841">
        <v>76402</v>
      </c>
      <c r="E5" s="841"/>
      <c r="F5" s="1778">
        <f>(C5+D5)-E5</f>
        <v>242610</v>
      </c>
      <c r="G5" s="837"/>
      <c r="H5" s="842"/>
      <c r="I5" s="842"/>
      <c r="J5" s="842"/>
      <c r="K5" s="793"/>
      <c r="L5" s="1787">
        <f>F5-K5</f>
        <v>242610</v>
      </c>
    </row>
    <row r="6" spans="1:14" ht="14.25" thickTop="1" thickBot="1" x14ac:dyDescent="0.25">
      <c r="A6" s="778" t="s">
        <v>1179</v>
      </c>
      <c r="B6" s="840">
        <v>222</v>
      </c>
      <c r="C6" s="765"/>
      <c r="D6" s="765"/>
      <c r="E6" s="765"/>
      <c r="F6" s="1778">
        <f>(C6+D6)-E6</f>
        <v>0</v>
      </c>
      <c r="G6" s="837">
        <v>50</v>
      </c>
      <c r="H6" s="765"/>
      <c r="I6" s="765"/>
      <c r="J6" s="765"/>
      <c r="K6" s="1787">
        <f>(H6+I6)-J6</f>
        <v>0</v>
      </c>
      <c r="L6" s="1787">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1180</v>
      </c>
      <c r="B8" s="840">
        <v>231</v>
      </c>
      <c r="C8" s="844">
        <v>6690371</v>
      </c>
      <c r="D8" s="844">
        <v>226799</v>
      </c>
      <c r="E8" s="844"/>
      <c r="F8" s="1778">
        <f>(C8+D8)-E8</f>
        <v>6917170</v>
      </c>
      <c r="G8" s="843">
        <v>50</v>
      </c>
      <c r="H8" s="765">
        <v>4810642</v>
      </c>
      <c r="I8" s="765">
        <v>138343</v>
      </c>
      <c r="J8" s="765"/>
      <c r="K8" s="1787">
        <f>(H8+I8)-J8</f>
        <v>4948985</v>
      </c>
      <c r="L8" s="1787">
        <f>F8-K8</f>
        <v>1968185</v>
      </c>
    </row>
    <row r="9" spans="1:14" ht="14.25" thickTop="1" thickBot="1" x14ac:dyDescent="0.25">
      <c r="A9" s="778" t="s">
        <v>1181</v>
      </c>
      <c r="B9" s="840">
        <v>232</v>
      </c>
      <c r="C9" s="765"/>
      <c r="D9" s="765"/>
      <c r="E9" s="765"/>
      <c r="F9" s="1778">
        <f>(C9+D9)-E9</f>
        <v>0</v>
      </c>
      <c r="G9" s="843">
        <v>20</v>
      </c>
      <c r="H9" s="765">
        <v>0</v>
      </c>
      <c r="I9" s="765"/>
      <c r="J9" s="765"/>
      <c r="K9" s="1787">
        <f>(H9+I9)-J9</f>
        <v>0</v>
      </c>
      <c r="L9" s="1787">
        <f>F9-K9</f>
        <v>0</v>
      </c>
    </row>
    <row r="10" spans="1:14" ht="24" thickTop="1" thickBot="1" x14ac:dyDescent="0.25">
      <c r="A10" s="845" t="s">
        <v>1182</v>
      </c>
      <c r="B10" s="840">
        <v>240</v>
      </c>
      <c r="C10" s="846">
        <v>6234995</v>
      </c>
      <c r="D10" s="846">
        <v>49807</v>
      </c>
      <c r="E10" s="846"/>
      <c r="F10" s="1782">
        <f>(C10+D10)-E10</f>
        <v>6284802</v>
      </c>
      <c r="G10" s="843">
        <v>20</v>
      </c>
      <c r="H10" s="847">
        <v>4115344</v>
      </c>
      <c r="I10" s="847">
        <v>306257</v>
      </c>
      <c r="J10" s="847"/>
      <c r="K10" s="1787">
        <f>(H10+I10)-J10</f>
        <v>4421601</v>
      </c>
      <c r="L10" s="1787">
        <f>F10-K10</f>
        <v>1863201</v>
      </c>
    </row>
    <row r="11" spans="1:14" ht="13.5" thickTop="1" x14ac:dyDescent="0.2">
      <c r="A11" s="1652" t="s">
        <v>1198</v>
      </c>
      <c r="B11" s="1650">
        <v>250</v>
      </c>
      <c r="C11" s="781"/>
      <c r="D11" s="781"/>
      <c r="E11" s="781"/>
      <c r="F11" s="773"/>
      <c r="G11" s="843"/>
      <c r="H11" s="781"/>
      <c r="I11" s="781"/>
      <c r="J11" s="781"/>
      <c r="K11" s="773"/>
      <c r="L11" s="773"/>
    </row>
    <row r="12" spans="1:14" ht="13.5" thickBot="1" x14ac:dyDescent="0.25">
      <c r="A12" s="848" t="s">
        <v>1183</v>
      </c>
      <c r="B12" s="840">
        <v>251</v>
      </c>
      <c r="C12" s="844">
        <v>793442</v>
      </c>
      <c r="D12" s="844">
        <v>112449</v>
      </c>
      <c r="E12" s="844">
        <v>211785</v>
      </c>
      <c r="F12" s="1778">
        <f>(C12+D12)-E12</f>
        <v>694106</v>
      </c>
      <c r="G12" s="843">
        <v>10</v>
      </c>
      <c r="H12" s="765">
        <v>506005</v>
      </c>
      <c r="I12" s="765">
        <v>70971</v>
      </c>
      <c r="J12" s="765">
        <v>211785</v>
      </c>
      <c r="K12" s="1787">
        <f>(H12+I12)-J12</f>
        <v>365191</v>
      </c>
      <c r="L12" s="1787">
        <f>F12-K12</f>
        <v>328915</v>
      </c>
    </row>
    <row r="13" spans="1:14" ht="14.25" thickTop="1" thickBot="1" x14ac:dyDescent="0.25">
      <c r="A13" s="848" t="s">
        <v>1184</v>
      </c>
      <c r="B13" s="840">
        <v>252</v>
      </c>
      <c r="C13" s="844">
        <v>1459383</v>
      </c>
      <c r="D13" s="844"/>
      <c r="E13" s="844"/>
      <c r="F13" s="1778">
        <f>(C13+D13)-E13</f>
        <v>1459383</v>
      </c>
      <c r="G13" s="843">
        <v>5</v>
      </c>
      <c r="H13" s="765">
        <v>1459383</v>
      </c>
      <c r="I13" s="765"/>
      <c r="J13" s="765"/>
      <c r="K13" s="1787">
        <f>(H13+I13)-J13</f>
        <v>1459383</v>
      </c>
      <c r="L13" s="1787">
        <f>F13-K13</f>
        <v>0</v>
      </c>
    </row>
    <row r="14" spans="1:14" ht="14.25" thickTop="1" thickBot="1" x14ac:dyDescent="0.25">
      <c r="A14" s="848" t="s">
        <v>1185</v>
      </c>
      <c r="B14" s="840">
        <v>253</v>
      </c>
      <c r="C14" s="765"/>
      <c r="D14" s="765"/>
      <c r="E14" s="765"/>
      <c r="F14" s="1778">
        <f>(C14+D14)-E14</f>
        <v>0</v>
      </c>
      <c r="G14" s="843">
        <v>3</v>
      </c>
      <c r="H14" s="765"/>
      <c r="I14" s="765"/>
      <c r="J14" s="765"/>
      <c r="K14" s="1787">
        <f>(H14+I14)-J14</f>
        <v>0</v>
      </c>
      <c r="L14" s="1787">
        <f>F14-K14</f>
        <v>0</v>
      </c>
    </row>
    <row r="15" spans="1:14" ht="15" customHeight="1" thickTop="1" thickBot="1" x14ac:dyDescent="0.25">
      <c r="A15" s="1651" t="s">
        <v>549</v>
      </c>
      <c r="B15" s="1650">
        <v>260</v>
      </c>
      <c r="C15" s="844">
        <v>13541</v>
      </c>
      <c r="D15" s="844"/>
      <c r="E15" s="844">
        <v>13541</v>
      </c>
      <c r="F15" s="1778">
        <f>(C15+D15)-E15</f>
        <v>0</v>
      </c>
      <c r="G15" s="849" t="s">
        <v>917</v>
      </c>
      <c r="H15" s="781"/>
      <c r="I15" s="781"/>
      <c r="J15" s="781"/>
      <c r="K15" s="781"/>
      <c r="L15" s="1787">
        <f>F15-K15</f>
        <v>0</v>
      </c>
    </row>
    <row r="16" spans="1:14" ht="15" customHeight="1" thickTop="1" thickBot="1" x14ac:dyDescent="0.25">
      <c r="A16" s="1783" t="s">
        <v>664</v>
      </c>
      <c r="B16" s="1784">
        <v>200</v>
      </c>
      <c r="C16" s="1778">
        <f>SUM(C3,C5:C6,C8:C10,C12:C15)</f>
        <v>15357940</v>
      </c>
      <c r="D16" s="1778">
        <f>SUM(D3,D5:D6,D8:D10,D12:D15)</f>
        <v>465457</v>
      </c>
      <c r="E16" s="1778">
        <f>SUM(E3,E5:E6,E8:E10,E12:E15)</f>
        <v>225326</v>
      </c>
      <c r="F16" s="1778">
        <f>SUM(F3,F5:F6,F8:F10,F12:F15)</f>
        <v>15598071</v>
      </c>
      <c r="G16" s="843"/>
      <c r="H16" s="1778">
        <f>SUM(H3,H6,H8:H10,H12:H14,)</f>
        <v>10891374</v>
      </c>
      <c r="I16" s="1778">
        <f>SUM(I3,I6,I8:I10,I12:I14,)</f>
        <v>515571</v>
      </c>
      <c r="J16" s="1778">
        <f>SUM(J3,J6,J8:J10,J12:J14,)</f>
        <v>211785</v>
      </c>
      <c r="K16" s="1778">
        <f>(H16+I16)-J16</f>
        <v>11195160</v>
      </c>
      <c r="L16" s="1778">
        <f>F16-K16</f>
        <v>4402911</v>
      </c>
    </row>
    <row r="17" spans="1:12" ht="15" customHeight="1" thickTop="1" thickBot="1" x14ac:dyDescent="0.25">
      <c r="A17" s="1653" t="s">
        <v>309</v>
      </c>
      <c r="B17" s="1650">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706</v>
      </c>
      <c r="B18" s="1786"/>
      <c r="C18" s="771"/>
      <c r="D18" s="771"/>
      <c r="E18" s="771"/>
      <c r="F18" s="850"/>
      <c r="G18" s="851"/>
      <c r="H18" s="773"/>
      <c r="I18" s="1778">
        <f>SUM(I16,I17)</f>
        <v>515571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H1" sqref="H1"/>
      <selection pane="bottomLeft" activeCell="H1" sqref="H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1699</v>
      </c>
      <c r="B1" s="2276"/>
      <c r="C1" s="2276"/>
      <c r="D1" s="2276"/>
      <c r="E1" s="2276"/>
      <c r="F1" s="2277"/>
      <c r="G1" s="855"/>
    </row>
    <row r="2" spans="1:7" ht="15" customHeight="1" thickBot="1" x14ac:dyDescent="0.25">
      <c r="A2" s="2278" t="s">
        <v>498</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7">
        <f>'Expenditures 15-22'!K114</f>
        <v>5342313</v>
      </c>
      <c r="G8" s="865"/>
    </row>
    <row r="9" spans="1:7" x14ac:dyDescent="0.2">
      <c r="A9" s="869" t="s">
        <v>480</v>
      </c>
      <c r="B9" s="870" t="s">
        <v>1987</v>
      </c>
      <c r="C9" s="871"/>
      <c r="D9" s="869" t="s">
        <v>522</v>
      </c>
      <c r="E9" s="868"/>
      <c r="F9" s="1928">
        <f>'Expenditures 15-22'!K151</f>
        <v>891514</v>
      </c>
      <c r="G9" s="872"/>
    </row>
    <row r="10" spans="1:7" x14ac:dyDescent="0.2">
      <c r="A10" s="869" t="s">
        <v>520</v>
      </c>
      <c r="B10" s="870" t="s">
        <v>1988</v>
      </c>
      <c r="C10" s="871"/>
      <c r="D10" s="869" t="s">
        <v>522</v>
      </c>
      <c r="E10" s="868"/>
      <c r="F10" s="1928">
        <f>'Expenditures 15-22'!K174</f>
        <v>910234</v>
      </c>
      <c r="G10" s="872"/>
    </row>
    <row r="11" spans="1:7" x14ac:dyDescent="0.2">
      <c r="A11" s="869" t="s">
        <v>481</v>
      </c>
      <c r="B11" s="870" t="s">
        <v>1989</v>
      </c>
      <c r="C11" s="871"/>
      <c r="D11" s="869" t="s">
        <v>522</v>
      </c>
      <c r="E11" s="868"/>
      <c r="F11" s="1928">
        <f>'Expenditures 15-22'!K210</f>
        <v>432531</v>
      </c>
      <c r="G11" s="872"/>
    </row>
    <row r="12" spans="1:7" x14ac:dyDescent="0.2">
      <c r="A12" s="869" t="s">
        <v>482</v>
      </c>
      <c r="B12" s="870" t="s">
        <v>1990</v>
      </c>
      <c r="C12" s="871"/>
      <c r="D12" s="869" t="s">
        <v>522</v>
      </c>
      <c r="E12" s="868"/>
      <c r="F12" s="1928">
        <f>'Expenditures 15-22'!K295</f>
        <v>202455</v>
      </c>
      <c r="G12" s="872"/>
    </row>
    <row r="13" spans="1:7" x14ac:dyDescent="0.2">
      <c r="A13" s="869" t="s">
        <v>108</v>
      </c>
      <c r="B13" s="870" t="s">
        <v>1991</v>
      </c>
      <c r="C13" s="871"/>
      <c r="D13" s="869" t="s">
        <v>522</v>
      </c>
      <c r="E13" s="868"/>
      <c r="F13" s="1928">
        <f>'Expenditures 15-22'!K342</f>
        <v>108922</v>
      </c>
      <c r="G13" s="873"/>
    </row>
    <row r="14" spans="1:7" ht="12" customHeight="1" thickBot="1" x14ac:dyDescent="0.25">
      <c r="A14" s="1788"/>
      <c r="B14" s="1789"/>
      <c r="C14" s="1790"/>
      <c r="D14" s="1791" t="s">
        <v>522</v>
      </c>
      <c r="E14" s="1792" t="s">
        <v>1015</v>
      </c>
      <c r="F14" s="1793">
        <f>SUM(F8:F13)</f>
        <v>7887969</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9">
        <f>'Revenues 9-14'!F43</f>
        <v>0</v>
      </c>
      <c r="G18" s="865"/>
    </row>
    <row r="19" spans="1:7" x14ac:dyDescent="0.2">
      <c r="A19" s="869" t="s">
        <v>481</v>
      </c>
      <c r="B19" s="870" t="s">
        <v>1069</v>
      </c>
      <c r="C19" s="877">
        <f>'Revenues 9-14'!B47</f>
        <v>1421</v>
      </c>
      <c r="D19" s="878" t="str">
        <f>'Revenues 9-14'!A47</f>
        <v>Summer Sch - Transp. Fees from Pupils or Parents (In State)</v>
      </c>
      <c r="E19" s="879"/>
      <c r="F19" s="1930">
        <f>'Revenues 9-14'!F47</f>
        <v>0</v>
      </c>
      <c r="G19" s="865"/>
    </row>
    <row r="20" spans="1:7" x14ac:dyDescent="0.2">
      <c r="A20" s="869" t="s">
        <v>481</v>
      </c>
      <c r="B20" s="870" t="s">
        <v>1070</v>
      </c>
      <c r="C20" s="875">
        <f>'Revenues 9-14'!B48</f>
        <v>1422</v>
      </c>
      <c r="D20" s="876" t="str">
        <f>'Revenues 9-14'!A48</f>
        <v>Summer Sch - Transp. Fees from Other Districts (In State)</v>
      </c>
      <c r="E20" s="868"/>
      <c r="F20" s="1931">
        <f>'Revenues 9-14'!F48</f>
        <v>0</v>
      </c>
      <c r="G20" s="865"/>
    </row>
    <row r="21" spans="1:7" x14ac:dyDescent="0.2">
      <c r="A21" s="869" t="s">
        <v>481</v>
      </c>
      <c r="B21" s="870" t="s">
        <v>1071</v>
      </c>
      <c r="C21" s="877">
        <f>'Revenues 9-14'!B49</f>
        <v>1423</v>
      </c>
      <c r="D21" s="876" t="str">
        <f>'Revenues 9-14'!A49</f>
        <v>Summer Sch - Transp. Fees from Other Sources (In State)</v>
      </c>
      <c r="E21" s="868"/>
      <c r="F21" s="1932">
        <f>'Revenues 9-14'!F49</f>
        <v>0</v>
      </c>
      <c r="G21" s="865"/>
    </row>
    <row r="22" spans="1:7" x14ac:dyDescent="0.2">
      <c r="A22" s="869" t="s">
        <v>481</v>
      </c>
      <c r="B22" s="870" t="s">
        <v>1072</v>
      </c>
      <c r="C22" s="877">
        <f>'Revenues 9-14'!B50</f>
        <v>1424</v>
      </c>
      <c r="D22" s="876" t="str">
        <f>'Revenues 9-14'!A50</f>
        <v>Summer Sch - Transp. Fees from Other Sources (Out of State)</v>
      </c>
      <c r="E22" s="868"/>
      <c r="F22" s="1932">
        <f>'Revenues 9-14'!F50</f>
        <v>0</v>
      </c>
      <c r="G22" s="865"/>
    </row>
    <row r="23" spans="1:7" x14ac:dyDescent="0.2">
      <c r="A23" s="869" t="s">
        <v>481</v>
      </c>
      <c r="B23" s="870" t="s">
        <v>1073</v>
      </c>
      <c r="C23" s="875">
        <f>'Revenues 9-14'!B52</f>
        <v>1432</v>
      </c>
      <c r="D23" s="876" t="str">
        <f>'Revenues 9-14'!A52</f>
        <v>CTE - Transp Fees from Other Districts (In State)</v>
      </c>
      <c r="E23" s="868"/>
      <c r="F23" s="1932">
        <f>'Revenues 9-14'!F52</f>
        <v>0</v>
      </c>
      <c r="G23" s="865"/>
    </row>
    <row r="24" spans="1:7" x14ac:dyDescent="0.2">
      <c r="A24" s="869" t="s">
        <v>481</v>
      </c>
      <c r="B24" s="870" t="s">
        <v>1074</v>
      </c>
      <c r="C24" s="875">
        <f>'Revenues 9-14'!B56</f>
        <v>1442</v>
      </c>
      <c r="D24" s="876" t="str">
        <f>'Revenues 9-14'!A56</f>
        <v>Special Ed - Transp Fees from Other Districts (In State)</v>
      </c>
      <c r="E24" s="868"/>
      <c r="F24" s="1932">
        <f>'Revenues 9-14'!F56</f>
        <v>0</v>
      </c>
      <c r="G24" s="865"/>
    </row>
    <row r="25" spans="1:7" x14ac:dyDescent="0.2">
      <c r="A25" s="869" t="s">
        <v>481</v>
      </c>
      <c r="B25" s="870" t="s">
        <v>1075</v>
      </c>
      <c r="C25" s="875">
        <f>'Revenues 9-14'!B59</f>
        <v>1451</v>
      </c>
      <c r="D25" s="876" t="str">
        <f>'Revenues 9-14'!A59</f>
        <v>Adult - Transp Fees from Pupils or Parents (In State)</v>
      </c>
      <c r="E25" s="868"/>
      <c r="F25" s="1932">
        <f>'Revenues 9-14'!F59</f>
        <v>0</v>
      </c>
      <c r="G25" s="865"/>
    </row>
    <row r="26" spans="1:7" x14ac:dyDescent="0.2">
      <c r="A26" s="869" t="s">
        <v>481</v>
      </c>
      <c r="B26" s="870" t="s">
        <v>1076</v>
      </c>
      <c r="C26" s="875">
        <f>'Revenues 9-14'!B60</f>
        <v>1452</v>
      </c>
      <c r="D26" s="876" t="str">
        <f>'Revenues 9-14'!A60</f>
        <v>Adult - Transp Fees from Other Districts (In State)</v>
      </c>
      <c r="E26" s="868"/>
      <c r="F26" s="1932">
        <f>'Revenues 9-14'!F60</f>
        <v>0</v>
      </c>
      <c r="G26" s="865"/>
    </row>
    <row r="27" spans="1:7" x14ac:dyDescent="0.2">
      <c r="A27" s="869" t="s">
        <v>481</v>
      </c>
      <c r="B27" s="870" t="s">
        <v>1077</v>
      </c>
      <c r="C27" s="875">
        <f>'Revenues 9-14'!B61</f>
        <v>1453</v>
      </c>
      <c r="D27" s="876" t="str">
        <f>'Revenues 9-14'!A61</f>
        <v>Adult - Transp Fees from Other Sources (In State)</v>
      </c>
      <c r="E27" s="868"/>
      <c r="F27" s="1932">
        <f>'Revenues 9-14'!F61</f>
        <v>0</v>
      </c>
      <c r="G27" s="865"/>
    </row>
    <row r="28" spans="1:7" x14ac:dyDescent="0.2">
      <c r="A28" s="869" t="s">
        <v>481</v>
      </c>
      <c r="B28" s="870" t="s">
        <v>1078</v>
      </c>
      <c r="C28" s="875">
        <f>'Revenues 9-14'!B62</f>
        <v>1454</v>
      </c>
      <c r="D28" s="876" t="str">
        <f>'Revenues 9-14'!A62</f>
        <v>Adult - Transp Fees from Other Sources (Out of State)</v>
      </c>
      <c r="E28" s="868"/>
      <c r="F28" s="1932">
        <f>'Revenues 9-14'!F62</f>
        <v>0</v>
      </c>
      <c r="G28" s="865"/>
    </row>
    <row r="29" spans="1:7" x14ac:dyDescent="0.2">
      <c r="A29" s="869" t="s">
        <v>1159</v>
      </c>
      <c r="B29" s="870" t="s">
        <v>1683</v>
      </c>
      <c r="C29" s="880">
        <f>'Revenues 9-14'!B148</f>
        <v>3410</v>
      </c>
      <c r="D29" s="881" t="str">
        <f>'Revenues 9-14'!A148</f>
        <v>Adult Ed (from ICCB)</v>
      </c>
      <c r="E29" s="868"/>
      <c r="F29" s="1932">
        <f>SUM('Revenues 9-14'!D148,F149)</f>
        <v>0</v>
      </c>
      <c r="G29" s="865"/>
    </row>
    <row r="30" spans="1:7" x14ac:dyDescent="0.2">
      <c r="A30" s="869" t="s">
        <v>1159</v>
      </c>
      <c r="B30" s="870" t="s">
        <v>861</v>
      </c>
      <c r="C30" s="880">
        <f>'Revenues 9-14'!B149</f>
        <v>3499</v>
      </c>
      <c r="D30" s="881" t="str">
        <f>'Revenues 9-14'!A149</f>
        <v>Adult Ed - Other (Describe &amp; Itemize)</v>
      </c>
      <c r="E30" s="868"/>
      <c r="F30" s="1933">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2">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2">
        <f>SUM('Revenues 9-14'!D219,'Revenues 9-14'!F219)</f>
        <v>0</v>
      </c>
      <c r="G32" s="865"/>
    </row>
    <row r="33" spans="1:7" x14ac:dyDescent="0.2">
      <c r="A33" s="869" t="s">
        <v>480</v>
      </c>
      <c r="B33" s="870" t="s">
        <v>801</v>
      </c>
      <c r="C33" s="875">
        <f>'Revenues 9-14'!B229</f>
        <v>4810</v>
      </c>
      <c r="D33" s="883" t="str">
        <f>'Revenues 9-14'!A229</f>
        <v>Federal - Adult Education</v>
      </c>
      <c r="E33" s="868"/>
      <c r="F33" s="1932">
        <f>'Revenues 9-14'!D229</f>
        <v>0</v>
      </c>
      <c r="G33" s="865"/>
    </row>
    <row r="34" spans="1:7" x14ac:dyDescent="0.2">
      <c r="A34" s="869" t="s">
        <v>479</v>
      </c>
      <c r="B34" s="869" t="s">
        <v>1545</v>
      </c>
      <c r="C34" s="886" t="str">
        <f>'Expenditures 15-22'!B7</f>
        <v>1125</v>
      </c>
      <c r="D34" s="887" t="str">
        <f>'Expenditures 15-22'!A7</f>
        <v>Pre-K Programs</v>
      </c>
      <c r="E34" s="868"/>
      <c r="F34" s="1932">
        <f>'Expenditures 15-22'!K7-SUM('Expenditures 15-22'!G7,'Expenditures 15-22'!I7)</f>
        <v>137634</v>
      </c>
      <c r="G34" s="865"/>
    </row>
    <row r="35" spans="1:7" x14ac:dyDescent="0.2">
      <c r="A35" s="869" t="s">
        <v>479</v>
      </c>
      <c r="B35" s="869" t="s">
        <v>1546</v>
      </c>
      <c r="C35" s="886" t="str">
        <f>'Expenditures 15-22'!B9</f>
        <v>1225</v>
      </c>
      <c r="D35" s="887" t="str">
        <f>'Expenditures 15-22'!A9</f>
        <v>Special Education Programs Pre-K</v>
      </c>
      <c r="E35" s="868"/>
      <c r="F35" s="1932">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2">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2">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2">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2">
        <f>'Expenditures 15-22'!K20</f>
        <v>0</v>
      </c>
      <c r="G39" s="865"/>
    </row>
    <row r="40" spans="1:7" x14ac:dyDescent="0.2">
      <c r="A40" s="869" t="s">
        <v>479</v>
      </c>
      <c r="B40" s="869" t="s">
        <v>120</v>
      </c>
      <c r="C40" s="886" t="str">
        <f>'Expenditures 15-22'!B21</f>
        <v>1911</v>
      </c>
      <c r="D40" s="888" t="str">
        <f>'Expenditures 15-22'!A21</f>
        <v>Regular K-12 Programs - Private Tuition</v>
      </c>
      <c r="E40" s="868"/>
      <c r="F40" s="1932">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2">
        <f>'Expenditures 15-22'!K22</f>
        <v>171934</v>
      </c>
      <c r="G41" s="865"/>
    </row>
    <row r="42" spans="1:7" x14ac:dyDescent="0.2">
      <c r="A42" s="869" t="s">
        <v>479</v>
      </c>
      <c r="B42" s="869" t="s">
        <v>122</v>
      </c>
      <c r="C42" s="889" t="str">
        <f>'Expenditures 15-22'!B23</f>
        <v>1913</v>
      </c>
      <c r="D42" s="888" t="str">
        <f>'Expenditures 15-22'!A23</f>
        <v>Special Education Programs Pre-K - Tuition</v>
      </c>
      <c r="E42" s="868"/>
      <c r="F42" s="1932">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2">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2">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2">
        <f>'Expenditures 15-22'!K26</f>
        <v>0</v>
      </c>
      <c r="G45" s="865"/>
    </row>
    <row r="46" spans="1:7" x14ac:dyDescent="0.2">
      <c r="A46" s="869" t="s">
        <v>479</v>
      </c>
      <c r="B46" s="869" t="s">
        <v>126</v>
      </c>
      <c r="C46" s="886" t="str">
        <f>'Expenditures 15-22'!B27</f>
        <v>1917</v>
      </c>
      <c r="D46" s="888" t="str">
        <f>'Expenditures 15-22'!A27</f>
        <v>CTE Programs - Private Tuition</v>
      </c>
      <c r="E46" s="868"/>
      <c r="F46" s="1932">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2">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2">
        <f>'Expenditures 15-22'!K29</f>
        <v>0</v>
      </c>
      <c r="G48" s="865"/>
    </row>
    <row r="49" spans="1:7" x14ac:dyDescent="0.2">
      <c r="A49" s="869" t="s">
        <v>479</v>
      </c>
      <c r="B49" s="869" t="s">
        <v>129</v>
      </c>
      <c r="C49" s="886" t="str">
        <f>'Expenditures 15-22'!B30</f>
        <v>1920</v>
      </c>
      <c r="D49" s="888" t="str">
        <f>'Expenditures 15-22'!A30</f>
        <v>Gifted Programs - Private Tuition</v>
      </c>
      <c r="E49" s="868"/>
      <c r="F49" s="1932">
        <f>'Expenditures 15-22'!K30</f>
        <v>0</v>
      </c>
      <c r="G49" s="865"/>
    </row>
    <row r="50" spans="1:7" x14ac:dyDescent="0.2">
      <c r="A50" s="869" t="s">
        <v>479</v>
      </c>
      <c r="B50" s="869" t="s">
        <v>130</v>
      </c>
      <c r="C50" s="886" t="str">
        <f>'Expenditures 15-22'!B31</f>
        <v>1921</v>
      </c>
      <c r="D50" s="888" t="str">
        <f>'Expenditures 15-22'!A31</f>
        <v>Bilingual Programs - Private Tuition</v>
      </c>
      <c r="E50" s="868"/>
      <c r="F50" s="1932">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2">
        <f>'Expenditures 15-22'!K32</f>
        <v>0</v>
      </c>
      <c r="G51" s="865"/>
    </row>
    <row r="52" spans="1:7" x14ac:dyDescent="0.2">
      <c r="A52" s="869" t="s">
        <v>479</v>
      </c>
      <c r="B52" s="869" t="s">
        <v>1550</v>
      </c>
      <c r="C52" s="889" t="str">
        <f>'Expenditures 15-22'!B75</f>
        <v>3000</v>
      </c>
      <c r="D52" s="888" t="s">
        <v>469</v>
      </c>
      <c r="E52" s="868"/>
      <c r="F52" s="1932">
        <f>'Expenditures 15-22'!K75-SUM('Expenditures 15-22'!G75,'Expenditures 15-22'!I75)</f>
        <v>516</v>
      </c>
      <c r="G52" s="865"/>
    </row>
    <row r="53" spans="1:7" x14ac:dyDescent="0.2">
      <c r="A53" s="869" t="s">
        <v>479</v>
      </c>
      <c r="B53" s="869" t="s">
        <v>1551</v>
      </c>
      <c r="C53" s="889">
        <f>'Expenditures 15-22'!B102</f>
        <v>4000</v>
      </c>
      <c r="D53" s="888" t="str">
        <f>'Expenditures 15-22'!A102</f>
        <v>Total Payments to Other Govt Units</v>
      </c>
      <c r="E53" s="868"/>
      <c r="F53" s="1932">
        <f>'Expenditures 15-22'!K102</f>
        <v>253155</v>
      </c>
      <c r="G53" s="865"/>
    </row>
    <row r="54" spans="1:7" x14ac:dyDescent="0.2">
      <c r="A54" s="869" t="s">
        <v>479</v>
      </c>
      <c r="B54" s="869" t="s">
        <v>1552</v>
      </c>
      <c r="C54" s="889" t="s">
        <v>1039</v>
      </c>
      <c r="D54" s="885" t="s">
        <v>1157</v>
      </c>
      <c r="E54" s="868"/>
      <c r="F54" s="1932">
        <f>'Expenditures 15-22'!G114</f>
        <v>56398</v>
      </c>
      <c r="G54" s="865"/>
    </row>
    <row r="55" spans="1:7" x14ac:dyDescent="0.2">
      <c r="A55" s="869" t="s">
        <v>479</v>
      </c>
      <c r="B55" s="869" t="s">
        <v>1553</v>
      </c>
      <c r="C55" s="889" t="s">
        <v>1039</v>
      </c>
      <c r="D55" s="885" t="s">
        <v>309</v>
      </c>
      <c r="E55" s="868"/>
      <c r="F55" s="1932">
        <f>'Expenditures 15-22'!I114</f>
        <v>0</v>
      </c>
      <c r="G55" s="865"/>
    </row>
    <row r="56" spans="1:7" x14ac:dyDescent="0.2">
      <c r="A56" s="869" t="s">
        <v>480</v>
      </c>
      <c r="B56" s="869" t="s">
        <v>1554</v>
      </c>
      <c r="C56" s="886" t="str">
        <f>'Expenditures 15-22'!B130</f>
        <v>3000</v>
      </c>
      <c r="D56" s="892" t="s">
        <v>469</v>
      </c>
      <c r="E56" s="868"/>
      <c r="F56" s="1932">
        <f>'Expenditures 15-22'!K130-SUM('Expenditures 15-22'!G130+'Expenditures 15-22'!I130)</f>
        <v>0</v>
      </c>
      <c r="G56" s="865"/>
    </row>
    <row r="57" spans="1:7" x14ac:dyDescent="0.2">
      <c r="A57" s="869" t="s">
        <v>480</v>
      </c>
      <c r="B57" s="869" t="s">
        <v>1992</v>
      </c>
      <c r="C57" s="889">
        <f>'Expenditures 15-22'!B139</f>
        <v>4000</v>
      </c>
      <c r="D57" s="887" t="str">
        <f>'Expenditures 15-22'!A139</f>
        <v>Total Payments to Other Govt Units</v>
      </c>
      <c r="E57" s="868"/>
      <c r="F57" s="1932">
        <f>'Expenditures 15-22'!K139</f>
        <v>0</v>
      </c>
      <c r="G57" s="865"/>
    </row>
    <row r="58" spans="1:7" x14ac:dyDescent="0.2">
      <c r="A58" s="869" t="s">
        <v>480</v>
      </c>
      <c r="B58" s="869" t="s">
        <v>1993</v>
      </c>
      <c r="C58" s="886" t="s">
        <v>1039</v>
      </c>
      <c r="D58" s="885" t="s">
        <v>1157</v>
      </c>
      <c r="E58" s="868"/>
      <c r="F58" s="1934">
        <f>'Expenditures 15-22'!G151</f>
        <v>395519</v>
      </c>
      <c r="G58" s="865"/>
    </row>
    <row r="59" spans="1:7" x14ac:dyDescent="0.2">
      <c r="A59" s="893" t="s">
        <v>480</v>
      </c>
      <c r="B59" s="856" t="s">
        <v>1994</v>
      </c>
      <c r="C59" s="894" t="s">
        <v>1039</v>
      </c>
      <c r="D59" s="856" t="s">
        <v>309</v>
      </c>
      <c r="F59" s="1935">
        <f>'Expenditures 15-22'!I151</f>
        <v>0</v>
      </c>
      <c r="G59" s="865"/>
    </row>
    <row r="60" spans="1:7" x14ac:dyDescent="0.2">
      <c r="A60" s="893" t="s">
        <v>520</v>
      </c>
      <c r="B60" s="856" t="s">
        <v>1995</v>
      </c>
      <c r="C60" s="894">
        <v>4000</v>
      </c>
      <c r="D60" s="856" t="s">
        <v>330</v>
      </c>
      <c r="F60" s="1933">
        <f>'Expenditures 15-22'!K160</f>
        <v>0</v>
      </c>
      <c r="G60" s="865"/>
    </row>
    <row r="61" spans="1:7" x14ac:dyDescent="0.2">
      <c r="A61" s="895" t="s">
        <v>520</v>
      </c>
      <c r="B61" s="895" t="s">
        <v>1996</v>
      </c>
      <c r="C61" s="896" t="str">
        <f>'Expenditures 15-22'!B170</f>
        <v>5300</v>
      </c>
      <c r="D61" s="897" t="s">
        <v>329</v>
      </c>
      <c r="E61" s="879"/>
      <c r="F61" s="1932">
        <f>'Expenditures 15-22'!K170</f>
        <v>826536</v>
      </c>
      <c r="G61" s="865"/>
    </row>
    <row r="62" spans="1:7" x14ac:dyDescent="0.2">
      <c r="A62" s="869" t="s">
        <v>481</v>
      </c>
      <c r="B62" s="869" t="s">
        <v>1997</v>
      </c>
      <c r="C62" s="886">
        <f>'Expenditures 15-22'!B185</f>
        <v>3000</v>
      </c>
      <c r="D62" s="876" t="s">
        <v>469</v>
      </c>
      <c r="E62" s="868"/>
      <c r="F62" s="1932">
        <f>'Expenditures 15-22'!K185-SUM('Expenditures 15-22'!G185,'Expenditures 15-22'!I185)</f>
        <v>0</v>
      </c>
      <c r="G62" s="865"/>
    </row>
    <row r="63" spans="1:7" x14ac:dyDescent="0.2">
      <c r="A63" s="869" t="s">
        <v>481</v>
      </c>
      <c r="B63" s="869" t="s">
        <v>1998</v>
      </c>
      <c r="C63" s="886" t="str">
        <f>'Expenditures 15-22'!B196</f>
        <v>4000</v>
      </c>
      <c r="D63" s="887" t="str">
        <f>'Expenditures 15-22'!A196</f>
        <v>Total Payments to Other Govt Units</v>
      </c>
      <c r="E63" s="868"/>
      <c r="F63" s="1932">
        <f>'Expenditures 15-22'!K196</f>
        <v>0</v>
      </c>
      <c r="G63" s="865"/>
    </row>
    <row r="64" spans="1:7" x14ac:dyDescent="0.2">
      <c r="A64" s="895" t="s">
        <v>481</v>
      </c>
      <c r="B64" s="895" t="s">
        <v>1999</v>
      </c>
      <c r="C64" s="896" t="str">
        <f>'Expenditures 15-22'!B206</f>
        <v>5300</v>
      </c>
      <c r="D64" s="892" t="s">
        <v>329</v>
      </c>
      <c r="E64" s="868"/>
      <c r="F64" s="1932">
        <f>'Expenditures 15-22'!K206</f>
        <v>0</v>
      </c>
      <c r="G64" s="865"/>
    </row>
    <row r="65" spans="1:8" x14ac:dyDescent="0.2">
      <c r="A65" s="869" t="s">
        <v>481</v>
      </c>
      <c r="B65" s="869" t="s">
        <v>2000</v>
      </c>
      <c r="C65" s="886" t="s">
        <v>1039</v>
      </c>
      <c r="D65" s="885" t="s">
        <v>1157</v>
      </c>
      <c r="E65" s="868"/>
      <c r="F65" s="1932">
        <f>'Expenditures 15-22'!G210</f>
        <v>0</v>
      </c>
      <c r="G65" s="865"/>
    </row>
    <row r="66" spans="1:8" x14ac:dyDescent="0.2">
      <c r="A66" s="869" t="s">
        <v>481</v>
      </c>
      <c r="B66" s="869" t="s">
        <v>2001</v>
      </c>
      <c r="C66" s="886" t="s">
        <v>1039</v>
      </c>
      <c r="D66" s="885" t="s">
        <v>309</v>
      </c>
      <c r="E66" s="868"/>
      <c r="F66" s="1932">
        <f>'Expenditures 15-22'!I210</f>
        <v>0</v>
      </c>
      <c r="G66" s="865"/>
    </row>
    <row r="67" spans="1:8" x14ac:dyDescent="0.2">
      <c r="A67" s="869" t="s">
        <v>482</v>
      </c>
      <c r="B67" s="869" t="s">
        <v>2002</v>
      </c>
      <c r="C67" s="886" t="str">
        <f>'Expenditures 15-22'!B216</f>
        <v>1125</v>
      </c>
      <c r="D67" s="892" t="str">
        <f>'Expenditures 15-22'!A216</f>
        <v>Pre-K Programs</v>
      </c>
      <c r="E67" s="868"/>
      <c r="F67" s="1932">
        <f>'Expenditures 15-22'!K216</f>
        <v>10697</v>
      </c>
      <c r="G67" s="865"/>
    </row>
    <row r="68" spans="1:8" x14ac:dyDescent="0.2">
      <c r="A68" s="869" t="s">
        <v>482</v>
      </c>
      <c r="B68" s="869" t="s">
        <v>1555</v>
      </c>
      <c r="C68" s="886" t="str">
        <f>'Expenditures 15-22'!B218</f>
        <v>1225</v>
      </c>
      <c r="D68" s="892" t="str">
        <f>'Expenditures 15-22'!A218</f>
        <v>Special Education Programs - Pre-K</v>
      </c>
      <c r="E68" s="868"/>
      <c r="F68" s="1932">
        <f>'Expenditures 15-22'!K218</f>
        <v>0</v>
      </c>
      <c r="G68" s="865"/>
    </row>
    <row r="69" spans="1:8" x14ac:dyDescent="0.2">
      <c r="A69" s="869" t="s">
        <v>482</v>
      </c>
      <c r="B69" s="869" t="s">
        <v>2003</v>
      </c>
      <c r="C69" s="886" t="str">
        <f>'Expenditures 15-22'!B220</f>
        <v>1275</v>
      </c>
      <c r="D69" s="892" t="str">
        <f>'Expenditures 15-22'!A220</f>
        <v>Remedial and Supplemental Programs - Pre-K</v>
      </c>
      <c r="E69" s="868"/>
      <c r="F69" s="1932">
        <f>'Expenditures 15-22'!K220</f>
        <v>0</v>
      </c>
      <c r="G69" s="865"/>
    </row>
    <row r="70" spans="1:8" x14ac:dyDescent="0.2">
      <c r="A70" s="869" t="s">
        <v>482</v>
      </c>
      <c r="B70" s="869" t="s">
        <v>2004</v>
      </c>
      <c r="C70" s="886">
        <f>'Expenditures 15-22'!B221</f>
        <v>1300</v>
      </c>
      <c r="D70" s="887" t="str">
        <f>'Expenditures 15-22'!A221</f>
        <v>Adult/Continuing Education Programs</v>
      </c>
      <c r="E70" s="868"/>
      <c r="F70" s="1932">
        <f>'Expenditures 15-22'!K221</f>
        <v>0</v>
      </c>
      <c r="G70" s="865"/>
    </row>
    <row r="71" spans="1:8" x14ac:dyDescent="0.2">
      <c r="A71" s="869" t="s">
        <v>482</v>
      </c>
      <c r="B71" s="869" t="s">
        <v>2005</v>
      </c>
      <c r="C71" s="886">
        <f>'Expenditures 15-22'!B224</f>
        <v>1600</v>
      </c>
      <c r="D71" s="887" t="str">
        <f>'Expenditures 15-22'!A224</f>
        <v>Summer School Programs</v>
      </c>
      <c r="E71" s="868"/>
      <c r="F71" s="1932">
        <f>'Expenditures 15-22'!K224</f>
        <v>0</v>
      </c>
      <c r="G71" s="865"/>
    </row>
    <row r="72" spans="1:8" x14ac:dyDescent="0.2">
      <c r="A72" s="869" t="s">
        <v>482</v>
      </c>
      <c r="B72" s="869" t="s">
        <v>2006</v>
      </c>
      <c r="C72" s="886">
        <f>'Expenditures 15-22'!B280</f>
        <v>3000</v>
      </c>
      <c r="D72" s="876" t="s">
        <v>469</v>
      </c>
      <c r="E72" s="868"/>
      <c r="F72" s="1932">
        <f>'Expenditures 15-22'!K280</f>
        <v>0</v>
      </c>
      <c r="G72" s="865"/>
    </row>
    <row r="73" spans="1:8" x14ac:dyDescent="0.2">
      <c r="A73" s="869" t="s">
        <v>482</v>
      </c>
      <c r="B73" s="869" t="s">
        <v>2007</v>
      </c>
      <c r="C73" s="886" t="str">
        <f>'Expenditures 15-22'!B285</f>
        <v>4000</v>
      </c>
      <c r="D73" s="887" t="str">
        <f>'Expenditures 15-22'!A285</f>
        <v>Total Payments to Other Govt Units</v>
      </c>
      <c r="E73" s="868"/>
      <c r="F73" s="1932">
        <f>'Expenditures 15-22'!K285</f>
        <v>0</v>
      </c>
      <c r="G73" s="865"/>
    </row>
    <row r="74" spans="1:8" x14ac:dyDescent="0.2">
      <c r="A74" s="869" t="s">
        <v>456</v>
      </c>
      <c r="B74" s="869" t="s">
        <v>2008</v>
      </c>
      <c r="C74" s="886" t="s">
        <v>915</v>
      </c>
      <c r="D74" s="887" t="s">
        <v>1567</v>
      </c>
      <c r="E74" s="868"/>
      <c r="F74" s="1936">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2009</v>
      </c>
      <c r="E76" s="1792" t="s">
        <v>1015</v>
      </c>
      <c r="F76" s="1796">
        <f>SUM(F18:F74)</f>
        <v>1852389</v>
      </c>
      <c r="G76" s="865"/>
    </row>
    <row r="77" spans="1:8" s="893" customFormat="1" ht="12" customHeight="1" thickTop="1" thickBot="1" x14ac:dyDescent="0.25">
      <c r="A77" s="1797"/>
      <c r="B77" s="1794"/>
      <c r="C77" s="1790"/>
      <c r="D77" s="1795" t="s">
        <v>2010</v>
      </c>
      <c r="E77" s="1792"/>
      <c r="F77" s="1798">
        <f>(F14-F76)</f>
        <v>6035580</v>
      </c>
      <c r="G77" s="869"/>
    </row>
    <row r="78" spans="1:8" s="893" customFormat="1" ht="12" customHeight="1" thickTop="1" x14ac:dyDescent="0.2">
      <c r="A78" s="1799"/>
      <c r="B78" s="1794"/>
      <c r="C78" s="1790"/>
      <c r="D78" s="1795" t="s">
        <v>2057</v>
      </c>
      <c r="E78" s="1792"/>
      <c r="F78" s="898">
        <v>564.38</v>
      </c>
      <c r="G78" s="899"/>
      <c r="H78" s="869"/>
    </row>
    <row r="79" spans="1:8" s="893" customFormat="1" ht="12" customHeight="1" thickBot="1" x14ac:dyDescent="0.25">
      <c r="A79" s="1800"/>
      <c r="B79" s="1794"/>
      <c r="C79" s="1790"/>
      <c r="D79" s="1795" t="s">
        <v>2011</v>
      </c>
      <c r="E79" s="1792" t="s">
        <v>1015</v>
      </c>
      <c r="F79" s="1801">
        <f>IF(F78&gt;0,F77/F78," Complete Line 78")</f>
        <v>10694.177681703817</v>
      </c>
      <c r="G79" s="869"/>
    </row>
    <row r="80" spans="1:8" s="893" customFormat="1" ht="8.25" customHeight="1" thickTop="1" x14ac:dyDescent="0.2">
      <c r="A80" s="900"/>
      <c r="B80" s="869"/>
      <c r="C80" s="871"/>
      <c r="D80" s="901"/>
      <c r="E80" s="868"/>
      <c r="F80" s="902"/>
      <c r="G80" s="869"/>
    </row>
    <row r="81" spans="1:7" s="893" customFormat="1" ht="12" thickBot="1" x14ac:dyDescent="0.25">
      <c r="A81" s="2272" t="s">
        <v>1167</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6">
        <f>'Revenues 9-14'!F42</f>
        <v>0</v>
      </c>
      <c r="G84" s="912"/>
    </row>
    <row r="85" spans="1:7" x14ac:dyDescent="0.2">
      <c r="A85" s="908" t="s">
        <v>481</v>
      </c>
      <c r="B85" s="908" t="s">
        <v>192</v>
      </c>
      <c r="C85" s="913">
        <f>'Revenues 9-14'!B44</f>
        <v>1413</v>
      </c>
      <c r="D85" s="911" t="str">
        <f>'Revenues 9-14'!A44</f>
        <v>Regular - Transp Fees from Other Sources (In State)</v>
      </c>
      <c r="E85" s="906"/>
      <c r="F85" s="1807">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481</v>
      </c>
      <c r="B87" s="908" t="s">
        <v>169</v>
      </c>
      <c r="C87" s="910">
        <v>1416</v>
      </c>
      <c r="D87" s="911" t="str">
        <f>'Revenues 9-14'!A46</f>
        <v>Regular Transp Fees from Other Sources (Out of State)</v>
      </c>
      <c r="E87" s="906"/>
      <c r="F87" s="1807">
        <f>'Revenues 9-14'!F46</f>
        <v>0</v>
      </c>
      <c r="G87" s="914"/>
    </row>
    <row r="88" spans="1:7" x14ac:dyDescent="0.2">
      <c r="A88" s="908" t="s">
        <v>481</v>
      </c>
      <c r="B88" s="908" t="s">
        <v>170</v>
      </c>
      <c r="C88" s="910">
        <f>'Revenues 9-14'!B51</f>
        <v>1431</v>
      </c>
      <c r="D88" s="911" t="str">
        <f>'Revenues 9-14'!A51</f>
        <v>CTE - Transp Fees from Pupils or Parents (In State)</v>
      </c>
      <c r="E88" s="906"/>
      <c r="F88" s="1807">
        <f>'Revenues 9-14'!F51</f>
        <v>0</v>
      </c>
      <c r="G88" s="914"/>
    </row>
    <row r="89" spans="1:7" x14ac:dyDescent="0.2">
      <c r="A89" s="908" t="s">
        <v>481</v>
      </c>
      <c r="B89" s="908" t="s">
        <v>171</v>
      </c>
      <c r="C89" s="910">
        <f>'Revenues 9-14'!B53</f>
        <v>1433</v>
      </c>
      <c r="D89" s="911" t="str">
        <f>'Revenues 9-14'!A53</f>
        <v>CTE - Transp Fees from Other Sources (In State)</v>
      </c>
      <c r="E89" s="906"/>
      <c r="F89" s="1807">
        <f>'Revenues 9-14'!F53</f>
        <v>0</v>
      </c>
      <c r="G89" s="914"/>
    </row>
    <row r="90" spans="1:7" x14ac:dyDescent="0.2">
      <c r="A90" s="908" t="s">
        <v>481</v>
      </c>
      <c r="B90" s="908" t="s">
        <v>172</v>
      </c>
      <c r="C90" s="910">
        <f>'Revenues 9-14'!B54</f>
        <v>1434</v>
      </c>
      <c r="D90" s="911" t="str">
        <f>'Revenues 9-14'!A54</f>
        <v>CTE - Transp Fees from Other Sources (Out of State)</v>
      </c>
      <c r="E90" s="906"/>
      <c r="F90" s="1807">
        <f>'Revenues 9-14'!F54</f>
        <v>0</v>
      </c>
      <c r="G90" s="914"/>
    </row>
    <row r="91" spans="1:7" x14ac:dyDescent="0.2">
      <c r="A91" s="908" t="s">
        <v>481</v>
      </c>
      <c r="B91" s="908" t="s">
        <v>173</v>
      </c>
      <c r="C91" s="915">
        <f>'Revenues 9-14'!B55</f>
        <v>1441</v>
      </c>
      <c r="D91" s="911" t="str">
        <f>'Revenues 9-14'!A55</f>
        <v>Special Ed - Transp Fees from Pupils or Parents (In State)</v>
      </c>
      <c r="E91" s="906"/>
      <c r="F91" s="1807">
        <f>'Revenues 9-14'!F55</f>
        <v>0</v>
      </c>
      <c r="G91" s="914"/>
    </row>
    <row r="92" spans="1:7" x14ac:dyDescent="0.2">
      <c r="A92" s="908" t="s">
        <v>481</v>
      </c>
      <c r="B92" s="908" t="s">
        <v>174</v>
      </c>
      <c r="C92" s="910">
        <f>'Revenues 9-14'!B57</f>
        <v>1443</v>
      </c>
      <c r="D92" s="911" t="str">
        <f>'Revenues 9-14'!A57</f>
        <v>Special Ed - Transp Fees from Other Sources (In State)</v>
      </c>
      <c r="E92" s="906"/>
      <c r="F92" s="1807">
        <f>'Revenues 9-14'!F57</f>
        <v>0</v>
      </c>
      <c r="G92" s="916"/>
    </row>
    <row r="93" spans="1:7" x14ac:dyDescent="0.2">
      <c r="A93" s="908" t="s">
        <v>481</v>
      </c>
      <c r="B93" s="908" t="s">
        <v>175</v>
      </c>
      <c r="C93" s="910">
        <f>'Revenues 9-14'!B58</f>
        <v>1444</v>
      </c>
      <c r="D93" s="911" t="str">
        <f>'Revenues 9-14'!A58</f>
        <v>Special Ed - Transp Fees from Other Sources (Out of State)</v>
      </c>
      <c r="E93" s="906"/>
      <c r="F93" s="1807">
        <f>'Revenues 9-14'!F58</f>
        <v>0</v>
      </c>
      <c r="G93" s="916"/>
    </row>
    <row r="94" spans="1:7" x14ac:dyDescent="0.2">
      <c r="A94" s="908" t="s">
        <v>479</v>
      </c>
      <c r="B94" s="908" t="s">
        <v>176</v>
      </c>
      <c r="C94" s="910">
        <v>1600</v>
      </c>
      <c r="D94" s="917" t="str">
        <f>'Revenues 9-14'!A75</f>
        <v>Total Food Service</v>
      </c>
      <c r="E94" s="906"/>
      <c r="F94" s="1807">
        <f>'Revenues 9-14'!C75</f>
        <v>49668</v>
      </c>
      <c r="G94" s="912"/>
    </row>
    <row r="95" spans="1:7" x14ac:dyDescent="0.2">
      <c r="A95" s="908" t="s">
        <v>142</v>
      </c>
      <c r="B95" s="908" t="s">
        <v>177</v>
      </c>
      <c r="C95" s="910">
        <v>1700</v>
      </c>
      <c r="D95" s="918" t="str">
        <f>'Revenues 9-14'!A82</f>
        <v>Total District/School Activity Income</v>
      </c>
      <c r="E95" s="906"/>
      <c r="F95" s="1807">
        <f>SUM('Revenues 9-14'!C82,'Revenues 9-14'!D82)</f>
        <v>36546</v>
      </c>
      <c r="G95" s="912"/>
    </row>
    <row r="96" spans="1:7" x14ac:dyDescent="0.2">
      <c r="A96" s="908" t="s">
        <v>479</v>
      </c>
      <c r="B96" s="908" t="s">
        <v>178</v>
      </c>
      <c r="C96" s="910">
        <f>'Revenues 9-14'!B84</f>
        <v>1811</v>
      </c>
      <c r="D96" s="911" t="str">
        <f>'Revenues 9-14'!A84</f>
        <v>Rentals - Regular Textbooks</v>
      </c>
      <c r="E96" s="906"/>
      <c r="F96" s="1807">
        <f>'Revenues 9-14'!C84</f>
        <v>25636</v>
      </c>
      <c r="G96" s="912"/>
    </row>
    <row r="97" spans="1:7" x14ac:dyDescent="0.2">
      <c r="A97" s="908" t="s">
        <v>479</v>
      </c>
      <c r="B97" s="908" t="s">
        <v>179</v>
      </c>
      <c r="C97" s="910">
        <f>'Revenues 9-14'!B87</f>
        <v>1819</v>
      </c>
      <c r="D97" s="911" t="str">
        <f>'Revenues 9-14'!A87</f>
        <v>Rentals - Other (Describe &amp; Itemize)</v>
      </c>
      <c r="E97" s="906"/>
      <c r="F97" s="1807">
        <f>'Revenues 9-14'!C87</f>
        <v>0</v>
      </c>
      <c r="G97" s="912"/>
    </row>
    <row r="98" spans="1:7" x14ac:dyDescent="0.2">
      <c r="A98" s="908" t="s">
        <v>479</v>
      </c>
      <c r="B98" s="908" t="s">
        <v>180</v>
      </c>
      <c r="C98" s="910">
        <f>'Revenues 9-14'!B88</f>
        <v>1821</v>
      </c>
      <c r="D98" s="911" t="str">
        <f>'Revenues 9-14'!A88</f>
        <v>Sales - Regular Textbooks</v>
      </c>
      <c r="E98" s="906"/>
      <c r="F98" s="1807">
        <f>'Revenues 9-14'!C88</f>
        <v>0</v>
      </c>
      <c r="G98" s="912"/>
    </row>
    <row r="99" spans="1:7" x14ac:dyDescent="0.2">
      <c r="A99" s="908" t="s">
        <v>479</v>
      </c>
      <c r="B99" s="908" t="s">
        <v>181</v>
      </c>
      <c r="C99" s="910">
        <f>'Revenues 9-14'!B91</f>
        <v>1829</v>
      </c>
      <c r="D99" s="911" t="str">
        <f>'Revenues 9-14'!A91</f>
        <v>Sales - Other (Describe &amp; Itemize)</v>
      </c>
      <c r="E99" s="906"/>
      <c r="F99" s="1807">
        <f>'Revenues 9-14'!C91</f>
        <v>0</v>
      </c>
      <c r="G99" s="912"/>
    </row>
    <row r="100" spans="1:7" x14ac:dyDescent="0.2">
      <c r="A100" s="908" t="s">
        <v>479</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0</v>
      </c>
      <c r="G101" s="912"/>
    </row>
    <row r="102" spans="1:7" x14ac:dyDescent="0.2">
      <c r="A102" s="908" t="s">
        <v>524</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7">
        <f>('Revenues 9-14'!C106)</f>
        <v>0</v>
      </c>
      <c r="G104" s="912"/>
    </row>
    <row r="105" spans="1:7" x14ac:dyDescent="0.2">
      <c r="A105" s="908" t="s">
        <v>524</v>
      </c>
      <c r="B105" s="908" t="s">
        <v>842</v>
      </c>
      <c r="C105" s="913">
        <v>3100</v>
      </c>
      <c r="D105" s="919" t="str">
        <f>'Revenues 9-14'!A131</f>
        <v>Total Special Education</v>
      </c>
      <c r="E105" s="906"/>
      <c r="F105" s="1807">
        <f>SUM('Revenues 9-14'!C131:D131,'Revenues 9-14'!F131)</f>
        <v>114763</v>
      </c>
      <c r="G105" s="912"/>
    </row>
    <row r="106" spans="1:7" x14ac:dyDescent="0.2">
      <c r="A106" s="908" t="s">
        <v>694</v>
      </c>
      <c r="B106" s="908" t="s">
        <v>1483</v>
      </c>
      <c r="C106" s="920">
        <v>3200</v>
      </c>
      <c r="D106" s="911" t="str">
        <f>'Revenues 9-14'!A140</f>
        <v>Total Career and Technical Education</v>
      </c>
      <c r="E106" s="906"/>
      <c r="F106" s="1807">
        <f>SUM('Revenues 9-14'!C140,'Revenues 9-14'!D140,'Revenues 9-14'!G140)</f>
        <v>2985</v>
      </c>
      <c r="G106" s="912"/>
    </row>
    <row r="107" spans="1:7" x14ac:dyDescent="0.2">
      <c r="A107" s="921" t="s">
        <v>685</v>
      </c>
      <c r="B107" s="908" t="s">
        <v>843</v>
      </c>
      <c r="C107" s="920">
        <v>3300</v>
      </c>
      <c r="D107" s="911" t="str">
        <f>'Revenues 9-14'!A144</f>
        <v>Total Bilingual Ed</v>
      </c>
      <c r="E107" s="906"/>
      <c r="F107" s="1807">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7">
        <f>'Revenues 9-14'!C145</f>
        <v>3182</v>
      </c>
      <c r="G108" s="912"/>
    </row>
    <row r="109" spans="1:7" x14ac:dyDescent="0.2">
      <c r="A109" s="908" t="s">
        <v>694</v>
      </c>
      <c r="B109" s="908" t="s">
        <v>845</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7">
        <f>SUM('Revenues 9-14'!C147,'Revenues 9-14'!D147)</f>
        <v>8614</v>
      </c>
      <c r="G110" s="912"/>
    </row>
    <row r="111" spans="1:7" x14ac:dyDescent="0.2">
      <c r="A111" s="908" t="s">
        <v>689</v>
      </c>
      <c r="B111" s="908" t="s">
        <v>802</v>
      </c>
      <c r="C111" s="922">
        <v>3500</v>
      </c>
      <c r="D111" s="911" t="str">
        <f>'Revenues 9-14'!A154</f>
        <v>Total Transportation</v>
      </c>
      <c r="E111" s="906"/>
      <c r="F111" s="1807">
        <f>SUM('Revenues 9-14'!C154,'Revenues 9-14'!D154,'Revenues 9-14'!F154,'Revenues 9-14'!G154)</f>
        <v>206061</v>
      </c>
      <c r="G111" s="912"/>
    </row>
    <row r="112" spans="1:7" x14ac:dyDescent="0.2">
      <c r="A112" s="908" t="s">
        <v>479</v>
      </c>
      <c r="B112" s="908" t="s">
        <v>847</v>
      </c>
      <c r="C112" s="920">
        <f>'Revenues 9-14'!B155</f>
        <v>3610</v>
      </c>
      <c r="D112" s="911" t="str">
        <f>'Revenues 9-14'!A155</f>
        <v>Learning Improvement - Change Grants</v>
      </c>
      <c r="E112" s="906"/>
      <c r="F112" s="1807">
        <f>'Revenues 9-14'!C155</f>
        <v>0</v>
      </c>
      <c r="G112" s="912"/>
    </row>
    <row r="113" spans="1:7" x14ac:dyDescent="0.2">
      <c r="A113" s="908" t="s">
        <v>689</v>
      </c>
      <c r="B113" s="908" t="s">
        <v>848</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5">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6">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6">
        <f>SUM('Revenues 9-14'!C166:G166)</f>
        <v>0</v>
      </c>
      <c r="G122" s="912"/>
    </row>
    <row r="123" spans="1:7" x14ac:dyDescent="0.2">
      <c r="A123" s="923" t="s">
        <v>525</v>
      </c>
      <c r="B123" s="923" t="s">
        <v>853</v>
      </c>
      <c r="C123" s="924">
        <f>'Revenues 9-14'!B167</f>
        <v>3815</v>
      </c>
      <c r="D123" s="925" t="str">
        <f>'Revenues 9-14'!A167</f>
        <v>State Charter Schools</v>
      </c>
      <c r="E123" s="906"/>
      <c r="F123" s="1926">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7">
        <f>'Revenues 9-14'!D170</f>
        <v>0</v>
      </c>
      <c r="G124" s="930"/>
    </row>
    <row r="125" spans="1:7" x14ac:dyDescent="0.2">
      <c r="A125" s="927" t="s">
        <v>521</v>
      </c>
      <c r="B125" s="927" t="s">
        <v>855</v>
      </c>
      <c r="C125" s="928">
        <f>'Revenues 9-14'!B171</f>
        <v>3999</v>
      </c>
      <c r="D125" s="929" t="s">
        <v>564</v>
      </c>
      <c r="E125" s="931"/>
      <c r="F125" s="1807">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07">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7">
        <f>SUM('Revenues 9-14'!C184,'Revenues 9-14'!D184,'Revenues 9-14'!F184,'Revenues 9-14'!G184)</f>
        <v>26022</v>
      </c>
      <c r="G127" s="930"/>
    </row>
    <row r="128" spans="1:7" x14ac:dyDescent="0.2">
      <c r="A128" s="927" t="s">
        <v>689</v>
      </c>
      <c r="B128" s="927" t="s">
        <v>858</v>
      </c>
      <c r="C128" s="932">
        <v>4100</v>
      </c>
      <c r="D128" s="933" t="str">
        <f>'Revenues 9-14'!A191</f>
        <v>Total Title V</v>
      </c>
      <c r="E128" s="906"/>
      <c r="F128" s="1807">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7">
        <f>SUM('Revenues 9-14'!C201,'Revenues 9-14'!G201)</f>
        <v>261173</v>
      </c>
      <c r="G129" s="930"/>
    </row>
    <row r="130" spans="1:7" x14ac:dyDescent="0.2">
      <c r="A130" s="927" t="s">
        <v>689</v>
      </c>
      <c r="B130" s="927" t="s">
        <v>804</v>
      </c>
      <c r="C130" s="932">
        <v>4300</v>
      </c>
      <c r="D130" s="933" t="str">
        <f>'Revenues 9-14'!A211</f>
        <v>Total Title I</v>
      </c>
      <c r="E130" s="906"/>
      <c r="F130" s="1807">
        <f>SUM('Revenues 9-14'!C211,'Revenues 9-14'!D211,'Revenues 9-14'!F211,'Revenues 9-14'!G211)</f>
        <v>114854</v>
      </c>
      <c r="G130" s="930"/>
    </row>
    <row r="131" spans="1:7" x14ac:dyDescent="0.2">
      <c r="A131" s="927" t="s">
        <v>689</v>
      </c>
      <c r="B131" s="927" t="s">
        <v>805</v>
      </c>
      <c r="C131" s="932">
        <v>4400</v>
      </c>
      <c r="D131" s="933" t="str">
        <f>'Revenues 9-14'!A216</f>
        <v>Total Title IV</v>
      </c>
      <c r="E131" s="906"/>
      <c r="F131" s="1807">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7">
        <f>SUM('Revenues 9-14'!C220:D220,'Revenues 9-14'!F220:G220)</f>
        <v>92194</v>
      </c>
      <c r="G132" s="930"/>
    </row>
    <row r="133" spans="1:7" x14ac:dyDescent="0.2">
      <c r="A133" s="927" t="s">
        <v>689</v>
      </c>
      <c r="B133" s="927" t="s">
        <v>191</v>
      </c>
      <c r="C133" s="932">
        <f>'Revenues 9-14'!B221</f>
        <v>4625</v>
      </c>
      <c r="D133" s="933" t="str">
        <f>'Revenues 9-14'!A221</f>
        <v>Fed - Spec Education - IDEA - Room &amp; Board</v>
      </c>
      <c r="E133" s="906"/>
      <c r="F133" s="1807">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694</v>
      </c>
      <c r="B136" s="927" t="s">
        <v>807</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6">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7">
        <f>SUM('Revenues 9-14'!C258:G258,'Revenues 9-14'!J258)</f>
        <v>0</v>
      </c>
      <c r="G160" s="905"/>
    </row>
    <row r="161" spans="1:7" s="867" customFormat="1" x14ac:dyDescent="0.2">
      <c r="A161" s="938" t="s">
        <v>521</v>
      </c>
      <c r="B161" s="939" t="s">
        <v>1564</v>
      </c>
      <c r="C161" s="940" t="s">
        <v>896</v>
      </c>
      <c r="D161" s="941" t="s">
        <v>808</v>
      </c>
      <c r="E161" s="942"/>
      <c r="F161" s="1807">
        <f>SUM(F137:F160)</f>
        <v>0</v>
      </c>
      <c r="G161" s="905"/>
    </row>
    <row r="162" spans="1:7" s="867" customFormat="1" x14ac:dyDescent="0.2">
      <c r="A162" s="938" t="s">
        <v>479</v>
      </c>
      <c r="B162" s="939" t="s">
        <v>1501</v>
      </c>
      <c r="C162" s="940" t="s">
        <v>1499</v>
      </c>
      <c r="D162" s="941" t="s">
        <v>1500</v>
      </c>
      <c r="E162" s="942"/>
      <c r="F162" s="1807">
        <f>SUM('Revenues 9-14'!C260)</f>
        <v>0</v>
      </c>
      <c r="G162" s="905"/>
    </row>
    <row r="163" spans="1:7" s="867" customFormat="1" x14ac:dyDescent="0.2">
      <c r="A163" s="938" t="s">
        <v>521</v>
      </c>
      <c r="B163" s="939" t="s">
        <v>1541</v>
      </c>
      <c r="C163" s="940" t="s">
        <v>1542</v>
      </c>
      <c r="D163" s="941" t="s">
        <v>1543</v>
      </c>
      <c r="E163" s="942"/>
      <c r="F163" s="1807">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7">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6">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6">
        <f>SUM('Revenues 9-14'!C268,'Revenues 9-14'!D268,'Revenues 9-14'!F268,'Revenues 9-14'!G268)</f>
        <v>19442</v>
      </c>
      <c r="G170" s="930"/>
    </row>
    <row r="171" spans="1:7" x14ac:dyDescent="0.2">
      <c r="A171" s="927" t="s">
        <v>689</v>
      </c>
      <c r="B171" s="927" t="s">
        <v>864</v>
      </c>
      <c r="C171" s="932">
        <f>'Revenues 9-14'!B269</f>
        <v>4960</v>
      </c>
      <c r="D171" s="929" t="str">
        <f>'Revenues 9-14'!A269</f>
        <v>Federal Charter Schools</v>
      </c>
      <c r="E171" s="906"/>
      <c r="F171" s="1807">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7">
        <f>SUM('Revenues 9-14'!C270:D270,'Revenues 9-14'!F270:G270)</f>
        <v>9974</v>
      </c>
      <c r="G172" s="947">
        <v>6320</v>
      </c>
    </row>
    <row r="173" spans="1:7" x14ac:dyDescent="0.2">
      <c r="A173" s="927" t="s">
        <v>689</v>
      </c>
      <c r="B173" s="927" t="s">
        <v>1503</v>
      </c>
      <c r="C173" s="932">
        <f>'Revenues 9-14'!B271</f>
        <v>4992</v>
      </c>
      <c r="D173" s="933" t="str">
        <f>'Revenues 9-14'!A271</f>
        <v>Medicaid Matching Funds - Fee-for-Service Program</v>
      </c>
      <c r="E173" s="906"/>
      <c r="F173" s="1807">
        <f>SUM('Revenues 9-14'!C271:D271,'Revenues 9-14'!F271:G271)</f>
        <v>7892</v>
      </c>
      <c r="G173" s="947"/>
    </row>
    <row r="174" spans="1:7" x14ac:dyDescent="0.2">
      <c r="A174" s="948" t="s">
        <v>689</v>
      </c>
      <c r="B174" s="944" t="s">
        <v>1558</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7" t="s">
        <v>5</v>
      </c>
      <c r="B175" s="1938" t="s">
        <v>2056</v>
      </c>
      <c r="C175" s="1939">
        <v>3100</v>
      </c>
      <c r="D175" s="1940" t="s">
        <v>2059</v>
      </c>
      <c r="E175" s="906"/>
      <c r="F175" s="1924">
        <v>137854</v>
      </c>
      <c r="G175" s="927"/>
    </row>
    <row r="176" spans="1:7" x14ac:dyDescent="0.2">
      <c r="A176" s="1937" t="s">
        <v>685</v>
      </c>
      <c r="B176" s="1938" t="s">
        <v>2056</v>
      </c>
      <c r="C176" s="1939">
        <v>3300</v>
      </c>
      <c r="D176" s="1940" t="s">
        <v>2060</v>
      </c>
      <c r="E176" s="906"/>
      <c r="F176" s="1924">
        <v>0</v>
      </c>
      <c r="G176" s="927"/>
    </row>
    <row r="177" spans="1:7" ht="6" customHeight="1" x14ac:dyDescent="0.2">
      <c r="A177" s="927"/>
      <c r="B177" s="927"/>
      <c r="C177" s="949"/>
      <c r="D177" s="927"/>
      <c r="E177" s="906"/>
      <c r="F177" s="950"/>
      <c r="G177" s="947"/>
    </row>
    <row r="178" spans="1:7" x14ac:dyDescent="0.2">
      <c r="A178" s="1788"/>
      <c r="B178" s="1802"/>
      <c r="C178" s="1803"/>
      <c r="D178" s="1804" t="s">
        <v>2012</v>
      </c>
      <c r="E178" s="1805" t="s">
        <v>1015</v>
      </c>
      <c r="F178" s="1806">
        <f>SUM(F84:F136,F161:F176)</f>
        <v>1118360</v>
      </c>
    </row>
    <row r="179" spans="1:7" ht="12" customHeight="1" x14ac:dyDescent="0.2">
      <c r="A179" s="1788"/>
      <c r="B179" s="1802"/>
      <c r="C179" s="1803"/>
      <c r="D179" s="1804" t="s">
        <v>2013</v>
      </c>
      <c r="E179" s="1805"/>
      <c r="F179" s="1807">
        <f>'PCTC-OEPP 27-28'!F77-F178</f>
        <v>4917220</v>
      </c>
    </row>
    <row r="180" spans="1:7" ht="12" customHeight="1" x14ac:dyDescent="0.2">
      <c r="A180" s="1788"/>
      <c r="B180" s="1802"/>
      <c r="C180" s="1803"/>
      <c r="D180" s="1804" t="s">
        <v>1924</v>
      </c>
      <c r="E180" s="1805"/>
      <c r="F180" s="1807">
        <f>'Cap Outlay Deprec 26'!I18</f>
        <v>515571</v>
      </c>
    </row>
    <row r="181" spans="1:7" ht="12" customHeight="1" x14ac:dyDescent="0.2">
      <c r="A181" s="1788"/>
      <c r="B181" s="1802"/>
      <c r="C181" s="1803"/>
      <c r="D181" s="1804" t="s">
        <v>2014</v>
      </c>
      <c r="E181" s="1805"/>
      <c r="F181" s="1807">
        <f>F179+F180</f>
        <v>5432791</v>
      </c>
    </row>
    <row r="182" spans="1:7" ht="12" customHeight="1" x14ac:dyDescent="0.2">
      <c r="A182" s="1788"/>
      <c r="B182" s="1808"/>
      <c r="C182" s="1803"/>
      <c r="D182" s="1804" t="str">
        <f>D78</f>
        <v>9 Month ADA from District Average Daily Attendance/Prior General State Aid Inquiry 2017-2018</v>
      </c>
      <c r="E182" s="1805"/>
      <c r="F182" s="1809">
        <f>'PCTC-OEPP 27-28'!F78</f>
        <v>564.38</v>
      </c>
      <c r="G182" s="930"/>
    </row>
    <row r="183" spans="1:7" ht="12" customHeight="1" thickBot="1" x14ac:dyDescent="0.25">
      <c r="A183" s="1788"/>
      <c r="B183" s="1808"/>
      <c r="C183" s="1803"/>
      <c r="D183" s="1804" t="s">
        <v>2015</v>
      </c>
      <c r="E183" s="1805" t="s">
        <v>1626</v>
      </c>
      <c r="F183" s="1810">
        <f>F181/F182</f>
        <v>9626.1224706757857</v>
      </c>
      <c r="G183" s="856">
        <v>6323</v>
      </c>
    </row>
    <row r="184" spans="1:7" ht="12" thickTop="1" x14ac:dyDescent="0.2">
      <c r="B184" s="930"/>
      <c r="C184" s="949"/>
      <c r="D184" s="930"/>
      <c r="E184" s="949"/>
      <c r="F184" s="930"/>
      <c r="G184" s="951">
        <v>6326</v>
      </c>
    </row>
    <row r="185" spans="1:7" ht="12.2" customHeight="1" x14ac:dyDescent="0.2">
      <c r="A185" s="930" t="s">
        <v>2058</v>
      </c>
      <c r="B185" s="930"/>
      <c r="C185" s="949"/>
      <c r="D185" s="930"/>
      <c r="E185" s="949"/>
      <c r="F185" s="930"/>
      <c r="G185" s="930"/>
    </row>
    <row r="186" spans="1:7" s="1941" customFormat="1" ht="12.2" customHeight="1" x14ac:dyDescent="0.2">
      <c r="A186" s="1941" t="s">
        <v>2063</v>
      </c>
      <c r="B186" s="1942"/>
      <c r="C186" s="1943"/>
      <c r="D186" s="1942"/>
      <c r="E186" s="1943"/>
      <c r="F186" s="1942"/>
      <c r="G186" s="1942"/>
    </row>
    <row r="187" spans="1:7" s="1941" customFormat="1" ht="12.2" customHeight="1" x14ac:dyDescent="0.2">
      <c r="A187" s="1944" t="s">
        <v>2064</v>
      </c>
      <c r="C187" s="1943"/>
      <c r="D187" s="1942"/>
      <c r="E187" s="1943"/>
      <c r="F187" s="1942"/>
      <c r="G187" s="1942"/>
    </row>
    <row r="188" spans="1:7" ht="12" customHeight="1" x14ac:dyDescent="0.2">
      <c r="C188" s="949"/>
      <c r="D188" s="930"/>
      <c r="E188" s="949"/>
      <c r="F188" s="930"/>
      <c r="G188" s="930"/>
    </row>
    <row r="189" spans="1:7" x14ac:dyDescent="0.2">
      <c r="A189" s="1945" t="s">
        <v>2062</v>
      </c>
      <c r="B189" s="1946" t="s">
        <v>2061</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topLeftCell="A13" zoomScaleNormal="100" workbookViewId="0">
      <selection activeCell="B18" sqref="B18"/>
    </sheetView>
  </sheetViews>
  <sheetFormatPr defaultColWidth="9.140625" defaultRowHeight="15" x14ac:dyDescent="0.25"/>
  <cols>
    <col min="1" max="1" width="52" style="1562" customWidth="1"/>
    <col min="2" max="2" width="16.42578125" style="1563" bestFit="1" customWidth="1"/>
    <col min="3" max="3" width="39.85546875" style="1563" customWidth="1"/>
    <col min="4" max="4" width="21.140625" style="1564" customWidth="1"/>
    <col min="5" max="5" width="17.42578125" style="1564" hidden="1" customWidth="1"/>
    <col min="6" max="6" width="35.7109375" style="1564" customWidth="1"/>
    <col min="7" max="7" width="27.7109375" style="1563" customWidth="1"/>
    <col min="8" max="16384" width="9.140625" style="1553"/>
  </cols>
  <sheetData>
    <row r="1" spans="1:7" ht="15" customHeight="1" x14ac:dyDescent="0.25">
      <c r="A1" s="1677" t="s">
        <v>1938</v>
      </c>
      <c r="B1" s="1678"/>
      <c r="C1" s="1678"/>
      <c r="D1" s="1678"/>
      <c r="E1" s="1678"/>
      <c r="F1" s="1678"/>
      <c r="G1" s="1678"/>
    </row>
    <row r="2" spans="1:7" x14ac:dyDescent="0.25">
      <c r="A2" s="1675"/>
      <c r="B2" s="1675"/>
      <c r="C2" s="1676" t="s">
        <v>1036</v>
      </c>
      <c r="D2" s="1675"/>
      <c r="E2" s="1675"/>
      <c r="F2" s="1675"/>
      <c r="G2" s="1675"/>
    </row>
    <row r="3" spans="1:7" ht="5.25" customHeight="1" x14ac:dyDescent="0.25">
      <c r="A3" s="1565"/>
      <c r="B3" s="1565"/>
      <c r="C3" s="1565"/>
      <c r="D3" s="1565"/>
      <c r="E3" s="1565"/>
      <c r="F3" s="1565"/>
      <c r="G3" s="1565"/>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4" t="s">
        <v>1926</v>
      </c>
      <c r="B6" s="1555"/>
      <c r="C6" s="1555"/>
      <c r="D6" s="1555"/>
      <c r="E6" s="1555"/>
      <c r="F6" s="1555"/>
      <c r="G6" s="1556"/>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2021</v>
      </c>
      <c r="B9" s="2293"/>
      <c r="C9" s="2293"/>
      <c r="D9" s="2293"/>
      <c r="E9" s="2293"/>
      <c r="F9" s="2293"/>
      <c r="G9" s="2294"/>
    </row>
    <row r="10" spans="1:7" ht="15" customHeight="1" x14ac:dyDescent="0.25">
      <c r="A10" s="1557" t="s">
        <v>1927</v>
      </c>
      <c r="B10" s="1558"/>
      <c r="C10" s="1558"/>
      <c r="D10" s="1558"/>
      <c r="E10" s="1558"/>
      <c r="F10" s="1558"/>
      <c r="G10" s="1559"/>
    </row>
    <row r="11" spans="1:7" ht="17.25" customHeight="1" x14ac:dyDescent="0.25">
      <c r="A11" s="2292" t="s">
        <v>1939</v>
      </c>
      <c r="B11" s="2293"/>
      <c r="C11" s="2293"/>
      <c r="D11" s="2293"/>
      <c r="E11" s="2293"/>
      <c r="F11" s="2293"/>
      <c r="G11" s="2294"/>
    </row>
    <row r="12" spans="1:7" ht="15" customHeight="1" x14ac:dyDescent="0.25">
      <c r="A12" s="1557" t="s">
        <v>1932</v>
      </c>
      <c r="B12" s="1558"/>
      <c r="C12" s="1558"/>
      <c r="D12" s="1558"/>
      <c r="E12" s="1558"/>
      <c r="F12" s="1558"/>
      <c r="G12" s="1559"/>
    </row>
    <row r="13" spans="1:7" ht="32.25" customHeight="1" x14ac:dyDescent="0.25">
      <c r="A13" s="2283" t="s">
        <v>1933</v>
      </c>
      <c r="B13" s="2284"/>
      <c r="C13" s="2284"/>
      <c r="D13" s="2284"/>
      <c r="E13" s="2284"/>
      <c r="F13" s="2284"/>
      <c r="G13" s="2285"/>
    </row>
    <row r="14" spans="1:7" x14ac:dyDescent="0.25">
      <c r="A14" s="1679" t="s">
        <v>1940</v>
      </c>
      <c r="B14" s="1680"/>
      <c r="C14" s="1680"/>
      <c r="D14" s="1680"/>
      <c r="E14" s="1680"/>
      <c r="F14" s="1680"/>
      <c r="G14" s="1681"/>
    </row>
    <row r="15" spans="1:7" ht="61.5" customHeight="1" x14ac:dyDescent="0.25">
      <c r="A15" s="1566" t="s">
        <v>1934</v>
      </c>
      <c r="B15" s="1566" t="s">
        <v>1935</v>
      </c>
      <c r="C15" s="1566" t="s">
        <v>1936</v>
      </c>
      <c r="D15" s="1567" t="s">
        <v>2208</v>
      </c>
      <c r="E15" s="1567" t="s">
        <v>1928</v>
      </c>
      <c r="F15" s="1567" t="s">
        <v>2209</v>
      </c>
      <c r="G15" s="1567" t="s">
        <v>1937</v>
      </c>
    </row>
    <row r="16" spans="1:7" x14ac:dyDescent="0.25">
      <c r="A16" s="1668" t="s">
        <v>1941</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ht="25.5" x14ac:dyDescent="0.25">
      <c r="A17" s="1956" t="s">
        <v>2194</v>
      </c>
      <c r="B17" s="1954" t="s">
        <v>2216</v>
      </c>
      <c r="C17" s="1949" t="s">
        <v>2102</v>
      </c>
      <c r="D17" s="1862">
        <v>6900</v>
      </c>
      <c r="E17" s="1560">
        <f t="shared" ref="E17:E40" si="1">IF(D17&lt;=25000,D17,IF(D17&gt;25000,25000,0))</f>
        <v>6900</v>
      </c>
      <c r="F17" s="1811">
        <f t="shared" si="0"/>
        <v>6900</v>
      </c>
      <c r="G17" s="1812">
        <f>IF(F17=0,0,D17-F17)</f>
        <v>0</v>
      </c>
      <c r="H17" s="1667"/>
    </row>
    <row r="18" spans="1:8" x14ac:dyDescent="0.25">
      <c r="A18" s="1956" t="s">
        <v>2211</v>
      </c>
      <c r="B18" s="1955" t="s">
        <v>2210</v>
      </c>
      <c r="C18" s="1949" t="s">
        <v>2103</v>
      </c>
      <c r="D18" s="1862">
        <v>2970</v>
      </c>
      <c r="E18" s="1560">
        <f t="shared" ref="E18:E39" si="2">IF(D18&lt;=25000,D18,IF(D18&gt;25000,25000,0))</f>
        <v>2970</v>
      </c>
      <c r="F18" s="1811">
        <f t="shared" ref="F18:F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39" si="4">IF(F18=0,0,D18-F18)</f>
        <v>0</v>
      </c>
    </row>
    <row r="19" spans="1:8" x14ac:dyDescent="0.25">
      <c r="A19" s="1956" t="s">
        <v>2198</v>
      </c>
      <c r="B19" s="1955" t="s">
        <v>2207</v>
      </c>
      <c r="C19" s="1949" t="s">
        <v>2104</v>
      </c>
      <c r="D19" s="1862">
        <v>7968.48</v>
      </c>
      <c r="E19" s="1560">
        <f t="shared" si="2"/>
        <v>7968.48</v>
      </c>
      <c r="F19" s="1811">
        <f t="shared" si="3"/>
        <v>0</v>
      </c>
      <c r="G19" s="1812">
        <f t="shared" si="4"/>
        <v>0</v>
      </c>
    </row>
    <row r="20" spans="1:8" ht="25.5" x14ac:dyDescent="0.25">
      <c r="A20" s="1956" t="s">
        <v>2197</v>
      </c>
      <c r="B20" s="1955" t="s">
        <v>2206</v>
      </c>
      <c r="C20" s="1949" t="s">
        <v>2105</v>
      </c>
      <c r="D20" s="1862">
        <v>1368</v>
      </c>
      <c r="E20" s="1560">
        <f t="shared" si="2"/>
        <v>1368</v>
      </c>
      <c r="F20" s="1811">
        <f t="shared" si="3"/>
        <v>1368</v>
      </c>
      <c r="G20" s="1812">
        <f t="shared" si="4"/>
        <v>0</v>
      </c>
    </row>
    <row r="21" spans="1:8" x14ac:dyDescent="0.25">
      <c r="A21" s="1956" t="s">
        <v>2199</v>
      </c>
      <c r="B21" s="1950" t="s">
        <v>2190</v>
      </c>
      <c r="C21" s="1949" t="s">
        <v>2106</v>
      </c>
      <c r="D21" s="1862">
        <v>965.41</v>
      </c>
      <c r="E21" s="1560">
        <f t="shared" si="2"/>
        <v>965.41</v>
      </c>
      <c r="F21" s="1811">
        <f t="shared" si="3"/>
        <v>0</v>
      </c>
      <c r="G21" s="1812">
        <f t="shared" si="4"/>
        <v>0</v>
      </c>
    </row>
    <row r="22" spans="1:8" ht="25.5" x14ac:dyDescent="0.25">
      <c r="A22" s="1956" t="s">
        <v>2214</v>
      </c>
      <c r="B22" s="1955" t="s">
        <v>2213</v>
      </c>
      <c r="C22" s="1949" t="s">
        <v>2107</v>
      </c>
      <c r="D22" s="1862">
        <v>1179</v>
      </c>
      <c r="E22" s="1560">
        <f t="shared" si="2"/>
        <v>1179</v>
      </c>
      <c r="F22" s="1811">
        <f t="shared" si="3"/>
        <v>0</v>
      </c>
      <c r="G22" s="1812">
        <f t="shared" si="4"/>
        <v>0</v>
      </c>
    </row>
    <row r="23" spans="1:8" ht="25.5" x14ac:dyDescent="0.25">
      <c r="A23" s="1956" t="s">
        <v>2197</v>
      </c>
      <c r="B23" s="1955" t="s">
        <v>2206</v>
      </c>
      <c r="C23" s="1949" t="s">
        <v>2108</v>
      </c>
      <c r="D23" s="1862">
        <v>2984</v>
      </c>
      <c r="E23" s="1560">
        <f t="shared" si="2"/>
        <v>2984</v>
      </c>
      <c r="F23" s="1811">
        <f t="shared" si="3"/>
        <v>2984</v>
      </c>
      <c r="G23" s="1812">
        <f t="shared" si="4"/>
        <v>0</v>
      </c>
    </row>
    <row r="24" spans="1:8" ht="25.5" x14ac:dyDescent="0.25">
      <c r="A24" s="1956" t="s">
        <v>2197</v>
      </c>
      <c r="B24" s="1955" t="s">
        <v>2206</v>
      </c>
      <c r="C24" s="1949" t="s">
        <v>2109</v>
      </c>
      <c r="D24" s="1862">
        <v>3000</v>
      </c>
      <c r="E24" s="1560">
        <f t="shared" si="2"/>
        <v>3000</v>
      </c>
      <c r="F24" s="1811">
        <f t="shared" si="3"/>
        <v>3000</v>
      </c>
      <c r="G24" s="1812">
        <f t="shared" si="4"/>
        <v>0</v>
      </c>
    </row>
    <row r="25" spans="1:8" x14ac:dyDescent="0.25">
      <c r="A25" s="1956" t="s">
        <v>2198</v>
      </c>
      <c r="B25" s="1955" t="s">
        <v>2207</v>
      </c>
      <c r="C25" s="1949" t="s">
        <v>2110</v>
      </c>
      <c r="D25" s="1862">
        <v>2400</v>
      </c>
      <c r="E25" s="1560">
        <f t="shared" si="2"/>
        <v>2400</v>
      </c>
      <c r="F25" s="1811">
        <f t="shared" si="3"/>
        <v>0</v>
      </c>
      <c r="G25" s="1812">
        <f t="shared" si="4"/>
        <v>0</v>
      </c>
    </row>
    <row r="26" spans="1:8" x14ac:dyDescent="0.25">
      <c r="A26" s="1956" t="s">
        <v>2211</v>
      </c>
      <c r="B26" s="1955" t="s">
        <v>2210</v>
      </c>
      <c r="C26" s="1949" t="s">
        <v>2111</v>
      </c>
      <c r="D26" s="1862">
        <v>12863</v>
      </c>
      <c r="E26" s="1560">
        <f t="shared" si="2"/>
        <v>12863</v>
      </c>
      <c r="F26" s="1811">
        <f t="shared" si="3"/>
        <v>0</v>
      </c>
      <c r="G26" s="1812">
        <f t="shared" si="4"/>
        <v>0</v>
      </c>
    </row>
    <row r="27" spans="1:8" ht="25.5" x14ac:dyDescent="0.25">
      <c r="A27" s="1956" t="s">
        <v>2194</v>
      </c>
      <c r="B27" s="1955" t="s">
        <v>2189</v>
      </c>
      <c r="C27" s="1949" t="s">
        <v>2112</v>
      </c>
      <c r="D27" s="1862">
        <v>317.04000000000002</v>
      </c>
      <c r="E27" s="1560">
        <f t="shared" si="2"/>
        <v>317.04000000000002</v>
      </c>
      <c r="F27" s="1811">
        <f t="shared" si="3"/>
        <v>0</v>
      </c>
      <c r="G27" s="1812">
        <f t="shared" si="4"/>
        <v>0</v>
      </c>
    </row>
    <row r="28" spans="1:8" x14ac:dyDescent="0.25">
      <c r="A28" s="1956" t="s">
        <v>2195</v>
      </c>
      <c r="B28" s="1955" t="s">
        <v>2196</v>
      </c>
      <c r="C28" s="1949" t="s">
        <v>2113</v>
      </c>
      <c r="D28" s="1862">
        <v>857.5</v>
      </c>
      <c r="E28" s="1560">
        <f t="shared" si="2"/>
        <v>857.5</v>
      </c>
      <c r="F28" s="1811">
        <f t="shared" si="3"/>
        <v>857.5</v>
      </c>
      <c r="G28" s="1812">
        <f t="shared" si="4"/>
        <v>0</v>
      </c>
    </row>
    <row r="29" spans="1:8" x14ac:dyDescent="0.25">
      <c r="A29" s="1956" t="s">
        <v>2203</v>
      </c>
      <c r="B29" s="1955" t="s">
        <v>2193</v>
      </c>
      <c r="C29" s="1949" t="s">
        <v>2114</v>
      </c>
      <c r="D29" s="1862">
        <v>2776</v>
      </c>
      <c r="E29" s="1560">
        <f t="shared" si="2"/>
        <v>2776</v>
      </c>
      <c r="F29" s="1811">
        <f t="shared" si="3"/>
        <v>0</v>
      </c>
      <c r="G29" s="1812">
        <f t="shared" si="4"/>
        <v>0</v>
      </c>
    </row>
    <row r="30" spans="1:8" x14ac:dyDescent="0.25">
      <c r="A30" s="1956" t="s">
        <v>2204</v>
      </c>
      <c r="B30" s="1955" t="s">
        <v>2212</v>
      </c>
      <c r="C30" s="1949" t="s">
        <v>2115</v>
      </c>
      <c r="D30" s="1862">
        <v>1855</v>
      </c>
      <c r="E30" s="1560">
        <f t="shared" si="2"/>
        <v>1855</v>
      </c>
      <c r="F30" s="1811">
        <f t="shared" si="3"/>
        <v>0</v>
      </c>
      <c r="G30" s="1812">
        <f t="shared" si="4"/>
        <v>0</v>
      </c>
    </row>
    <row r="31" spans="1:8" ht="25.5" x14ac:dyDescent="0.25">
      <c r="A31" s="1956" t="s">
        <v>2197</v>
      </c>
      <c r="B31" s="1955" t="s">
        <v>2206</v>
      </c>
      <c r="C31" s="1949" t="s">
        <v>2116</v>
      </c>
      <c r="D31" s="1862">
        <v>10795.62</v>
      </c>
      <c r="E31" s="1560">
        <f t="shared" si="2"/>
        <v>10795.62</v>
      </c>
      <c r="F31" s="1811">
        <f t="shared" si="3"/>
        <v>10795.62</v>
      </c>
      <c r="G31" s="1812">
        <f t="shared" si="4"/>
        <v>0</v>
      </c>
    </row>
    <row r="32" spans="1:8" x14ac:dyDescent="0.25">
      <c r="A32" s="1956" t="s">
        <v>2202</v>
      </c>
      <c r="B32" s="1955" t="s">
        <v>2191</v>
      </c>
      <c r="C32" s="1949" t="s">
        <v>2117</v>
      </c>
      <c r="D32" s="1862">
        <v>2360.81</v>
      </c>
      <c r="E32" s="1560">
        <f t="shared" si="2"/>
        <v>2360.81</v>
      </c>
      <c r="F32" s="1811">
        <f t="shared" si="3"/>
        <v>2360.81</v>
      </c>
      <c r="G32" s="1812">
        <f t="shared" si="4"/>
        <v>0</v>
      </c>
    </row>
    <row r="33" spans="1:7" ht="25.5" x14ac:dyDescent="0.25">
      <c r="A33" s="1956" t="s">
        <v>2201</v>
      </c>
      <c r="B33" s="1955" t="s">
        <v>2205</v>
      </c>
      <c r="C33" s="1949" t="s">
        <v>2118</v>
      </c>
      <c r="D33" s="1862">
        <v>1616</v>
      </c>
      <c r="E33" s="1560">
        <f t="shared" si="2"/>
        <v>1616</v>
      </c>
      <c r="F33" s="1811">
        <f t="shared" si="3"/>
        <v>1616</v>
      </c>
      <c r="G33" s="1812">
        <f t="shared" si="4"/>
        <v>0</v>
      </c>
    </row>
    <row r="34" spans="1:7" x14ac:dyDescent="0.25">
      <c r="A34" s="1956" t="s">
        <v>2198</v>
      </c>
      <c r="B34" s="1955" t="s">
        <v>2207</v>
      </c>
      <c r="C34" s="1949" t="s">
        <v>2119</v>
      </c>
      <c r="D34" s="1862">
        <v>1905</v>
      </c>
      <c r="E34" s="1560">
        <f t="shared" si="2"/>
        <v>1905</v>
      </c>
      <c r="F34" s="1811">
        <f t="shared" si="3"/>
        <v>0</v>
      </c>
      <c r="G34" s="1812">
        <f t="shared" si="4"/>
        <v>0</v>
      </c>
    </row>
    <row r="35" spans="1:7" x14ac:dyDescent="0.25">
      <c r="A35" s="1956" t="s">
        <v>2200</v>
      </c>
      <c r="B35" s="1950" t="s">
        <v>2192</v>
      </c>
      <c r="C35" s="1949" t="s">
        <v>2120</v>
      </c>
      <c r="D35" s="1862">
        <v>878</v>
      </c>
      <c r="E35" s="1560">
        <f t="shared" si="2"/>
        <v>878</v>
      </c>
      <c r="F35" s="1811">
        <f t="shared" si="3"/>
        <v>0</v>
      </c>
      <c r="G35" s="1812">
        <f t="shared" si="4"/>
        <v>0</v>
      </c>
    </row>
    <row r="36" spans="1:7" ht="25.5" x14ac:dyDescent="0.25">
      <c r="A36" s="1956" t="s">
        <v>2197</v>
      </c>
      <c r="B36" s="1955" t="s">
        <v>2206</v>
      </c>
      <c r="C36" s="1949" t="s">
        <v>2121</v>
      </c>
      <c r="D36" s="1862">
        <v>1838</v>
      </c>
      <c r="E36" s="1560">
        <f t="shared" si="2"/>
        <v>1838</v>
      </c>
      <c r="F36" s="1811">
        <f t="shared" si="3"/>
        <v>1838</v>
      </c>
      <c r="G36" s="1812">
        <f t="shared" si="4"/>
        <v>0</v>
      </c>
    </row>
    <row r="37" spans="1:7" ht="25.5" x14ac:dyDescent="0.25">
      <c r="A37" s="1956" t="s">
        <v>2201</v>
      </c>
      <c r="B37" s="1954" t="s">
        <v>2205</v>
      </c>
      <c r="C37" s="1949" t="s">
        <v>2122</v>
      </c>
      <c r="D37" s="1862">
        <v>5172.2</v>
      </c>
      <c r="E37" s="1560">
        <f>IF(D37&lt;=25000,D37,IF(D37&gt;25000,25000,0))</f>
        <v>5172.2</v>
      </c>
      <c r="F37" s="1811">
        <f>IF(OR(B37="10-1000-100",B37="10-1000-200",B37="10-1000-300",B37="10-1000-400",B37="10-1000-600",B37="10-1000-800",B37="50-1000-200",B37="10-2100-100",B37="10-2100-200",B37="10-2100-300",B37="10-2100-400",B37="10-2100-600",B37="10-2100-800",B37="20-2100-200",B37="20-2190-100",B37="20-2190-200",B37="20-2190-300",B37="20-2190-400",B37="20-2190-600",B37="20-2190-800",B37="40-2190-100",B37="40-2190-200",B37="40-2190-300",B37="40-2190-400",B37="40-2190-600",B37="40-2190-800",B37="50-2190-200",B37="10-2200-100",B37="10-2200-200",B37="10-2200-300",B37="10-2200-400",B37="10-2200-600",B37="10-2200-800",B37="50-2200-200",B37="10-2300-100",B37="10-2300-200",B37="10-2300-300",B37="10-2300-400",B37="10-2300-600",B37="10-2300-800",B37="50-2300-200",B37="80-2300-100",B37="80-2300-200",B37="80-2300-300",B37="80-2300-400",B37="80-2300-600",B37="80-2300-800",B37="10-2400-100",B37="10-2400-200",B37="10-2400-300",B37="10-2400-400",B37="10-2400-600",B37="10-2400-800",B37="50-2400-200",B37="10-2510-100",B37="10-2510-200",B37="10-2510-300",B37="10-2510-400",B37="10-2510-600",B37="10-2510-800",B37="20-2510-100",B37="20-2510-200",B37="20-2510-300",B37="20-2510-400",B37="20-2510-600",B37="20-2510-800",B37="50-2510-200",B37="10-2520-100",B37="10-2520-200",B37="10-2520-300",B37="10-2520-400",B37="10-2520-600",B37="10-2520-800",B37="50-2520-200",B37="10-2540-100",B37="10-2540-200",B37="10-2540-300",B37="10-2540-400",B37="10-2540-600",B37="20-2540-800",B37="20-2540-100",B37="20-2540-200",B37="20-2540-300",B37="20-2540-400",B37="20-2540-600",B37="50-2540-200",B37="90-2540-100",B37="90-2540-200",B37="90-2540-300",B37="90-2540-400",B37="90-2540-600",B37="90-2540-800",B37="90-2540-800",B37="10-2550-100",B37="10-2550-200",B37="10-2550-300",B37="10-2550-400",B37="10-2550-600",B37="10-2550-800",B37="20-2550-100",B37="20-2550-200",B37="20-2550-300",B37="20-2550-400",B37="20-2550-600",B37="20-2550-800",B37="40-2550-100",B37="40-2550-200",B37="40-2550-300",B37="40-2550-400",B37="40-2550-600",B37="40-2550-800",B37="50-2550-200",B37="10-2560-100",B37="10-2560-200",B37="10-2560-300",B37="10-2560-400",B37="10-2560-600",B37="10-2560-800",B37="20-2560-100",B37="20-2560-200",B37="20-2560-300",B37="20-2560-400",B37="20-2560-600",B37="20-2560-800",B37="50-2560-200",B37="10-2570-100",B37="10-2570-200",B37="10-2570-300",B37="10-2570-400",B37="10-2570-600",B37="10-2570-800",B37="50-2570-200",B37="10-2610-100",B37="10-2610-200",B37="10-2610-300",B37="10-2610-400",B37="10-2610-600",B37="10-2610-800",B37="50-2610-200",B37="10-2620-100",B37="10-2620-200",B37="10-2620-300",B37="10-2620-400",B37="10-2620-600",B37="10-2620-800",B37="50-2620-200",B37="10-2630-100",B37="10-2630-200",B37="10-2630-300",B37="10-2630-400",B37="10-2630-600",B37="10-2630-800",B37="50-2630-200",B37="10-2640-100",B37="10-2640-200",B37="10-2640-300",B37="10-2640-400",B37="10-2640-600",B37="10-2640-800",B37="50-2640-200",B37="10-2660-100",B37="10-2660-200",B37="10-2660-300",B37="10-2660-400",B37="10-2660-600",B37="10-2660-800",B37="50-2660-200",B37="10-2900-100",B37="10-2900-200",B37="10-2900-300",B37="10-2900-400",B37="10-2900-600",B37="10-2900-800",B37="20-2900-100",B37="20-2900-200",B37="20-2900-300",B37="20-2900-400",B37="20-2900-600",B37="20-2900-800",B37="40-2900-100",B37="40-2900-200",B37="40-2900-300",B37="40-2900-400",B37="40-2900-600",B37="40-2900-800",B37="50-2900-200",B37="60-2900-100",B37="60-2900-200",B37="60-2900-300",B37="60-2900-400",B37="60-2900-600",B37="60-2900-800",B37="90-2900-100",B37="90-2900-200",B37="90-2900-300",B37="90-2900-400",B37="90-2900-600",B37="90-2900-800",B37="10-3000-100",B37="10-3000-200",B37="10-3000-300",B37="10-3000-400",B37="10-3000-600",B37="10-3000-800",B37="20-3000-100",B37="20-3000-200",B37="20-3000-300",B37="20-3000-400",B37="20-3000-600",B37="20-3000-800",B37="40-3000-100",B37="40-3000-200",B37="40-3000-300",B37="40-3000-400",B37="40-3000-600",B37="40-3000-800",B37="50-3000-200"),E37,0)</f>
        <v>5172.2</v>
      </c>
      <c r="G37" s="1812">
        <f>IF(F37=0,0,D37-F37)</f>
        <v>0</v>
      </c>
    </row>
    <row r="38" spans="1:7" x14ac:dyDescent="0.25">
      <c r="A38" s="1673"/>
      <c r="B38" s="1685"/>
      <c r="C38" s="1674"/>
      <c r="D38" s="1862"/>
      <c r="E38" s="1560">
        <f t="shared" si="2"/>
        <v>0</v>
      </c>
      <c r="F38" s="1811">
        <f t="shared" si="3"/>
        <v>0</v>
      </c>
      <c r="G38" s="1812">
        <f t="shared" si="4"/>
        <v>0</v>
      </c>
    </row>
    <row r="39" spans="1:7" x14ac:dyDescent="0.25">
      <c r="A39" s="1673"/>
      <c r="B39" s="1684"/>
      <c r="C39" s="1674"/>
      <c r="D39" s="1862"/>
      <c r="E39" s="1560">
        <f t="shared" si="2"/>
        <v>0</v>
      </c>
      <c r="F39" s="1811">
        <f t="shared" si="3"/>
        <v>0</v>
      </c>
      <c r="G39" s="1812">
        <f t="shared" si="4"/>
        <v>0</v>
      </c>
    </row>
    <row r="40" spans="1:7" x14ac:dyDescent="0.25">
      <c r="A40" s="1815" t="s">
        <v>158</v>
      </c>
      <c r="B40" s="1816"/>
      <c r="C40" s="1817"/>
      <c r="D40" s="1813">
        <f>SUM(D17:D39)</f>
        <v>72969.06</v>
      </c>
      <c r="E40" s="1561">
        <f t="shared" si="1"/>
        <v>25000</v>
      </c>
      <c r="F40" s="1813">
        <f>SUM(F17:F39)</f>
        <v>36892.130000000005</v>
      </c>
      <c r="G40" s="1814">
        <f>SUM(G17:G39)</f>
        <v>0</v>
      </c>
    </row>
  </sheetData>
  <sheetProtection selectLockedCells="1"/>
  <mergeCells count="6">
    <mergeCell ref="A13:G13"/>
    <mergeCell ref="A4:G5"/>
    <mergeCell ref="A11:G11"/>
    <mergeCell ref="A7:G7"/>
    <mergeCell ref="A8:G8"/>
    <mergeCell ref="A9:G9"/>
  </mergeCells>
  <pageMargins left="0.2" right="0.2" top="0.5" bottom="0.25" header="0.3" footer="0.3"/>
  <pageSetup scale="70" firstPageNumber="3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6" colorId="8" zoomScaleNormal="100" workbookViewId="0">
      <selection activeCell="H1" sqref="H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8" t="s">
        <v>1778</v>
      </c>
      <c r="B5" s="2299"/>
      <c r="C5" s="2299"/>
      <c r="D5" s="2299"/>
      <c r="E5" s="2299"/>
      <c r="F5" s="2299"/>
      <c r="G5" s="2300"/>
      <c r="H5" s="252"/>
      <c r="I5" s="610"/>
    </row>
    <row r="6" spans="1:9" s="668" customFormat="1" x14ac:dyDescent="0.2">
      <c r="A6" s="1657"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2074</v>
      </c>
      <c r="B10" s="971"/>
      <c r="C10" s="976"/>
      <c r="D10" s="972"/>
      <c r="E10" s="973">
        <v>131807</v>
      </c>
      <c r="F10" s="974"/>
      <c r="G10" s="975"/>
      <c r="H10" s="162"/>
      <c r="I10" s="162"/>
    </row>
    <row r="11" spans="1:9" s="668" customFormat="1" ht="22.5" customHeight="1" x14ac:dyDescent="0.2">
      <c r="A11" s="2303" t="s">
        <v>1943</v>
      </c>
      <c r="B11" s="2304"/>
      <c r="C11" s="2304"/>
      <c r="D11" s="2305"/>
      <c r="E11" s="977">
        <v>30329</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8" t="s">
        <v>553</v>
      </c>
      <c r="E17" s="1659"/>
      <c r="F17" s="1658" t="s">
        <v>453</v>
      </c>
      <c r="G17" s="1660"/>
      <c r="H17" s="162"/>
      <c r="I17" s="162"/>
    </row>
    <row r="18" spans="1:9" s="259" customFormat="1" ht="11.25" x14ac:dyDescent="0.2">
      <c r="A18" s="988"/>
      <c r="C18" s="989" t="s">
        <v>454</v>
      </c>
      <c r="D18" s="1661" t="s">
        <v>455</v>
      </c>
      <c r="E18" s="1661" t="s">
        <v>55</v>
      </c>
      <c r="F18" s="1661" t="s">
        <v>455</v>
      </c>
      <c r="G18" s="1661" t="s">
        <v>55</v>
      </c>
      <c r="H18" s="178"/>
      <c r="I18" s="178"/>
    </row>
    <row r="19" spans="1:9" s="668" customFormat="1" ht="12" customHeight="1" x14ac:dyDescent="0.2">
      <c r="A19" s="990" t="s">
        <v>476</v>
      </c>
      <c r="B19" s="991"/>
      <c r="C19" s="992" t="s">
        <v>591</v>
      </c>
      <c r="D19" s="1818"/>
      <c r="E19" s="1819">
        <f>'Expenditures 15-22'!K33-SUM('Expenditures 15-22'!G33,'Expenditures 15-22'!I33)+'Expenditures 15-22'!D229</f>
        <v>3571167</v>
      </c>
      <c r="F19" s="1818"/>
      <c r="G19" s="1820">
        <f>'Expenditures 15-22'!K33-SUM('Expenditures 15-22'!G33,'Expenditures 15-22'!I33)+'Expenditures 15-22'!D229</f>
        <v>3571167</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421</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243946</v>
      </c>
      <c r="F21" s="1821"/>
      <c r="G21" s="1824">
        <f>'Expenditures 15-22'!K42-SUM('Expenditures 15-22'!G42,'Expenditures 15-22'!I42)+'Expenditures 15-22'!K120-SUM('Expenditures 15-22'!G120,'Expenditures 15-22'!I120)+'Expenditures 15-22'!K180-SUM('Expenditures 15-22'!G180,'Expenditures 15-22'!I180)+'Expenditures 15-22'!D238</f>
        <v>243946</v>
      </c>
      <c r="H21" s="987"/>
      <c r="I21" s="162"/>
    </row>
    <row r="22" spans="1:9" s="668" customFormat="1" ht="12" customHeight="1" x14ac:dyDescent="0.2">
      <c r="A22" s="994" t="s">
        <v>585</v>
      </c>
      <c r="B22" s="995"/>
      <c r="C22" s="993">
        <v>2200</v>
      </c>
      <c r="D22" s="1821"/>
      <c r="E22" s="1823">
        <f>'Expenditures 15-22'!K47-SUM('Expenditures 15-22'!G47,'Expenditures 15-22'!I47)+'Expenditures 15-22'!D243</f>
        <v>201986</v>
      </c>
      <c r="F22" s="1821"/>
      <c r="G22" s="1824">
        <f>'Expenditures 15-22'!K47-SUM('Expenditures 15-22'!G47,'Expenditures 15-22'!I47)+'Expenditures 15-22'!D243</f>
        <v>201986</v>
      </c>
      <c r="H22" s="987"/>
      <c r="I22" s="162"/>
    </row>
    <row r="23" spans="1:9" s="668" customFormat="1" ht="12" customHeight="1" x14ac:dyDescent="0.2">
      <c r="A23" s="994" t="s">
        <v>586</v>
      </c>
      <c r="B23" s="995"/>
      <c r="C23" s="993">
        <v>2300</v>
      </c>
      <c r="D23" s="1821"/>
      <c r="E23" s="1823">
        <f>'Expenditures 15-22'!K53-SUM('Expenditures 15-22'!G53,'Expenditures 15-22'!I53)+'Expenditures 15-22'!D257+'Expenditures 15-22'!K330-SUM('Expenditures 15-22'!G330,'Expenditures 15-22'!I330)</f>
        <v>357123</v>
      </c>
      <c r="F23" s="1821"/>
      <c r="G23" s="1823">
        <f>'Expenditures 15-22'!K53-SUM('Expenditures 15-22'!G53,'Expenditures 15-22'!I53)+'Expenditures 15-22'!D257+'Expenditures 15-22'!K330-SUM('Expenditures 15-22'!G330,'Expenditures 15-22'!I330)</f>
        <v>357123</v>
      </c>
      <c r="H23" s="987"/>
      <c r="I23" s="162"/>
    </row>
    <row r="24" spans="1:9" s="668" customFormat="1" ht="12" customHeight="1" x14ac:dyDescent="0.2">
      <c r="A24" s="994" t="s">
        <v>587</v>
      </c>
      <c r="B24" s="995"/>
      <c r="C24" s="993">
        <v>2400</v>
      </c>
      <c r="D24" s="1821"/>
      <c r="E24" s="1823">
        <f>'Expenditures 15-22'!K57-SUM('Expenditures 15-22'!G57,'Expenditures 15-22'!I57)+'Expenditures 15-22'!D261</f>
        <v>352279</v>
      </c>
      <c r="F24" s="1821"/>
      <c r="G24" s="1824">
        <f>'Expenditures 15-22'!K57-SUM('Expenditures 15-22'!G57,'Expenditures 15-22'!I57)+'Expenditures 15-22'!D261</f>
        <v>352279</v>
      </c>
      <c r="H24" s="987"/>
      <c r="I24" s="162"/>
    </row>
    <row r="25" spans="1:9" s="668" customFormat="1" ht="12" customHeight="1" x14ac:dyDescent="0.2">
      <c r="A25" s="990" t="s">
        <v>588</v>
      </c>
      <c r="B25" s="996"/>
      <c r="C25" s="993"/>
      <c r="D25" s="1821"/>
      <c r="E25" s="1823"/>
      <c r="F25" s="1821"/>
      <c r="G25" s="1824"/>
      <c r="H25" s="987"/>
      <c r="I25" s="162"/>
    </row>
    <row r="26" spans="1:9" s="668" customFormat="1" ht="12" customHeight="1" x14ac:dyDescent="0.2">
      <c r="A26" s="994" t="s">
        <v>536</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483</v>
      </c>
      <c r="B27" s="997"/>
      <c r="C27" s="993">
        <v>2520</v>
      </c>
      <c r="D27" s="1823">
        <f>'Expenditures 15-22'!K60-SUM('Expenditures 15-22'!G60,'Expenditures 15-22'!I60)+'Expenditures 15-22'!D264-E8</f>
        <v>57978</v>
      </c>
      <c r="E27" s="1823">
        <f>E8</f>
        <v>0</v>
      </c>
      <c r="F27" s="1823">
        <f>'Expenditures 15-22'!K60-SUM('Expenditures 15-22'!G60,'Expenditures 15-22'!I60)+'Expenditures 15-22'!D264-E8</f>
        <v>57978</v>
      </c>
      <c r="G27" s="1824">
        <f>E8</f>
        <v>0</v>
      </c>
      <c r="H27" s="987"/>
      <c r="I27" s="162"/>
    </row>
    <row r="28" spans="1:9" s="668" customFormat="1" ht="12" customHeight="1" x14ac:dyDescent="0.2">
      <c r="A28" s="994" t="s">
        <v>537</v>
      </c>
      <c r="B28" s="997"/>
      <c r="C28" s="993">
        <v>2540</v>
      </c>
      <c r="D28" s="1825"/>
      <c r="E28" s="1823">
        <f>'Expenditures 15-22'!K61-SUM('Expenditures 15-22'!G61,'Expenditures 15-22'!I61)+'Expenditures 15-22'!K124-SUM('Expenditures 15-22'!G124,'Expenditures 15-22'!I124)+'Expenditures 15-22'!D266</f>
        <v>562407</v>
      </c>
      <c r="F28" s="1825">
        <f>'Expenditures 15-22'!K61-SUM('Expenditures 15-22'!G61,'Expenditures 15-22'!I61)+'Expenditures 15-22'!K124-SUM('Expenditures 15-22'!G124,'Expenditures 15-22'!I124)+'Expenditures 15-22'!D266-E9</f>
        <v>562407</v>
      </c>
      <c r="G28" s="1824">
        <f>E9</f>
        <v>0</v>
      </c>
      <c r="H28" s="987"/>
      <c r="I28" s="162"/>
    </row>
    <row r="29" spans="1:9" ht="12" customHeight="1" x14ac:dyDescent="0.2">
      <c r="A29" s="994" t="s">
        <v>538</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459351</v>
      </c>
      <c r="F29" s="1821"/>
      <c r="G29" s="1824">
        <f>'Expenditures 15-22'!K62-SUM('Expenditures 15-22'!G62,'Expenditures 15-22'!I62)+'Expenditures 15-22'!K125-SUM('Expenditures 15-22'!G125,'Expenditures 15-22'!I125)+'Expenditures 15-22'!K182-SUM('Expenditures 15-22'!G182,'Expenditures 15-22'!I182)+'Expenditures 15-22'!D267</f>
        <v>459351</v>
      </c>
      <c r="H29" s="985"/>
    </row>
    <row r="30" spans="1:9" ht="12" customHeight="1" x14ac:dyDescent="0.2">
      <c r="A30" s="994" t="s">
        <v>102</v>
      </c>
      <c r="B30" s="997"/>
      <c r="C30" s="993">
        <v>2560</v>
      </c>
      <c r="D30" s="1821"/>
      <c r="E30" s="1823">
        <f>'Expenditures 15-22'!K63-SUM('Expenditures 15-22'!G63,'Expenditures 15-22'!I63)+'Expenditures 15-22'!D268-E10</f>
        <v>163120</v>
      </c>
      <c r="F30" s="1821"/>
      <c r="G30" s="1823">
        <f>'Expenditures 15-22'!K63-SUM('Expenditures 15-22'!G63,'Expenditures 15-22'!I63)+'Expenditures 15-22'!D268-E10</f>
        <v>163120</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539</v>
      </c>
      <c r="B32" s="996"/>
      <c r="C32" s="993"/>
      <c r="D32" s="1821"/>
      <c r="E32" s="1821"/>
      <c r="F32" s="1821"/>
      <c r="G32" s="1821"/>
    </row>
    <row r="33" spans="1:7" ht="12" customHeight="1" x14ac:dyDescent="0.2">
      <c r="A33" s="994" t="s">
        <v>540</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541</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1121</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423</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424</v>
      </c>
      <c r="B37" s="997"/>
      <c r="C37" s="993">
        <v>2660</v>
      </c>
      <c r="D37" s="1823">
        <f>'Expenditures 15-22'!K71-SUM('Expenditures 15-22'!G71,'Expenditures 15-22'!I71)+'Expenditures 15-22'!D276-E14</f>
        <v>170973</v>
      </c>
      <c r="E37" s="1823">
        <f>E14</f>
        <v>0</v>
      </c>
      <c r="F37" s="1823">
        <f>'Expenditures 15-22'!K71-SUM('Expenditures 15-22'!G71,'Expenditures 15-22'!I71)+'Expenditures 15-22'!D276-E14</f>
        <v>170973</v>
      </c>
      <c r="G37" s="1823">
        <f>E14</f>
        <v>0</v>
      </c>
    </row>
    <row r="38" spans="1:7" ht="12" customHeight="1" x14ac:dyDescent="0.2">
      <c r="A38" s="990" t="s">
        <v>542</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10</v>
      </c>
      <c r="F38" s="1821"/>
      <c r="G38" s="1823">
        <f>'Expenditures 15-22'!K73-SUM('Expenditures 15-22'!G73,'Expenditures 15-22'!I73)+'Expenditures 15-22'!K128-SUM('Expenditures 15-22'!G128,'Expenditures 15-22'!I128)+'Expenditures 15-22'!K183-SUM('Expenditures 15-22'!G183,'Expenditures 15-22'!I183)+'Expenditures 15-22'!D278</f>
        <v>10</v>
      </c>
    </row>
    <row r="39" spans="1:7" ht="12" customHeight="1" x14ac:dyDescent="0.2">
      <c r="A39" s="990" t="s">
        <v>469</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516</v>
      </c>
      <c r="F39" s="1821"/>
      <c r="G39" s="1823">
        <f>'Expenditures 15-22'!K75-SUM('Expenditures 15-22'!G75,'Expenditures 15-22'!I75)+'Expenditures 15-22'!K130-SUM('Expenditures 15-22'!G130,'Expenditures 15-22'!I130)+'Expenditures 15-22'!K185-SUM('Expenditures 15-22'!G185,'Expenditures 15-22'!I185)+'Expenditures 15-22'!D280</f>
        <v>516</v>
      </c>
    </row>
    <row r="40" spans="1:7" ht="12" customHeight="1" x14ac:dyDescent="0.2">
      <c r="A40" s="990" t="s">
        <v>1930</v>
      </c>
      <c r="B40" s="991"/>
      <c r="C40" s="993"/>
      <c r="D40" s="1821"/>
      <c r="E40" s="1825">
        <f>-'Contracts Paid in CY 29'!G40</f>
        <v>0</v>
      </c>
      <c r="F40" s="1821"/>
      <c r="G40" s="1825">
        <f>-'Contracts Paid in CY 29'!G40</f>
        <v>0</v>
      </c>
    </row>
    <row r="41" spans="1:7" ht="12" customHeight="1" x14ac:dyDescent="0.2">
      <c r="A41" s="998" t="s">
        <v>158</v>
      </c>
      <c r="B41" s="999"/>
      <c r="C41" s="1000"/>
      <c r="D41" s="1825">
        <f>SUM(D19:D39)</f>
        <v>228951</v>
      </c>
      <c r="E41" s="1825">
        <f>SUM(E19:E40)</f>
        <v>5911905</v>
      </c>
      <c r="F41" s="1825">
        <f>SUM(F19:F39)</f>
        <v>791358</v>
      </c>
      <c r="G41" s="1825">
        <f>SUM(G19:G40)</f>
        <v>5349498</v>
      </c>
    </row>
    <row r="42" spans="1:7" x14ac:dyDescent="0.2">
      <c r="A42" s="987"/>
      <c r="B42" s="162"/>
      <c r="C42" s="1001"/>
      <c r="D42" s="2301" t="s">
        <v>543</v>
      </c>
      <c r="E42" s="2302"/>
      <c r="F42" s="1002" t="s">
        <v>544</v>
      </c>
      <c r="G42" s="1003"/>
    </row>
    <row r="43" spans="1:7" ht="12" customHeight="1" x14ac:dyDescent="0.2">
      <c r="A43" s="987"/>
      <c r="B43" s="162"/>
      <c r="C43" s="1001"/>
      <c r="D43" s="1826" t="s">
        <v>493</v>
      </c>
      <c r="E43" s="1827">
        <f>D41</f>
        <v>228951</v>
      </c>
      <c r="F43" s="1826" t="s">
        <v>495</v>
      </c>
      <c r="G43" s="1827">
        <f>F41</f>
        <v>791358</v>
      </c>
    </row>
    <row r="44" spans="1:7" ht="12" customHeight="1" x14ac:dyDescent="0.2">
      <c r="A44" s="987"/>
      <c r="B44" s="162"/>
      <c r="C44" s="1001"/>
      <c r="D44" s="1826" t="s">
        <v>494</v>
      </c>
      <c r="E44" s="1827">
        <f>E41</f>
        <v>5911905</v>
      </c>
      <c r="F44" s="1826" t="s">
        <v>494</v>
      </c>
      <c r="G44" s="1827">
        <f>G41</f>
        <v>5349498</v>
      </c>
    </row>
    <row r="45" spans="1:7" ht="12" customHeight="1" x14ac:dyDescent="0.2">
      <c r="A45" s="987"/>
      <c r="B45" s="162"/>
      <c r="C45" s="162"/>
      <c r="D45" s="1828" t="s">
        <v>1063</v>
      </c>
      <c r="E45" s="1829">
        <f>(E43/E44)</f>
        <v>3.8727110804385387E-2</v>
      </c>
      <c r="F45" s="1828" t="s">
        <v>1063</v>
      </c>
      <c r="G45" s="1829">
        <f>(G43/G44)</f>
        <v>0.14793126383073701</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H1" sqref="H1"/>
      <selection pane="bottomLeft" activeCell="A5" sqref="A5:F5"/>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20" t="s">
        <v>1446</v>
      </c>
      <c r="B1" s="2320"/>
      <c r="C1" s="2320"/>
      <c r="D1" s="2320"/>
      <c r="E1" s="2320"/>
      <c r="F1" s="2320"/>
    </row>
    <row r="2" spans="1:10" x14ac:dyDescent="0.2">
      <c r="A2" s="1905" t="s">
        <v>2046</v>
      </c>
      <c r="B2" s="1866"/>
      <c r="C2" s="1905"/>
      <c r="D2" s="1866"/>
      <c r="E2" s="1866"/>
      <c r="F2" s="1867"/>
    </row>
    <row r="3" spans="1:10" x14ac:dyDescent="0.2">
      <c r="A3" s="1905" t="s">
        <v>1700</v>
      </c>
      <c r="B3" s="1866"/>
      <c r="C3" s="1905"/>
      <c r="D3" s="1866"/>
      <c r="E3" s="1866"/>
      <c r="F3" s="1867"/>
    </row>
    <row r="4" spans="1:10" ht="3.75" customHeight="1" x14ac:dyDescent="0.2">
      <c r="A4" s="1866"/>
      <c r="B4" s="1866"/>
      <c r="C4" s="1866"/>
      <c r="D4" s="1866"/>
      <c r="E4" s="1866"/>
      <c r="F4" s="1867"/>
    </row>
    <row r="5" spans="1:10" ht="15" x14ac:dyDescent="0.25">
      <c r="A5" s="2321" t="s">
        <v>1627</v>
      </c>
      <c r="B5" s="2322"/>
      <c r="C5" s="2323"/>
      <c r="D5" s="2323"/>
      <c r="E5" s="2323"/>
      <c r="F5" s="2323"/>
    </row>
    <row r="6" spans="1:10" ht="12" customHeight="1" x14ac:dyDescent="0.25">
      <c r="A6" s="1868"/>
      <c r="B6" s="1869"/>
      <c r="C6" s="2324" t="str">
        <f>COVER!A17</f>
        <v>Ridgeview CUSD 19</v>
      </c>
      <c r="D6" s="2324"/>
      <c r="E6" s="2324"/>
      <c r="F6" s="1870"/>
    </row>
    <row r="7" spans="1:10" ht="11.25" customHeight="1" thickBot="1" x14ac:dyDescent="0.3">
      <c r="A7" s="1868"/>
      <c r="B7" s="1869"/>
      <c r="C7" s="2325">
        <f>COVER!A13</f>
        <v>17064019026</v>
      </c>
      <c r="D7" s="2325"/>
      <c r="E7" s="2325"/>
      <c r="F7" s="1870"/>
    </row>
    <row r="8" spans="1:10" ht="25.5" customHeight="1" thickBot="1" x14ac:dyDescent="0.25">
      <c r="A8" s="1911" t="s">
        <v>2023</v>
      </c>
      <c r="B8" s="1871"/>
      <c r="C8" s="1907" t="s">
        <v>1780</v>
      </c>
      <c r="D8" s="1906" t="s">
        <v>1781</v>
      </c>
      <c r="E8" s="1908" t="s">
        <v>1447</v>
      </c>
      <c r="F8" s="1906" t="s">
        <v>1782</v>
      </c>
      <c r="H8" s="1872" t="b">
        <v>0</v>
      </c>
    </row>
    <row r="9" spans="1:10" ht="15.75" customHeight="1" x14ac:dyDescent="0.2">
      <c r="A9" s="1873" t="s">
        <v>1623</v>
      </c>
      <c r="B9" s="1874"/>
      <c r="C9" s="1875"/>
      <c r="D9" s="1875"/>
      <c r="E9" s="1876"/>
      <c r="F9" s="1877"/>
    </row>
    <row r="10" spans="1:10" ht="27.75" customHeight="1" x14ac:dyDescent="0.2">
      <c r="A10" s="1878" t="s">
        <v>1779</v>
      </c>
      <c r="B10" s="1879"/>
      <c r="C10" s="1880"/>
      <c r="D10" s="1880"/>
      <c r="E10" s="1909" t="s">
        <v>1448</v>
      </c>
      <c r="F10" s="1910" t="s">
        <v>1449</v>
      </c>
    </row>
    <row r="11" spans="1:10" ht="12" customHeight="1" x14ac:dyDescent="0.2">
      <c r="A11" s="1881" t="s">
        <v>1450</v>
      </c>
      <c r="B11" s="1882"/>
      <c r="C11" s="1883"/>
      <c r="D11" s="1883"/>
      <c r="E11" s="1884"/>
      <c r="F11" s="1885"/>
      <c r="H11" s="1896">
        <f>IF(C11="X",5,0)</f>
        <v>0</v>
      </c>
      <c r="I11" s="1896">
        <f>IF(D11="X",5,0)</f>
        <v>0</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883" t="s">
        <v>2082</v>
      </c>
      <c r="D13" s="1883" t="s">
        <v>2082</v>
      </c>
      <c r="E13" s="1886"/>
      <c r="F13" s="1885" t="s">
        <v>2098</v>
      </c>
      <c r="H13" s="1896">
        <f t="shared" si="0"/>
        <v>5</v>
      </c>
      <c r="I13" s="1896">
        <f t="shared" si="1"/>
        <v>5</v>
      </c>
      <c r="J13" s="1896">
        <f t="shared" si="2"/>
        <v>0</v>
      </c>
    </row>
    <row r="14" spans="1:10" ht="12" customHeight="1" x14ac:dyDescent="0.2">
      <c r="A14" s="1881" t="s">
        <v>1453</v>
      </c>
      <c r="B14" s="1882"/>
      <c r="C14" s="1883"/>
      <c r="D14" s="1883"/>
      <c r="E14" s="1886"/>
      <c r="F14" s="1885"/>
      <c r="H14" s="1896">
        <f t="shared" si="0"/>
        <v>0</v>
      </c>
      <c r="I14" s="1896">
        <f t="shared" si="1"/>
        <v>0</v>
      </c>
      <c r="J14" s="1896">
        <f t="shared" si="2"/>
        <v>0</v>
      </c>
    </row>
    <row r="15" spans="1:10" ht="12" customHeight="1" x14ac:dyDescent="0.2">
      <c r="A15" s="1881" t="s">
        <v>1454</v>
      </c>
      <c r="B15" s="1882"/>
      <c r="C15" s="1883"/>
      <c r="D15" s="1883"/>
      <c r="E15" s="1886"/>
      <c r="F15" s="1885"/>
      <c r="H15" s="1896">
        <f t="shared" si="0"/>
        <v>0</v>
      </c>
      <c r="I15" s="1896">
        <f t="shared" si="1"/>
        <v>0</v>
      </c>
      <c r="J15" s="1896">
        <f t="shared" si="2"/>
        <v>0</v>
      </c>
    </row>
    <row r="16" spans="1:10" ht="12" customHeight="1" x14ac:dyDescent="0.2">
      <c r="A16" s="1881" t="s">
        <v>1455</v>
      </c>
      <c r="B16" s="1882"/>
      <c r="C16" s="1883"/>
      <c r="D16" s="1883"/>
      <c r="E16" s="1886"/>
      <c r="F16" s="1885"/>
      <c r="H16" s="1896">
        <f t="shared" si="0"/>
        <v>0</v>
      </c>
      <c r="I16" s="1896">
        <f t="shared" si="1"/>
        <v>0</v>
      </c>
      <c r="J16" s="1896">
        <f t="shared" si="2"/>
        <v>0</v>
      </c>
    </row>
    <row r="17" spans="1:12" ht="12" customHeight="1" x14ac:dyDescent="0.2">
      <c r="A17" s="1881" t="s">
        <v>1456</v>
      </c>
      <c r="B17" s="1882"/>
      <c r="C17" s="1883"/>
      <c r="D17" s="1883"/>
      <c r="E17" s="1886"/>
      <c r="F17" s="1885"/>
      <c r="H17" s="1896">
        <f t="shared" si="0"/>
        <v>0</v>
      </c>
      <c r="I17" s="1896">
        <f t="shared" si="1"/>
        <v>0</v>
      </c>
      <c r="J17" s="1896">
        <f t="shared" si="2"/>
        <v>0</v>
      </c>
    </row>
    <row r="18" spans="1:12" ht="12" customHeight="1" x14ac:dyDescent="0.2">
      <c r="A18" s="1881" t="s">
        <v>1457</v>
      </c>
      <c r="B18" s="1882"/>
      <c r="C18" s="1883"/>
      <c r="D18" s="1883"/>
      <c r="E18" s="1886"/>
      <c r="F18" s="1885"/>
      <c r="H18" s="1896">
        <f t="shared" si="0"/>
        <v>0</v>
      </c>
      <c r="I18" s="1896">
        <f t="shared" si="1"/>
        <v>0</v>
      </c>
      <c r="J18" s="1896">
        <f t="shared" si="2"/>
        <v>0</v>
      </c>
    </row>
    <row r="19" spans="1:12" ht="12" customHeight="1" x14ac:dyDescent="0.2">
      <c r="A19" s="1881" t="s">
        <v>1608</v>
      </c>
      <c r="B19" s="1882"/>
      <c r="C19" s="1883"/>
      <c r="D19" s="1883"/>
      <c r="E19" s="1886"/>
      <c r="F19" s="1885"/>
      <c r="H19" s="1896">
        <f t="shared" si="0"/>
        <v>0</v>
      </c>
      <c r="I19" s="1896">
        <f t="shared" si="1"/>
        <v>0</v>
      </c>
      <c r="J19" s="1896">
        <f t="shared" si="2"/>
        <v>0</v>
      </c>
    </row>
    <row r="20" spans="1:12" ht="12" customHeight="1" x14ac:dyDescent="0.2">
      <c r="A20" s="1881" t="s">
        <v>1609</v>
      </c>
      <c r="B20" s="1882"/>
      <c r="C20" s="1883"/>
      <c r="D20" s="1883"/>
      <c r="E20" s="1886"/>
      <c r="F20" s="1885"/>
      <c r="H20" s="1896">
        <f t="shared" si="0"/>
        <v>0</v>
      </c>
      <c r="I20" s="1896">
        <f t="shared" si="1"/>
        <v>0</v>
      </c>
      <c r="J20" s="1896">
        <f t="shared" si="2"/>
        <v>0</v>
      </c>
    </row>
    <row r="21" spans="1:12" ht="12" customHeight="1" x14ac:dyDescent="0.2">
      <c r="A21" s="1881" t="s">
        <v>1610</v>
      </c>
      <c r="B21" s="1882"/>
      <c r="C21" s="1883"/>
      <c r="D21" s="1883"/>
      <c r="E21" s="1886"/>
      <c r="F21" s="1885"/>
      <c r="H21" s="1896">
        <f t="shared" si="0"/>
        <v>0</v>
      </c>
      <c r="I21" s="1896">
        <f t="shared" si="1"/>
        <v>0</v>
      </c>
      <c r="J21" s="1896">
        <f t="shared" si="2"/>
        <v>0</v>
      </c>
    </row>
    <row r="22" spans="1:12" ht="12" customHeight="1" x14ac:dyDescent="0.2">
      <c r="A22" s="1881" t="s">
        <v>1611</v>
      </c>
      <c r="B22" s="1882"/>
      <c r="C22" s="1883"/>
      <c r="D22" s="1883"/>
      <c r="E22" s="1886"/>
      <c r="F22" s="1885"/>
      <c r="H22" s="1896">
        <f t="shared" si="0"/>
        <v>0</v>
      </c>
      <c r="I22" s="1896">
        <f t="shared" si="1"/>
        <v>0</v>
      </c>
      <c r="J22" s="1896">
        <f t="shared" si="2"/>
        <v>0</v>
      </c>
    </row>
    <row r="23" spans="1:12" ht="12" customHeight="1" x14ac:dyDescent="0.2">
      <c r="A23" s="1881" t="s">
        <v>1612</v>
      </c>
      <c r="B23" s="1882"/>
      <c r="C23" s="1883"/>
      <c r="D23" s="1883"/>
      <c r="E23" s="1886"/>
      <c r="F23" s="1885"/>
      <c r="H23" s="1896">
        <f t="shared" si="0"/>
        <v>0</v>
      </c>
      <c r="I23" s="1896">
        <f t="shared" si="1"/>
        <v>0</v>
      </c>
      <c r="J23" s="1896">
        <f t="shared" si="2"/>
        <v>0</v>
      </c>
    </row>
    <row r="24" spans="1:12" ht="12" customHeight="1" x14ac:dyDescent="0.2">
      <c r="A24" s="1881" t="s">
        <v>1613</v>
      </c>
      <c r="B24" s="1882"/>
      <c r="C24" s="1883"/>
      <c r="D24" s="1883"/>
      <c r="E24" s="1886"/>
      <c r="F24" s="1885"/>
      <c r="H24" s="1896">
        <f t="shared" si="0"/>
        <v>0</v>
      </c>
      <c r="I24" s="1896">
        <f t="shared" si="1"/>
        <v>0</v>
      </c>
      <c r="J24" s="1896">
        <f t="shared" si="2"/>
        <v>0</v>
      </c>
    </row>
    <row r="25" spans="1:12" ht="12" customHeight="1" x14ac:dyDescent="0.2">
      <c r="A25" s="1881" t="s">
        <v>1614</v>
      </c>
      <c r="B25" s="1882"/>
      <c r="C25" s="1883"/>
      <c r="D25" s="1883"/>
      <c r="E25" s="1886"/>
      <c r="F25" s="1885"/>
      <c r="H25" s="1896">
        <f t="shared" si="0"/>
        <v>0</v>
      </c>
      <c r="I25" s="1896">
        <f t="shared" si="1"/>
        <v>0</v>
      </c>
      <c r="J25" s="1896">
        <f t="shared" si="2"/>
        <v>0</v>
      </c>
    </row>
    <row r="26" spans="1:12" ht="12" customHeight="1" x14ac:dyDescent="0.2">
      <c r="A26" s="1881" t="s">
        <v>1615</v>
      </c>
      <c r="B26" s="1882"/>
      <c r="C26" s="1883" t="s">
        <v>2082</v>
      </c>
      <c r="D26" s="1883" t="s">
        <v>2082</v>
      </c>
      <c r="E26" s="1886"/>
      <c r="F26" s="1885" t="s">
        <v>2099</v>
      </c>
      <c r="H26" s="1896">
        <f t="shared" si="0"/>
        <v>5</v>
      </c>
      <c r="I26" s="1896">
        <f t="shared" si="1"/>
        <v>5</v>
      </c>
      <c r="J26" s="1896">
        <f t="shared" si="2"/>
        <v>0</v>
      </c>
    </row>
    <row r="27" spans="1:12" ht="18.75" x14ac:dyDescent="0.2">
      <c r="A27" s="1881" t="s">
        <v>1616</v>
      </c>
      <c r="B27" s="1882"/>
      <c r="C27" s="1883"/>
      <c r="D27" s="1883"/>
      <c r="E27" s="1886"/>
      <c r="F27" s="1885"/>
      <c r="H27" s="1896">
        <f t="shared" si="0"/>
        <v>0</v>
      </c>
      <c r="I27" s="1896">
        <f t="shared" si="1"/>
        <v>0</v>
      </c>
      <c r="J27" s="1896">
        <f t="shared" si="2"/>
        <v>0</v>
      </c>
    </row>
    <row r="28" spans="1:12" ht="12" customHeight="1" x14ac:dyDescent="0.2">
      <c r="A28" s="1881" t="s">
        <v>1617</v>
      </c>
      <c r="B28" s="1882"/>
      <c r="C28" s="1883"/>
      <c r="D28" s="1883"/>
      <c r="E28" s="1886"/>
      <c r="F28" s="1885"/>
      <c r="H28" s="1896">
        <f t="shared" si="0"/>
        <v>0</v>
      </c>
      <c r="I28" s="1896">
        <f t="shared" si="1"/>
        <v>0</v>
      </c>
      <c r="J28" s="1896">
        <f t="shared" si="2"/>
        <v>0</v>
      </c>
    </row>
    <row r="29" spans="1:12" ht="12" customHeight="1" x14ac:dyDescent="0.2">
      <c r="A29" s="1881" t="s">
        <v>1618</v>
      </c>
      <c r="B29" s="1882"/>
      <c r="C29" s="1883"/>
      <c r="D29" s="1883"/>
      <c r="E29" s="1886"/>
      <c r="F29" s="1885"/>
      <c r="H29" s="1896">
        <f t="shared" si="0"/>
        <v>0</v>
      </c>
      <c r="I29" s="1896">
        <f t="shared" si="1"/>
        <v>0</v>
      </c>
      <c r="J29" s="1896">
        <f t="shared" si="2"/>
        <v>0</v>
      </c>
    </row>
    <row r="30" spans="1:12" ht="12" customHeight="1" x14ac:dyDescent="0.2">
      <c r="A30" s="1881" t="s">
        <v>1619</v>
      </c>
      <c r="B30" s="1882"/>
      <c r="C30" s="1883"/>
      <c r="D30" s="1883"/>
      <c r="E30" s="1886"/>
      <c r="F30" s="1885"/>
      <c r="H30" s="1896">
        <f t="shared" si="0"/>
        <v>0</v>
      </c>
      <c r="I30" s="1896">
        <f t="shared" si="1"/>
        <v>0</v>
      </c>
      <c r="J30" s="1896">
        <f t="shared" si="2"/>
        <v>0</v>
      </c>
    </row>
    <row r="31" spans="1:12" ht="12" customHeight="1" x14ac:dyDescent="0.2">
      <c r="A31" s="1881" t="s">
        <v>1620</v>
      </c>
      <c r="B31" s="1882"/>
      <c r="C31" s="1883" t="s">
        <v>2082</v>
      </c>
      <c r="D31" s="1883" t="s">
        <v>2082</v>
      </c>
      <c r="E31" s="1886"/>
      <c r="F31" s="1885" t="s">
        <v>2100</v>
      </c>
      <c r="H31" s="1896">
        <f t="shared" si="0"/>
        <v>5</v>
      </c>
      <c r="I31" s="1896">
        <f t="shared" si="1"/>
        <v>5</v>
      </c>
      <c r="J31" s="1896">
        <f t="shared" si="2"/>
        <v>0</v>
      </c>
      <c r="L31" s="1887"/>
    </row>
    <row r="32" spans="1:12" ht="12" customHeight="1" x14ac:dyDescent="0.2">
      <c r="A32" s="1881" t="s">
        <v>1621</v>
      </c>
      <c r="B32" s="1882"/>
      <c r="C32" s="1883" t="s">
        <v>2082</v>
      </c>
      <c r="D32" s="1883" t="s">
        <v>2082</v>
      </c>
      <c r="E32" s="1886"/>
      <c r="F32" s="1885" t="s">
        <v>2101</v>
      </c>
      <c r="H32" s="1896">
        <f t="shared" si="0"/>
        <v>5</v>
      </c>
      <c r="I32" s="1896">
        <f t="shared" si="1"/>
        <v>5</v>
      </c>
      <c r="J32" s="1896">
        <f t="shared" si="2"/>
        <v>0</v>
      </c>
    </row>
    <row r="33" spans="1:11" ht="12" customHeight="1" x14ac:dyDescent="0.2">
      <c r="A33" s="1881" t="s">
        <v>1622</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20</v>
      </c>
      <c r="I34" s="1896">
        <f>SUM(I11:I32)</f>
        <v>20</v>
      </c>
      <c r="J34" s="1896">
        <f>SUM(J11:J32)</f>
        <v>0</v>
      </c>
      <c r="K34" s="1896">
        <f>SUM(H34:J34)</f>
        <v>40</v>
      </c>
    </row>
    <row r="35" spans="1:11" ht="12" customHeight="1" x14ac:dyDescent="0.2">
      <c r="A35" s="1889" t="s">
        <v>1459</v>
      </c>
      <c r="B35" s="1890"/>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1"/>
      <c r="B39" s="1891"/>
      <c r="C39" s="1891"/>
      <c r="D39" s="1891"/>
      <c r="E39" s="1891"/>
      <c r="F39" s="1891"/>
    </row>
    <row r="40" spans="1:11" s="1888" customFormat="1" ht="12" customHeight="1" x14ac:dyDescent="0.25">
      <c r="A40" s="1892" t="s">
        <v>1458</v>
      </c>
      <c r="B40" s="1893"/>
      <c r="C40" s="2315"/>
      <c r="D40" s="2315"/>
      <c r="E40" s="2315"/>
      <c r="F40" s="2316"/>
      <c r="H40" s="1897"/>
      <c r="I40" s="1897"/>
      <c r="J40" s="1897"/>
      <c r="K40" s="1897"/>
    </row>
    <row r="41" spans="1:11" s="1888" customFormat="1" ht="12" customHeight="1" x14ac:dyDescent="0.25">
      <c r="A41" s="2317"/>
      <c r="B41" s="2318"/>
      <c r="C41" s="2318"/>
      <c r="D41" s="2318"/>
      <c r="E41" s="2318"/>
      <c r="F41" s="2319"/>
      <c r="H41" s="1897"/>
      <c r="I41" s="1897"/>
      <c r="J41" s="1897"/>
      <c r="K41" s="1897"/>
    </row>
    <row r="42" spans="1:11" s="1888" customFormat="1" ht="12" customHeight="1" x14ac:dyDescent="0.25">
      <c r="A42" s="2317"/>
      <c r="B42" s="2318"/>
      <c r="C42" s="2318"/>
      <c r="D42" s="2318"/>
      <c r="E42" s="2318"/>
      <c r="F42" s="2319"/>
      <c r="H42" s="1897"/>
      <c r="I42" s="1897"/>
      <c r="J42" s="1897"/>
      <c r="K42" s="1897"/>
    </row>
    <row r="43" spans="1:11" s="1888" customFormat="1" ht="15" x14ac:dyDescent="0.25">
      <c r="A43" s="2306"/>
      <c r="B43" s="2307"/>
      <c r="C43" s="2307"/>
      <c r="D43" s="2307"/>
      <c r="E43" s="2307"/>
      <c r="F43" s="2308"/>
      <c r="H43" s="1897"/>
      <c r="I43" s="1897"/>
      <c r="J43" s="1897"/>
      <c r="K43" s="1897"/>
    </row>
    <row r="44" spans="1:11" s="1888" customFormat="1" ht="12" hidden="1" customHeight="1" x14ac:dyDescent="0.25">
      <c r="A44" s="2306"/>
      <c r="B44" s="2307"/>
      <c r="C44" s="2307"/>
      <c r="D44" s="2307"/>
      <c r="E44" s="2307"/>
      <c r="F44" s="2308"/>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 sqref="H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2" t="s">
        <v>693</v>
      </c>
      <c r="B6" s="1662"/>
      <c r="C6" s="1662"/>
      <c r="D6" s="1662"/>
      <c r="E6" s="1663"/>
      <c r="F6" s="1015"/>
      <c r="G6" s="1009"/>
      <c r="H6" s="1016" t="s">
        <v>1086</v>
      </c>
      <c r="I6" s="2333" t="str">
        <f>COVER!A17</f>
        <v>Ridgeview CUSD 19</v>
      </c>
      <c r="J6" s="2334"/>
      <c r="Q6" s="1682"/>
    </row>
    <row r="7" spans="1:17" x14ac:dyDescent="0.2">
      <c r="A7" s="2335" t="s">
        <v>924</v>
      </c>
      <c r="B7" s="2336"/>
      <c r="C7" s="2336"/>
      <c r="D7" s="2336"/>
      <c r="E7" s="2337"/>
      <c r="F7" s="1017"/>
      <c r="G7" s="1009"/>
      <c r="H7" s="1016" t="s">
        <v>390</v>
      </c>
      <c r="I7" s="2338">
        <f>COVER!A13</f>
        <v>17064019026</v>
      </c>
      <c r="J7" s="2338"/>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3" t="s">
        <v>1701</v>
      </c>
      <c r="F9" s="1023"/>
      <c r="G9" s="1023"/>
      <c r="H9" s="1914"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9" t="s">
        <v>502</v>
      </c>
      <c r="B11" s="2340"/>
      <c r="C11" s="2341"/>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0">
        <f>'Expenditures 15-22'!K50</f>
        <v>200938</v>
      </c>
      <c r="F12" s="1039"/>
      <c r="G12" s="1830">
        <f t="shared" ref="G12:G18" si="0">SUM(E12:F12)</f>
        <v>200938</v>
      </c>
      <c r="H12" s="1040">
        <v>141150</v>
      </c>
      <c r="I12" s="1039"/>
      <c r="J12" s="1830">
        <f t="shared" ref="J12:J18" si="1">SUM(H12:I12)</f>
        <v>141150</v>
      </c>
    </row>
    <row r="13" spans="1:17" ht="15" customHeight="1" x14ac:dyDescent="0.2">
      <c r="A13" s="1035">
        <v>2</v>
      </c>
      <c r="B13" s="1036" t="s">
        <v>44</v>
      </c>
      <c r="C13" s="1037"/>
      <c r="D13" s="1038">
        <v>2330</v>
      </c>
      <c r="E13" s="1830">
        <f>'Expenditures 15-22'!K51</f>
        <v>0</v>
      </c>
      <c r="F13" s="1039"/>
      <c r="G13" s="1830">
        <f t="shared" si="0"/>
        <v>0</v>
      </c>
      <c r="H13" s="1040"/>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1128</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1120</v>
      </c>
      <c r="C17" s="1037"/>
      <c r="D17" s="1038">
        <v>2610</v>
      </c>
      <c r="E17" s="1830">
        <f>'Expenditures 15-22'!K67</f>
        <v>0</v>
      </c>
      <c r="F17" s="1039"/>
      <c r="G17" s="1830">
        <f t="shared" si="0"/>
        <v>0</v>
      </c>
      <c r="H17" s="1040"/>
      <c r="I17" s="1039"/>
      <c r="J17" s="1830">
        <f t="shared" si="1"/>
        <v>0</v>
      </c>
    </row>
    <row r="18" spans="1:10" ht="22.5" customHeight="1" x14ac:dyDescent="0.2">
      <c r="A18" s="1042">
        <v>7</v>
      </c>
      <c r="B18" s="2342" t="s">
        <v>7</v>
      </c>
      <c r="C18" s="2343"/>
      <c r="D18" s="2344"/>
      <c r="E18" s="1043"/>
      <c r="F18" s="1043"/>
      <c r="G18" s="1831">
        <f t="shared" si="0"/>
        <v>0</v>
      </c>
      <c r="H18" s="1040"/>
      <c r="I18" s="1040"/>
      <c r="J18" s="1830">
        <f t="shared" si="1"/>
        <v>0</v>
      </c>
    </row>
    <row r="19" spans="1:10" ht="12.75" customHeight="1" thickBot="1" x14ac:dyDescent="0.25">
      <c r="A19" s="1035">
        <v>8</v>
      </c>
      <c r="B19" s="1044" t="s">
        <v>1223</v>
      </c>
      <c r="D19" s="1045"/>
      <c r="E19" s="1832">
        <f t="shared" ref="E19:J19" si="2">SUM(E12:E17)-E18</f>
        <v>200938</v>
      </c>
      <c r="F19" s="1832">
        <f t="shared" si="2"/>
        <v>0</v>
      </c>
      <c r="G19" s="1832">
        <f t="shared" si="2"/>
        <v>200938</v>
      </c>
      <c r="H19" s="1832">
        <f t="shared" si="2"/>
        <v>141150</v>
      </c>
      <c r="I19" s="1832">
        <f t="shared" si="2"/>
        <v>0</v>
      </c>
      <c r="J19" s="1832">
        <f t="shared" si="2"/>
        <v>141150</v>
      </c>
    </row>
    <row r="20" spans="1:10" ht="13.5" thickTop="1" x14ac:dyDescent="0.2">
      <c r="A20" s="1035">
        <v>9</v>
      </c>
      <c r="B20" s="2345" t="s">
        <v>1703</v>
      </c>
      <c r="C20" s="2345"/>
      <c r="D20" s="2346"/>
      <c r="E20" s="1046"/>
      <c r="F20" s="1046"/>
      <c r="G20" s="1046"/>
      <c r="H20" s="1046"/>
      <c r="I20" s="1046"/>
      <c r="J20" s="1833">
        <f>IF(AND(G19&gt;0,J19&gt;0),(((J19-G19)/G19)),"Enter Budget Data")</f>
        <v>-0.29754451621893319</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1093</v>
      </c>
      <c r="D27" s="1052"/>
      <c r="E27" s="1053"/>
      <c r="F27" s="2347" t="s">
        <v>1589</v>
      </c>
      <c r="G27" s="2347"/>
    </row>
    <row r="28" spans="1:10" ht="28.5" customHeight="1" x14ac:dyDescent="0.2">
      <c r="B28" s="1047"/>
      <c r="C28" s="2349"/>
      <c r="D28" s="2349"/>
      <c r="E28" s="1054"/>
      <c r="F28" s="2349"/>
      <c r="G28" s="2349"/>
    </row>
    <row r="29" spans="1:10" x14ac:dyDescent="0.2">
      <c r="B29" s="1047"/>
      <c r="C29" s="1055" t="s">
        <v>1642</v>
      </c>
      <c r="E29" s="1056"/>
      <c r="F29" s="2348" t="s">
        <v>1590</v>
      </c>
      <c r="G29" s="2348"/>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1942</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937</v>
      </c>
      <c r="D39" s="2329"/>
      <c r="E39" s="2329"/>
      <c r="F39" s="2329"/>
      <c r="G39" s="2329"/>
      <c r="H39" s="2329"/>
      <c r="I39" s="232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81"/>
  <sheetViews>
    <sheetView showGridLines="0" zoomScale="110" zoomScaleNormal="110" workbookViewId="0">
      <selection activeCell="H1" sqref="H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951"/>
      <c r="B5" s="1" t="s">
        <v>2123</v>
      </c>
    </row>
    <row r="6" spans="1:2" x14ac:dyDescent="0.2">
      <c r="A6" s="1951"/>
      <c r="B6" s="1" t="s">
        <v>2124</v>
      </c>
    </row>
    <row r="7" spans="1:2" x14ac:dyDescent="0.2">
      <c r="A7" s="1951"/>
      <c r="B7" s="1" t="s">
        <v>2131</v>
      </c>
    </row>
    <row r="8" spans="1:2" x14ac:dyDescent="0.2">
      <c r="A8" s="1951"/>
      <c r="B8" s="1" t="s">
        <v>2125</v>
      </c>
    </row>
    <row r="9" spans="1:2" x14ac:dyDescent="0.2">
      <c r="A9" s="1952"/>
      <c r="B9" s="1" t="s">
        <v>2132</v>
      </c>
    </row>
    <row r="10" spans="1:2" x14ac:dyDescent="0.2">
      <c r="A10" s="1952"/>
      <c r="B10" s="1" t="s">
        <v>2126</v>
      </c>
    </row>
    <row r="11" spans="1:2" x14ac:dyDescent="0.2">
      <c r="A11" s="1952"/>
      <c r="B11" s="1" t="s">
        <v>2133</v>
      </c>
    </row>
    <row r="12" spans="1:2" x14ac:dyDescent="0.2">
      <c r="A12" s="1952"/>
      <c r="B12"/>
    </row>
    <row r="13" spans="1:2" x14ac:dyDescent="0.2">
      <c r="A13" s="1952"/>
      <c r="B13" t="s">
        <v>2127</v>
      </c>
    </row>
    <row r="14" spans="1:2" x14ac:dyDescent="0.2">
      <c r="A14" s="1952"/>
      <c r="B14" t="s">
        <v>2124</v>
      </c>
    </row>
    <row r="15" spans="1:2" x14ac:dyDescent="0.2">
      <c r="A15" s="1952"/>
      <c r="B15" s="1" t="s">
        <v>2134</v>
      </c>
    </row>
    <row r="16" spans="1:2" x14ac:dyDescent="0.2">
      <c r="A16" s="1952"/>
      <c r="B16"/>
    </row>
    <row r="17" spans="1:2" x14ac:dyDescent="0.2">
      <c r="A17" s="1952"/>
      <c r="B17" t="s">
        <v>2128</v>
      </c>
    </row>
    <row r="18" spans="1:2" x14ac:dyDescent="0.2">
      <c r="A18" s="1952"/>
      <c r="B18" t="s">
        <v>2124</v>
      </c>
    </row>
    <row r="19" spans="1:2" x14ac:dyDescent="0.2">
      <c r="A19" s="1952"/>
      <c r="B19" s="1" t="s">
        <v>2135</v>
      </c>
    </row>
    <row r="20" spans="1:2" x14ac:dyDescent="0.2">
      <c r="A20" s="1952"/>
      <c r="B20"/>
    </row>
    <row r="21" spans="1:2" x14ac:dyDescent="0.2">
      <c r="A21" s="1952"/>
      <c r="B21" s="1" t="s">
        <v>2138</v>
      </c>
    </row>
    <row r="22" spans="1:2" x14ac:dyDescent="0.2">
      <c r="A22" s="1952"/>
      <c r="B22" t="s">
        <v>2124</v>
      </c>
    </row>
    <row r="23" spans="1:2" x14ac:dyDescent="0.2">
      <c r="A23" s="1952"/>
      <c r="B23" s="1" t="s">
        <v>2136</v>
      </c>
    </row>
    <row r="24" spans="1:2" x14ac:dyDescent="0.2">
      <c r="A24" s="1952"/>
      <c r="B24" s="1" t="s">
        <v>2137</v>
      </c>
    </row>
    <row r="25" spans="1:2" x14ac:dyDescent="0.2">
      <c r="A25" s="1952"/>
      <c r="B25" s="1" t="s">
        <v>2125</v>
      </c>
    </row>
    <row r="26" spans="1:2" x14ac:dyDescent="0.2">
      <c r="A26" s="1952"/>
      <c r="B26" s="1" t="s">
        <v>2139</v>
      </c>
    </row>
    <row r="27" spans="1:2" x14ac:dyDescent="0.2">
      <c r="A27" s="1952"/>
      <c r="B27" t="s">
        <v>2126</v>
      </c>
    </row>
    <row r="28" spans="1:2" x14ac:dyDescent="0.2">
      <c r="A28" s="1952"/>
      <c r="B28" s="1" t="s">
        <v>2140</v>
      </c>
    </row>
    <row r="29" spans="1:2" x14ac:dyDescent="0.2">
      <c r="A29" s="1952"/>
      <c r="B29" s="1" t="s">
        <v>2129</v>
      </c>
    </row>
    <row r="30" spans="1:2" x14ac:dyDescent="0.2">
      <c r="A30" s="1952"/>
      <c r="B30" s="1" t="s">
        <v>2181</v>
      </c>
    </row>
    <row r="31" spans="1:2" x14ac:dyDescent="0.2">
      <c r="A31" s="1952"/>
      <c r="B31" s="1"/>
    </row>
    <row r="32" spans="1:2" x14ac:dyDescent="0.2">
      <c r="A32" s="1952"/>
      <c r="B32" s="1" t="s">
        <v>2141</v>
      </c>
    </row>
    <row r="33" spans="1:2" x14ac:dyDescent="0.2">
      <c r="A33" s="1952"/>
      <c r="B33" t="s">
        <v>2124</v>
      </c>
    </row>
    <row r="34" spans="1:2" x14ac:dyDescent="0.2">
      <c r="A34" s="1952"/>
      <c r="B34" s="1" t="s">
        <v>2142</v>
      </c>
    </row>
    <row r="35" spans="1:2" x14ac:dyDescent="0.2">
      <c r="A35" s="1952"/>
      <c r="B35"/>
    </row>
    <row r="36" spans="1:2" x14ac:dyDescent="0.2">
      <c r="A36" s="1952"/>
      <c r="B36" t="s">
        <v>2130</v>
      </c>
    </row>
    <row r="37" spans="1:2" x14ac:dyDescent="0.2">
      <c r="A37" s="1952"/>
      <c r="B37" t="s">
        <v>2124</v>
      </c>
    </row>
    <row r="38" spans="1:2" x14ac:dyDescent="0.2">
      <c r="A38" s="1952"/>
      <c r="B38" s="1" t="s">
        <v>2143</v>
      </c>
    </row>
    <row r="39" spans="1:2" x14ac:dyDescent="0.2">
      <c r="A39" s="1952"/>
      <c r="B39" s="1"/>
    </row>
    <row r="40" spans="1:2" x14ac:dyDescent="0.2">
      <c r="A40" s="1952"/>
      <c r="B40" s="1" t="s">
        <v>2144</v>
      </c>
    </row>
    <row r="41" spans="1:2" x14ac:dyDescent="0.2">
      <c r="A41" s="1952"/>
      <c r="B41" t="s">
        <v>2124</v>
      </c>
    </row>
    <row r="42" spans="1:2" x14ac:dyDescent="0.2">
      <c r="A42" s="1952"/>
      <c r="B42" s="1" t="s">
        <v>2145</v>
      </c>
    </row>
    <row r="43" spans="1:2" x14ac:dyDescent="0.2">
      <c r="A43" s="1952"/>
      <c r="B43"/>
    </row>
    <row r="44" spans="1:2" x14ac:dyDescent="0.2">
      <c r="A44" s="1952"/>
      <c r="B44" s="1" t="s">
        <v>2146</v>
      </c>
    </row>
    <row r="45" spans="1:2" x14ac:dyDescent="0.2">
      <c r="A45" s="1952"/>
      <c r="B45" s="1" t="s">
        <v>2124</v>
      </c>
    </row>
    <row r="46" spans="1:2" x14ac:dyDescent="0.2">
      <c r="A46" s="1952"/>
      <c r="B46" s="1" t="s">
        <v>2147</v>
      </c>
    </row>
    <row r="47" spans="1:2" x14ac:dyDescent="0.2">
      <c r="A47" s="1952"/>
      <c r="B47"/>
    </row>
    <row r="48" spans="1:2" x14ac:dyDescent="0.2">
      <c r="A48" s="1952"/>
      <c r="B48" s="1" t="s">
        <v>2148</v>
      </c>
    </row>
    <row r="49" spans="1:2" x14ac:dyDescent="0.2">
      <c r="A49" s="1952"/>
      <c r="B49" s="1" t="s">
        <v>2124</v>
      </c>
    </row>
    <row r="50" spans="1:2" x14ac:dyDescent="0.2">
      <c r="A50" s="1952"/>
      <c r="B50" s="1" t="s">
        <v>2149</v>
      </c>
    </row>
    <row r="51" spans="1:2" x14ac:dyDescent="0.2">
      <c r="A51" s="1952"/>
      <c r="B51"/>
    </row>
    <row r="52" spans="1:2" x14ac:dyDescent="0.2">
      <c r="A52" s="1952"/>
      <c r="B52"/>
    </row>
    <row r="53" spans="1:2" x14ac:dyDescent="0.2">
      <c r="A53" s="1952"/>
      <c r="B53"/>
    </row>
    <row r="54" spans="1:2" x14ac:dyDescent="0.2">
      <c r="A54" s="1952"/>
      <c r="B54" s="1"/>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row>
    <row r="65" spans="1:2" x14ac:dyDescent="0.2">
      <c r="A65" s="1068"/>
    </row>
    <row r="66" spans="1:2" x14ac:dyDescent="0.2">
      <c r="A66" s="1068"/>
    </row>
    <row r="67" spans="1:2" x14ac:dyDescent="0.2">
      <c r="A67" s="1068"/>
    </row>
    <row r="68" spans="1:2" x14ac:dyDescent="0.2">
      <c r="A68" s="1068"/>
    </row>
    <row r="69" spans="1:2" x14ac:dyDescent="0.2">
      <c r="A69" s="1068"/>
    </row>
    <row r="70" spans="1:2" x14ac:dyDescent="0.2">
      <c r="A70" s="1068"/>
    </row>
    <row r="71" spans="1:2" x14ac:dyDescent="0.2">
      <c r="A71" s="1068"/>
    </row>
    <row r="72" spans="1:2" x14ac:dyDescent="0.2">
      <c r="A72" s="1068"/>
    </row>
    <row r="73" spans="1:2" x14ac:dyDescent="0.2">
      <c r="A73" s="1068"/>
    </row>
    <row r="74" spans="1:2" x14ac:dyDescent="0.2">
      <c r="A74" s="1068"/>
    </row>
    <row r="75" spans="1:2" x14ac:dyDescent="0.2">
      <c r="A75" s="1068"/>
    </row>
    <row r="76" spans="1:2" x14ac:dyDescent="0.2">
      <c r="A76" s="1068"/>
    </row>
    <row r="77" spans="1:2" x14ac:dyDescent="0.2">
      <c r="A77" s="1068"/>
    </row>
    <row r="78" spans="1:2" x14ac:dyDescent="0.2">
      <c r="A78" s="1068"/>
    </row>
    <row r="79" spans="1:2" x14ac:dyDescent="0.2">
      <c r="A79" s="1068"/>
    </row>
    <row r="80" spans="1:2" x14ac:dyDescent="0.2">
      <c r="A80" s="1068"/>
      <c r="B80" s="258" t="str">
        <f>COVER!A17</f>
        <v>Ridgeview CUSD 19</v>
      </c>
    </row>
    <row r="81" spans="2:2" x14ac:dyDescent="0.2">
      <c r="B81" s="1069">
        <f>COVER!A13</f>
        <v>17064019026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H1" sqref="H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7" r:id="rId4">
          <objectPr defaultSize="0" r:id="rId5">
            <anchor moveWithCells="1">
              <from>
                <xdr:col>1</xdr:col>
                <xdr:colOff>47625</xdr:colOff>
                <xdr:row>0</xdr:row>
                <xdr:rowOff>133350</xdr:rowOff>
              </from>
              <to>
                <xdr:col>1</xdr:col>
                <xdr:colOff>962025</xdr:colOff>
                <xdr:row>5</xdr:row>
                <xdr:rowOff>9525</xdr:rowOff>
              </to>
            </anchor>
          </objectPr>
        </oleObject>
      </mc:Choice>
      <mc:Fallback>
        <oleObject progId="Acrobat Document" dvAspect="DVASPECT_ICON" shapeId="39937" r:id="rId4"/>
      </mc:Fallback>
    </mc:AlternateContent>
    <mc:AlternateContent xmlns:mc="http://schemas.openxmlformats.org/markup-compatibility/2006">
      <mc:Choice Requires="x14">
        <oleObject progId="Acrobat Document" dvAspect="DVASPECT_ICON" shapeId="39938" r:id="rId6">
          <objectPr defaultSize="0" r:id="rId7">
            <anchor moveWithCells="1">
              <from>
                <xdr:col>1</xdr:col>
                <xdr:colOff>1190625</xdr:colOff>
                <xdr:row>0</xdr:row>
                <xdr:rowOff>152400</xdr:rowOff>
              </from>
              <to>
                <xdr:col>1</xdr:col>
                <xdr:colOff>2105025</xdr:colOff>
                <xdr:row>5</xdr:row>
                <xdr:rowOff>28575</xdr:rowOff>
              </to>
            </anchor>
          </objectPr>
        </oleObject>
      </mc:Choice>
      <mc:Fallback>
        <oleObject progId="Acrobat Document" dvAspect="DVASPECT_ICON" shapeId="39938" r:id="rId6"/>
      </mc:Fallback>
    </mc:AlternateContent>
    <mc:AlternateContent xmlns:mc="http://schemas.openxmlformats.org/markup-compatibility/2006">
      <mc:Choice Requires="x14">
        <oleObject progId="Acrobat Document" dvAspect="DVASPECT_ICON" shapeId="39939" r:id="rId8">
          <objectPr defaultSize="0" r:id="rId9">
            <anchor moveWithCells="1">
              <from>
                <xdr:col>1</xdr:col>
                <xdr:colOff>2257425</xdr:colOff>
                <xdr:row>1</xdr:row>
                <xdr:rowOff>9525</xdr:rowOff>
              </from>
              <to>
                <xdr:col>1</xdr:col>
                <xdr:colOff>3171825</xdr:colOff>
                <xdr:row>5</xdr:row>
                <xdr:rowOff>47625</xdr:rowOff>
              </to>
            </anchor>
          </objectPr>
        </oleObject>
      </mc:Choice>
      <mc:Fallback>
        <oleObject progId="Acrobat Document" dvAspect="DVASPECT_ICON" shapeId="39939" r:id="rId8"/>
      </mc:Fallback>
    </mc:AlternateContent>
    <mc:AlternateContent xmlns:mc="http://schemas.openxmlformats.org/markup-compatibility/2006">
      <mc:Choice Requires="x14">
        <oleObject progId="Acrobat Document" dvAspect="DVASPECT_ICON" shapeId="39941" r:id="rId10">
          <objectPr defaultSize="0" r:id="rId11">
            <anchor moveWithCells="1">
              <from>
                <xdr:col>1</xdr:col>
                <xdr:colOff>38100</xdr:colOff>
                <xdr:row>5</xdr:row>
                <xdr:rowOff>114300</xdr:rowOff>
              </from>
              <to>
                <xdr:col>1</xdr:col>
                <xdr:colOff>952500</xdr:colOff>
                <xdr:row>9</xdr:row>
                <xdr:rowOff>152400</xdr:rowOff>
              </to>
            </anchor>
          </objectPr>
        </oleObject>
      </mc:Choice>
      <mc:Fallback>
        <oleObject progId="Acrobat Document" dvAspect="DVASPECT_ICON" shapeId="39941" r:id="rId10"/>
      </mc:Fallback>
    </mc:AlternateContent>
    <mc:AlternateContent xmlns:mc="http://schemas.openxmlformats.org/markup-compatibility/2006">
      <mc:Choice Requires="x14">
        <oleObject progId="Acrobat Document" dvAspect="DVASPECT_ICON" shapeId="39942" r:id="rId12">
          <objectPr defaultSize="0" r:id="rId13">
            <anchor moveWithCells="1">
              <from>
                <xdr:col>1</xdr:col>
                <xdr:colOff>1190625</xdr:colOff>
                <xdr:row>5</xdr:row>
                <xdr:rowOff>123825</xdr:rowOff>
              </from>
              <to>
                <xdr:col>1</xdr:col>
                <xdr:colOff>2105025</xdr:colOff>
                <xdr:row>10</xdr:row>
                <xdr:rowOff>0</xdr:rowOff>
              </to>
            </anchor>
          </objectPr>
        </oleObject>
      </mc:Choice>
      <mc:Fallback>
        <oleObject progId="Acrobat Document" dvAspect="DVASPECT_ICON" shapeId="39942" r:id="rId12"/>
      </mc:Fallback>
    </mc:AlternateContent>
    <mc:AlternateContent xmlns:mc="http://schemas.openxmlformats.org/markup-compatibility/2006">
      <mc:Choice Requires="x14">
        <oleObject progId="Acrobat Document" dvAspect="DVASPECT_ICON" shapeId="39946" r:id="rId14">
          <objectPr defaultSize="0" r:id="rId15">
            <anchor moveWithCells="1">
              <from>
                <xdr:col>1</xdr:col>
                <xdr:colOff>2257425</xdr:colOff>
                <xdr:row>5</xdr:row>
                <xdr:rowOff>142875</xdr:rowOff>
              </from>
              <to>
                <xdr:col>1</xdr:col>
                <xdr:colOff>3171825</xdr:colOff>
                <xdr:row>10</xdr:row>
                <xdr:rowOff>9525</xdr:rowOff>
              </to>
            </anchor>
          </objectPr>
        </oleObject>
      </mc:Choice>
      <mc:Fallback>
        <oleObject progId="Acrobat Document" dvAspect="DVASPECT_ICON" shapeId="399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H1" sqref="H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3"/>
      <c r="H2" s="1073"/>
    </row>
    <row r="3" spans="1:8" ht="57" customHeight="1" x14ac:dyDescent="0.2">
      <c r="A3" s="2366" t="s">
        <v>1786</v>
      </c>
      <c r="B3" s="2367"/>
      <c r="C3" s="2367"/>
      <c r="D3" s="2367"/>
      <c r="E3" s="2367"/>
      <c r="F3" s="2368"/>
      <c r="G3" s="1073"/>
      <c r="H3" s="1073"/>
    </row>
    <row r="4" spans="1:8" ht="14.25" customHeight="1" x14ac:dyDescent="0.2">
      <c r="A4" s="2372" t="s">
        <v>2054</v>
      </c>
      <c r="B4" s="2373"/>
      <c r="C4" s="2373"/>
      <c r="D4" s="2373"/>
      <c r="E4" s="2373"/>
      <c r="F4" s="2374"/>
      <c r="G4" s="1073"/>
      <c r="H4" s="1073"/>
    </row>
    <row r="5" spans="1:8" ht="14.25" customHeight="1" x14ac:dyDescent="0.2">
      <c r="A5" s="2375" t="s">
        <v>2055</v>
      </c>
      <c r="B5" s="2376"/>
      <c r="C5" s="2376"/>
      <c r="D5" s="2376"/>
      <c r="E5" s="2376"/>
      <c r="F5" s="2377"/>
      <c r="G5" s="1073"/>
      <c r="H5" s="1073"/>
    </row>
    <row r="6" spans="1:8" s="1074" customFormat="1" ht="41.25" customHeight="1" x14ac:dyDescent="0.2">
      <c r="A6" s="2369" t="s">
        <v>1792</v>
      </c>
      <c r="B6" s="2370"/>
      <c r="C6" s="2370"/>
      <c r="D6" s="2370"/>
      <c r="E6" s="2370"/>
      <c r="F6" s="2371"/>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4">
        <f>'Acct Summary 7-8'!C8</f>
        <v>5491563</v>
      </c>
      <c r="C8" s="1834">
        <f>'Acct Summary 7-8'!D8</f>
        <v>673974</v>
      </c>
      <c r="D8" s="1834">
        <f>'Acct Summary 7-8'!F8</f>
        <v>444296</v>
      </c>
      <c r="E8" s="1834">
        <f>'Acct Summary 7-8'!I8</f>
        <v>87666</v>
      </c>
      <c r="F8" s="1834">
        <f>SUM(B8:E8)</f>
        <v>6697499</v>
      </c>
    </row>
    <row r="9" spans="1:8" s="1078" customFormat="1" ht="14.25" customHeight="1" thickBot="1" x14ac:dyDescent="0.25">
      <c r="A9" s="1077" t="s">
        <v>1436</v>
      </c>
      <c r="B9" s="1835">
        <f>'Acct Summary 7-8'!C17</f>
        <v>5342313</v>
      </c>
      <c r="C9" s="1835">
        <f>'Acct Summary 7-8'!D17</f>
        <v>891514</v>
      </c>
      <c r="D9" s="1835">
        <f>'Acct Summary 7-8'!F17</f>
        <v>432531</v>
      </c>
      <c r="E9" s="1834"/>
      <c r="F9" s="1834">
        <f>SUM(B9:E9)</f>
        <v>6666358</v>
      </c>
    </row>
    <row r="10" spans="1:8" s="1078" customFormat="1" ht="14.25" thickTop="1" thickBot="1" x14ac:dyDescent="0.25">
      <c r="A10" s="1079" t="s">
        <v>1437</v>
      </c>
      <c r="B10" s="1836">
        <f>(B8-B9)</f>
        <v>149250</v>
      </c>
      <c r="C10" s="1836">
        <f>(C8-C9)</f>
        <v>-217540</v>
      </c>
      <c r="D10" s="1836">
        <f>(D8-D9)</f>
        <v>11765</v>
      </c>
      <c r="E10" s="1835">
        <f>(E8-E9)</f>
        <v>87666</v>
      </c>
      <c r="F10" s="1837">
        <f>SUM(F8-F9)</f>
        <v>31141</v>
      </c>
    </row>
    <row r="11" spans="1:8" s="1078" customFormat="1" ht="14.25" thickTop="1" thickBot="1" x14ac:dyDescent="0.25">
      <c r="A11" s="1080" t="s">
        <v>1785</v>
      </c>
      <c r="B11" s="1838">
        <f>'Acct Summary 7-8'!C81</f>
        <v>2777343</v>
      </c>
      <c r="C11" s="1838">
        <f>'Acct Summary 7-8'!D81</f>
        <v>762736</v>
      </c>
      <c r="D11" s="1838">
        <f>'Acct Summary 7-8'!F81</f>
        <v>105924</v>
      </c>
      <c r="E11" s="1838">
        <f>'Acct Summary 7-8'!I81</f>
        <v>1664666</v>
      </c>
      <c r="F11" s="1839">
        <f>SUM(B11:E11)</f>
        <v>5310669</v>
      </c>
    </row>
    <row r="12" spans="1:8" ht="16.5" customHeight="1" thickTop="1" x14ac:dyDescent="0.2">
      <c r="A12" s="1081"/>
      <c r="B12" s="1082"/>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3"/>
      <c r="B13" s="1084"/>
      <c r="C13" s="2357"/>
      <c r="D13" s="2358"/>
      <c r="E13" s="2358"/>
      <c r="F13" s="2359"/>
      <c r="H13" s="1073"/>
    </row>
    <row r="14" spans="1:8" ht="19.5" customHeight="1" x14ac:dyDescent="0.2">
      <c r="A14" s="1083"/>
      <c r="B14" s="1084"/>
      <c r="C14" s="2357"/>
      <c r="D14" s="2358"/>
      <c r="E14" s="2358"/>
      <c r="F14" s="2359"/>
      <c r="H14" s="1073"/>
    </row>
    <row r="15" spans="1:8" ht="17.25" customHeight="1" x14ac:dyDescent="0.2">
      <c r="A15" s="1083"/>
      <c r="B15" s="1084"/>
      <c r="C15" s="2360"/>
      <c r="D15" s="2361"/>
      <c r="E15" s="2361"/>
      <c r="F15" s="2362"/>
      <c r="H15" s="1073"/>
    </row>
    <row r="16" spans="1:8" s="310" customFormat="1" ht="51.75" hidden="1" customHeight="1" x14ac:dyDescent="0.2">
      <c r="A16" s="2356" t="s">
        <v>1787</v>
      </c>
      <c r="B16" s="2356"/>
      <c r="C16" s="2356"/>
      <c r="D16" s="2356"/>
      <c r="E16" s="2356"/>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H1" sqref="H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5"/>
      <c r="B2" s="1916"/>
      <c r="C2" s="1917"/>
      <c r="D2" s="1918"/>
    </row>
    <row r="3" spans="1:4" ht="36" customHeight="1" x14ac:dyDescent="0.2">
      <c r="A3" s="2378" t="s">
        <v>686</v>
      </c>
      <c r="B3" s="2379"/>
      <c r="C3" s="2379"/>
      <c r="D3" s="2380"/>
    </row>
    <row r="4" spans="1:4" x14ac:dyDescent="0.2">
      <c r="A4" s="1151" t="s">
        <v>1793</v>
      </c>
      <c r="B4" s="1152"/>
      <c r="C4" s="1153"/>
      <c r="D4" s="1154"/>
    </row>
    <row r="5" spans="1:4" ht="21" customHeight="1" x14ac:dyDescent="0.2">
      <c r="A5" s="1147"/>
      <c r="B5" s="1148">
        <v>1</v>
      </c>
      <c r="C5" s="1149" t="s">
        <v>1944</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9" t="s">
        <v>1584</v>
      </c>
      <c r="D7" s="2390"/>
    </row>
    <row r="8" spans="1:4" s="668" customFormat="1" ht="12.75" x14ac:dyDescent="0.2">
      <c r="A8" s="1137"/>
      <c r="B8" s="1092"/>
      <c r="C8" s="1095" t="s">
        <v>1583</v>
      </c>
      <c r="D8" s="1096"/>
    </row>
    <row r="9" spans="1:4" s="668" customFormat="1" ht="14.25" customHeight="1" x14ac:dyDescent="0.2">
      <c r="A9" s="1137"/>
      <c r="B9" s="1092">
        <f>B7+1</f>
        <v>4</v>
      </c>
      <c r="C9" s="1093" t="s">
        <v>2047</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81" t="s">
        <v>1065</v>
      </c>
      <c r="B15" s="2382"/>
      <c r="C15" s="2382"/>
      <c r="D15" s="2383"/>
    </row>
    <row r="16" spans="1:4" s="668" customFormat="1" ht="24" customHeight="1" x14ac:dyDescent="0.2">
      <c r="A16" s="2384" t="s">
        <v>684</v>
      </c>
      <c r="B16" s="2385"/>
      <c r="C16" s="2385"/>
      <c r="D16" s="2386"/>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3" t="s">
        <v>332</v>
      </c>
      <c r="D21" s="2394"/>
    </row>
    <row r="22" spans="1:10" ht="12.75" x14ac:dyDescent="0.2">
      <c r="A22" s="1138"/>
      <c r="B22" s="1139">
        <v>2</v>
      </c>
      <c r="C22" s="2391" t="s">
        <v>1605</v>
      </c>
      <c r="D22" s="2392"/>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5" t="s">
        <v>557</v>
      </c>
      <c r="D43" s="2396"/>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7" t="s">
        <v>817</v>
      </c>
      <c r="D56" s="2388"/>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2048</v>
      </c>
      <c r="D66" s="1124"/>
    </row>
    <row r="67" spans="1:4" x14ac:dyDescent="0.2">
      <c r="A67" s="1118"/>
      <c r="B67" s="1139"/>
      <c r="C67" s="1146" t="s">
        <v>1079</v>
      </c>
      <c r="D67" s="1124"/>
    </row>
    <row r="68" spans="1:4" x14ac:dyDescent="0.2">
      <c r="A68" s="1099"/>
      <c r="B68" s="1109"/>
      <c r="C68" s="1101" t="s">
        <v>2049</v>
      </c>
      <c r="D68" s="1123" t="str">
        <f>IF('Short-Term Long-Term Debt 24'!F49=SUM(,'Acct Summary 7-8'!C33:K33),"OK","ERROR!")</f>
        <v>OK</v>
      </c>
    </row>
    <row r="69" spans="1:4" x14ac:dyDescent="0.2">
      <c r="A69" s="1099"/>
      <c r="B69" s="1109"/>
      <c r="C69" s="1101" t="s">
        <v>2050</v>
      </c>
      <c r="D69" s="1123" t="str">
        <f>IF('Expenditures 15-22'!H170&lt;&gt;'Short-Term Long-Term Debt 24'!H49,"ERROR!","OK")</f>
        <v>OK</v>
      </c>
    </row>
    <row r="70" spans="1:4" x14ac:dyDescent="0.2">
      <c r="A70" s="1097"/>
      <c r="B70" s="1119">
        <f>B66+1</f>
        <v>9</v>
      </c>
      <c r="C70" s="2387" t="s">
        <v>1797</v>
      </c>
      <c r="D70" s="2388"/>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2051</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2052</v>
      </c>
      <c r="D78" s="1123" t="str">
        <f>IF(ISNUMBER('Acct Summary 7-8'!C9),"OK","ENTRY IS REQUIRED!")</f>
        <v>OK</v>
      </c>
    </row>
    <row r="79" spans="1:4" x14ac:dyDescent="0.2">
      <c r="A79" s="1118"/>
      <c r="B79" s="1119">
        <f>B74+1+1</f>
        <v>12</v>
      </c>
      <c r="C79" s="1129" t="s">
        <v>2017</v>
      </c>
      <c r="D79" s="1130" t="str">
        <f>IF(OR(COVER!$B$6="X",'PCTC-OEPP 27-28'!F78&gt;0),"OK","PLEASE ENTER 9 MO ADA.")</f>
        <v>OK</v>
      </c>
    </row>
    <row r="80" spans="1:4" x14ac:dyDescent="0.2">
      <c r="A80" s="1097"/>
      <c r="B80" s="1119">
        <v>13</v>
      </c>
      <c r="C80" s="1129" t="s">
        <v>2053</v>
      </c>
      <c r="D80" s="1130" t="str">
        <f>IF('Contracts Paid in CY 29'!D40&gt;0,"OK","PLEASE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17064019026</v>
      </c>
    </row>
    <row r="3" spans="1:2" x14ac:dyDescent="0.2">
      <c r="A3" t="s">
        <v>1013</v>
      </c>
      <c r="B3" s="138" t="str">
        <f>COVER!A15</f>
        <v>MCLEAN</v>
      </c>
    </row>
    <row r="4" spans="1:2" x14ac:dyDescent="0.2">
      <c r="A4" t="s">
        <v>1064</v>
      </c>
      <c r="B4" s="138" t="str">
        <f>COVER!A17</f>
        <v>Ridgeview CUSD 19</v>
      </c>
    </row>
    <row r="5" spans="1:2" x14ac:dyDescent="0.2">
      <c r="A5" t="s">
        <v>728</v>
      </c>
      <c r="B5" s="138" t="str">
        <f>COVER!A38</f>
        <v>DR. STEVE EPPERSON</v>
      </c>
    </row>
    <row r="6" spans="1:2" x14ac:dyDescent="0.2">
      <c r="A6" t="s">
        <v>733</v>
      </c>
      <c r="B6" s="138">
        <f>COVER!P35</f>
        <v>0</v>
      </c>
    </row>
    <row r="7" spans="1:2" x14ac:dyDescent="0.2">
      <c r="A7" t="s">
        <v>729</v>
      </c>
      <c r="B7" s="138">
        <f>COVER!I38</f>
        <v>0</v>
      </c>
    </row>
    <row r="8" spans="1:2" x14ac:dyDescent="0.2">
      <c r="A8" t="s">
        <v>730</v>
      </c>
      <c r="B8" s="138" t="str">
        <f>COVER!T38</f>
        <v>MARK JONTRY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KENT D. KULL</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Yes</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Yes</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2781656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21953</v>
      </c>
      <c r="D76" s="2" t="str">
        <f t="shared" si="0"/>
        <v>Error?</v>
      </c>
    </row>
    <row r="77" spans="1:4" x14ac:dyDescent="0.2">
      <c r="A77" s="5">
        <v>16</v>
      </c>
      <c r="B77" s="138">
        <f>'Assets-Liab 5-6'!C13</f>
        <v>2803609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26266</v>
      </c>
      <c r="C91" s="2" t="s">
        <v>594</v>
      </c>
      <c r="D91" s="2" t="str">
        <f t="shared" si="0"/>
        <v>Error?</v>
      </c>
    </row>
    <row r="92" spans="1:4" x14ac:dyDescent="0.2">
      <c r="A92" s="5">
        <v>31</v>
      </c>
      <c r="B92" s="138">
        <f>'Assets-Liab 5-6'!C39</f>
        <v>2561650</v>
      </c>
      <c r="D92" s="2" t="str">
        <f t="shared" si="0"/>
        <v>Error?</v>
      </c>
    </row>
    <row r="93" spans="1:4" x14ac:dyDescent="0.2">
      <c r="A93" s="5">
        <v>32</v>
      </c>
      <c r="B93" s="138">
        <f>'Assets-Liab 5-6'!C41</f>
        <v>2803609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741037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1764</v>
      </c>
      <c r="D108" s="2" t="str">
        <f t="shared" si="0"/>
        <v>Error?</v>
      </c>
    </row>
    <row r="109" spans="1:4" x14ac:dyDescent="0.2">
      <c r="A109" s="5">
        <v>48</v>
      </c>
      <c r="B109" s="138">
        <f>'Assets-Liab 5-6'!D13</f>
        <v>765304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2568</v>
      </c>
      <c r="C122" s="2" t="s">
        <v>594</v>
      </c>
      <c r="D122" s="2" t="str">
        <f t="shared" si="0"/>
        <v>Error?</v>
      </c>
    </row>
    <row r="123" spans="1:4" x14ac:dyDescent="0.2">
      <c r="A123" s="5">
        <v>62</v>
      </c>
      <c r="B123" s="138">
        <f>'Assets-Liab 5-6'!D39</f>
        <v>762250</v>
      </c>
      <c r="D123" s="2" t="str">
        <f t="shared" si="0"/>
        <v>Error?</v>
      </c>
    </row>
    <row r="124" spans="1:4" x14ac:dyDescent="0.2">
      <c r="A124" s="5">
        <v>63</v>
      </c>
      <c r="B124" s="138">
        <f>'Assets-Liab 5-6'!D41</f>
        <v>765304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486023</v>
      </c>
      <c r="D129" s="2" t="str">
        <f t="shared" si="1"/>
        <v>Error?</v>
      </c>
    </row>
    <row r="130" spans="1:4" x14ac:dyDescent="0.2">
      <c r="A130" s="5">
        <v>69</v>
      </c>
      <c r="B130" s="138">
        <f>'Assets-Liab 5-6'!E12</f>
        <v>0</v>
      </c>
      <c r="D130" s="2" t="str">
        <f t="shared" si="1"/>
        <v>Error?</v>
      </c>
    </row>
    <row r="131" spans="1:4" x14ac:dyDescent="0.2">
      <c r="A131" s="5">
        <v>70</v>
      </c>
      <c r="B131" s="138">
        <f>'Assets-Liab 5-6'!E13</f>
        <v>486023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486023</v>
      </c>
      <c r="D140" s="2" t="str">
        <f t="shared" si="1"/>
        <v>Error?</v>
      </c>
    </row>
    <row r="141" spans="1:4" x14ac:dyDescent="0.2">
      <c r="A141" s="5">
        <v>80</v>
      </c>
      <c r="B141" s="138">
        <f>'Assets-Liab 5-6'!E41</f>
        <v>486023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31860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7508</v>
      </c>
      <c r="D156" s="2" t="str">
        <f t="shared" si="1"/>
        <v>Error?</v>
      </c>
    </row>
    <row r="157" spans="1:4" x14ac:dyDescent="0.2">
      <c r="A157" s="5">
        <v>96</v>
      </c>
      <c r="B157" s="138">
        <f>'Assets-Liab 5-6'!F13</f>
        <v>107449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1525</v>
      </c>
      <c r="C169" s="2" t="s">
        <v>594</v>
      </c>
      <c r="D169" s="2" t="str">
        <f t="shared" si="1"/>
        <v>Error?</v>
      </c>
    </row>
    <row r="170" spans="1:4" x14ac:dyDescent="0.2">
      <c r="A170" s="5">
        <v>109</v>
      </c>
      <c r="B170" s="138">
        <f>'Assets-Liab 5-6'!F39</f>
        <v>67685</v>
      </c>
      <c r="D170" s="2" t="str">
        <f t="shared" si="1"/>
        <v>Error?</v>
      </c>
    </row>
    <row r="171" spans="1:4" x14ac:dyDescent="0.2">
      <c r="A171" s="5">
        <v>110</v>
      </c>
      <c r="B171" s="138">
        <f>'Assets-Liab 5-6'!F41</f>
        <v>107449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541561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562852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346625</v>
      </c>
      <c r="D189" s="2" t="str">
        <f t="shared" si="1"/>
        <v>Error?</v>
      </c>
    </row>
    <row r="190" spans="1:4" x14ac:dyDescent="0.2">
      <c r="A190" s="5">
        <v>129</v>
      </c>
      <c r="B190" s="138">
        <f>'Assets-Liab 5-6'!G41</f>
        <v>562852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242610</v>
      </c>
      <c r="D273" s="2" t="str">
        <f t="shared" si="3"/>
        <v>Error?</v>
      </c>
    </row>
    <row r="274" spans="1:4" x14ac:dyDescent="0.2">
      <c r="A274" s="5">
        <v>213</v>
      </c>
      <c r="B274" s="138">
        <f>'Assets-Liab 5-6'!M17</f>
        <v>6917170</v>
      </c>
      <c r="D274" s="2" t="str">
        <f t="shared" si="3"/>
        <v>Error?</v>
      </c>
    </row>
    <row r="275" spans="1:4" x14ac:dyDescent="0.2">
      <c r="A275" s="5">
        <v>214</v>
      </c>
      <c r="B275" s="138">
        <f>'Assets-Liab 5-6'!M18</f>
        <v>6284802</v>
      </c>
      <c r="D275" s="2" t="str">
        <f t="shared" si="3"/>
        <v>Error?</v>
      </c>
    </row>
    <row r="276" spans="1:4" x14ac:dyDescent="0.2">
      <c r="A276" s="5">
        <v>215</v>
      </c>
      <c r="B276" s="138">
        <f>'Assets-Liab 5-6'!M19</f>
        <v>2153489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15598071</v>
      </c>
      <c r="C279" s="2" t="s">
        <v>594</v>
      </c>
      <c r="D279" s="2" t="str">
        <f t="shared" si="3"/>
        <v>Error?</v>
      </c>
    </row>
    <row r="280" spans="1:4" x14ac:dyDescent="0.2">
      <c r="A280" s="5">
        <v>219</v>
      </c>
      <c r="B280" s="138">
        <f>'Assets-Liab 5-6'!M40</f>
        <v>15598071</v>
      </c>
      <c r="D280" s="2" t="str">
        <f t="shared" si="3"/>
        <v>Error?</v>
      </c>
    </row>
    <row r="281" spans="1:4" x14ac:dyDescent="0.2">
      <c r="A281" s="5">
        <v>220</v>
      </c>
      <c r="B281" s="138">
        <f>'Assets-Liab 5-6'!M41</f>
        <v>15598071</v>
      </c>
      <c r="C281" s="2" t="s">
        <v>594</v>
      </c>
      <c r="D281" s="2" t="str">
        <f t="shared" si="3"/>
        <v>Error?</v>
      </c>
    </row>
    <row r="282" spans="1:4" x14ac:dyDescent="0.2">
      <c r="A282" s="5">
        <v>221</v>
      </c>
      <c r="B282" s="138">
        <f>'Assets-Liab 5-6'!N21</f>
        <v>486023</v>
      </c>
      <c r="D282" s="2" t="str">
        <f t="shared" si="3"/>
        <v>Error?</v>
      </c>
    </row>
    <row r="283" spans="1:4" x14ac:dyDescent="0.2">
      <c r="A283" s="5">
        <v>222</v>
      </c>
      <c r="B283" s="138">
        <f>'Assets-Liab 5-6'!N22</f>
        <v>1254186</v>
      </c>
      <c r="D283" s="2" t="str">
        <f t="shared" si="3"/>
        <v>Error?</v>
      </c>
    </row>
    <row r="284" spans="1:4" x14ac:dyDescent="0.2">
      <c r="A284" s="5">
        <v>223</v>
      </c>
      <c r="B284" s="138">
        <f>'Assets-Liab 5-6'!N23</f>
        <v>1740209</v>
      </c>
      <c r="C284" s="2" t="s">
        <v>594</v>
      </c>
      <c r="D284" s="2" t="str">
        <f t="shared" si="3"/>
        <v>Error?</v>
      </c>
    </row>
    <row r="285" spans="1:4" x14ac:dyDescent="0.2">
      <c r="A285" s="5">
        <v>224</v>
      </c>
      <c r="B285" s="138">
        <f>'Assets-Liab 5-6'!N36</f>
        <v>1740209</v>
      </c>
      <c r="D285" s="2" t="str">
        <f t="shared" si="3"/>
        <v>Error?</v>
      </c>
    </row>
    <row r="286" spans="1:4" x14ac:dyDescent="0.2">
      <c r="A286" s="10">
        <v>225</v>
      </c>
      <c r="D286" s="2" t="str">
        <f t="shared" si="3"/>
        <v>OK</v>
      </c>
    </row>
    <row r="287" spans="1:4" x14ac:dyDescent="0.2">
      <c r="A287" s="5">
        <v>226</v>
      </c>
      <c r="B287" s="138">
        <f>'Assets-Liab 5-6'!N37</f>
        <v>1740209</v>
      </c>
      <c r="C287" s="2" t="s">
        <v>594</v>
      </c>
      <c r="D287" s="2" t="str">
        <f t="shared" si="3"/>
        <v>Error?</v>
      </c>
    </row>
    <row r="288" spans="1:4" x14ac:dyDescent="0.2">
      <c r="A288" s="5">
        <v>227</v>
      </c>
      <c r="B288" s="138">
        <f>'Assets-Liab 5-6'!N41</f>
        <v>1740209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1997836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52402</v>
      </c>
      <c r="D717" s="2" t="str">
        <f t="shared" si="10"/>
        <v>Error?</v>
      </c>
    </row>
    <row r="718" spans="1:4" x14ac:dyDescent="0.2">
      <c r="A718" s="5">
        <v>657</v>
      </c>
      <c r="B718" s="138">
        <f>'Expenditures 15-22'!C14</f>
        <v>256723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2846917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112034</v>
      </c>
      <c r="D722" s="2" t="str">
        <f t="shared" si="10"/>
        <v>Error?</v>
      </c>
    </row>
    <row r="723" spans="1:4" x14ac:dyDescent="0.2">
      <c r="A723" s="5">
        <v>662</v>
      </c>
      <c r="B723" s="138">
        <f>'Expenditures 15-22'!C38</f>
        <v>48990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67632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228656</v>
      </c>
      <c r="C727" s="2" t="s">
        <v>594</v>
      </c>
      <c r="D727" s="2" t="str">
        <f t="shared" si="10"/>
        <v>Error?</v>
      </c>
    </row>
    <row r="728" spans="1:4" x14ac:dyDescent="0.2">
      <c r="A728" s="5">
        <v>667</v>
      </c>
      <c r="B728" s="138">
        <f>'Expenditures 15-22'!C44</f>
        <v>25835</v>
      </c>
      <c r="D728" s="2" t="str">
        <f t="shared" si="10"/>
        <v>Error?</v>
      </c>
    </row>
    <row r="729" spans="1:4" x14ac:dyDescent="0.2">
      <c r="A729" s="5">
        <v>668</v>
      </c>
      <c r="B729" s="138">
        <f>'Expenditures 15-22'!C45</f>
        <v>83516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109351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173131</v>
      </c>
      <c r="D733" s="2" t="str">
        <f t="shared" si="10"/>
        <v>Error?</v>
      </c>
    </row>
    <row r="734" spans="1:4" x14ac:dyDescent="0.2">
      <c r="A734" s="5">
        <v>673</v>
      </c>
      <c r="B734" s="138">
        <f>'Expenditures 15-22'!C53</f>
        <v>173131</v>
      </c>
      <c r="C734" s="2" t="s">
        <v>594</v>
      </c>
      <c r="D734" s="2" t="str">
        <f t="shared" si="10"/>
        <v>Error?</v>
      </c>
    </row>
    <row r="735" spans="1:4" x14ac:dyDescent="0.2">
      <c r="A735" s="5">
        <v>674</v>
      </c>
      <c r="B735" s="138">
        <f>'Expenditures 15-22'!C55</f>
        <v>263950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263950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42130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106806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148936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924024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3770941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195228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6918</v>
      </c>
      <c r="D775" s="2" t="str">
        <f t="shared" si="11"/>
        <v>Error?</v>
      </c>
    </row>
    <row r="776" spans="1:4" x14ac:dyDescent="0.2">
      <c r="A776" s="5">
        <v>715</v>
      </c>
      <c r="B776" s="138">
        <f>'Expenditures 15-22'!D14</f>
        <v>13990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267309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1449</v>
      </c>
      <c r="D780" s="2" t="str">
        <f t="shared" si="11"/>
        <v>Error?</v>
      </c>
    </row>
    <row r="781" spans="1:4" x14ac:dyDescent="0.2">
      <c r="A781" s="5">
        <v>720</v>
      </c>
      <c r="B781" s="138">
        <f>'Expenditures 15-22'!D38</f>
        <v>20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1306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2775</v>
      </c>
      <c r="C785" s="2" t="s">
        <v>594</v>
      </c>
      <c r="D785" s="2" t="str">
        <f t="shared" si="11"/>
        <v>Error?</v>
      </c>
    </row>
    <row r="786" spans="1:4" x14ac:dyDescent="0.2">
      <c r="A786" s="5">
        <v>725</v>
      </c>
      <c r="B786" s="138">
        <f>'Expenditures 15-22'!D44</f>
        <v>189</v>
      </c>
      <c r="D786" s="2" t="str">
        <f t="shared" si="11"/>
        <v>Error?</v>
      </c>
    </row>
    <row r="787" spans="1:4" x14ac:dyDescent="0.2">
      <c r="A787" s="5">
        <v>726</v>
      </c>
      <c r="B787" s="138">
        <f>'Expenditures 15-22'!D45</f>
        <v>6888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7077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16454</v>
      </c>
      <c r="D791" s="2" t="str">
        <f t="shared" si="11"/>
        <v>Error?</v>
      </c>
    </row>
    <row r="792" spans="1:4" x14ac:dyDescent="0.2">
      <c r="A792" s="5">
        <v>731</v>
      </c>
      <c r="B792" s="138">
        <f>'Expenditures 15-22'!D53</f>
        <v>16454</v>
      </c>
      <c r="C792" s="2" t="s">
        <v>594</v>
      </c>
      <c r="D792" s="2" t="str">
        <f t="shared" si="11"/>
        <v>Error?</v>
      </c>
    </row>
    <row r="793" spans="1:4" x14ac:dyDescent="0.2">
      <c r="A793" s="5">
        <v>732</v>
      </c>
      <c r="B793" s="138">
        <f>'Expenditures 15-22'!D55</f>
        <v>69631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69631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6290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19285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25575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121512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388821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15082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710</v>
      </c>
      <c r="D833" s="2" t="str">
        <f t="shared" si="12"/>
        <v>Error?</v>
      </c>
    </row>
    <row r="834" spans="1:4" x14ac:dyDescent="0.2">
      <c r="A834" s="5">
        <v>773</v>
      </c>
      <c r="B834" s="138">
        <f>'Expenditures 15-22'!E14</f>
        <v>23588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47061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500</v>
      </c>
      <c r="D842" s="2" t="str">
        <f t="shared" si="12"/>
        <v>Error?</v>
      </c>
    </row>
    <row r="843" spans="1:4" x14ac:dyDescent="0.2">
      <c r="A843" s="5">
        <v>782</v>
      </c>
      <c r="B843" s="138">
        <f>'Expenditures 15-22'!E42</f>
        <v>500</v>
      </c>
      <c r="C843" s="2" t="s">
        <v>594</v>
      </c>
      <c r="D843" s="2" t="str">
        <f t="shared" si="12"/>
        <v>Error?</v>
      </c>
    </row>
    <row r="844" spans="1:4" x14ac:dyDescent="0.2">
      <c r="A844" s="5">
        <v>783</v>
      </c>
      <c r="B844" s="138">
        <f>'Expenditures 15-22'!E44</f>
        <v>29495</v>
      </c>
      <c r="D844" s="2" t="str">
        <f t="shared" si="12"/>
        <v>Error?</v>
      </c>
    </row>
    <row r="845" spans="1:4" x14ac:dyDescent="0.2">
      <c r="A845" s="5">
        <v>784</v>
      </c>
      <c r="B845" s="138">
        <f>'Expenditures 15-22'!E45</f>
        <v>3274</v>
      </c>
      <c r="D845" s="2" t="str">
        <f t="shared" si="12"/>
        <v>Error?</v>
      </c>
    </row>
    <row r="846" spans="1:4" x14ac:dyDescent="0.2">
      <c r="A846" s="5">
        <v>785</v>
      </c>
      <c r="B846" s="138">
        <f>'Expenditures 15-22'!E46</f>
        <v>7770</v>
      </c>
      <c r="D846" s="2" t="str">
        <f t="shared" si="12"/>
        <v>Error?</v>
      </c>
    </row>
    <row r="847" spans="1:4" x14ac:dyDescent="0.2">
      <c r="A847" s="5">
        <v>786</v>
      </c>
      <c r="B847" s="138">
        <f>'Expenditures 15-22'!E47</f>
        <v>40539</v>
      </c>
      <c r="C847" s="2" t="s">
        <v>594</v>
      </c>
      <c r="D847" s="2" t="str">
        <f t="shared" si="12"/>
        <v>Error?</v>
      </c>
    </row>
    <row r="848" spans="1:4" x14ac:dyDescent="0.2">
      <c r="A848" s="5">
        <v>787</v>
      </c>
      <c r="B848" s="138">
        <f>'Expenditures 15-22'!E49</f>
        <v>19070</v>
      </c>
      <c r="D848" s="2" t="str">
        <f t="shared" si="12"/>
        <v>Error?</v>
      </c>
    </row>
    <row r="849" spans="1:4" x14ac:dyDescent="0.2">
      <c r="A849" s="5">
        <v>788</v>
      </c>
      <c r="B849" s="138">
        <f>'Expenditures 15-22'!E50</f>
        <v>6555</v>
      </c>
      <c r="D849" s="2" t="str">
        <f t="shared" si="12"/>
        <v>Error?</v>
      </c>
    </row>
    <row r="850" spans="1:4" x14ac:dyDescent="0.2">
      <c r="A850" s="5">
        <v>789</v>
      </c>
      <c r="B850" s="138">
        <f>'Expenditures 15-22'!E53</f>
        <v>25625</v>
      </c>
      <c r="C850" s="2" t="s">
        <v>594</v>
      </c>
      <c r="D850" s="2" t="str">
        <f t="shared" si="12"/>
        <v>Error?</v>
      </c>
    </row>
    <row r="851" spans="1:4" x14ac:dyDescent="0.2">
      <c r="A851" s="5">
        <v>790</v>
      </c>
      <c r="B851" s="138">
        <f>'Expenditures 15-22'!E55</f>
        <v>675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675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2439</v>
      </c>
      <c r="D855" s="2" t="str">
        <f t="shared" si="12"/>
        <v>Error?</v>
      </c>
    </row>
    <row r="856" spans="1:4" x14ac:dyDescent="0.2">
      <c r="A856" s="5">
        <v>795</v>
      </c>
      <c r="B856" s="138">
        <f>'Expenditures 15-22'!E61</f>
        <v>33198</v>
      </c>
      <c r="D856" s="2" t="str">
        <f t="shared" si="12"/>
        <v>Error?</v>
      </c>
    </row>
    <row r="857" spans="1:4" x14ac:dyDescent="0.2">
      <c r="A857" s="5">
        <v>796</v>
      </c>
      <c r="B857" s="138">
        <f>'Expenditures 15-22'!E62</f>
        <v>1045</v>
      </c>
      <c r="D857" s="2" t="str">
        <f t="shared" si="12"/>
        <v>Error?</v>
      </c>
    </row>
    <row r="858" spans="1:4" x14ac:dyDescent="0.2">
      <c r="A858" s="5">
        <v>797</v>
      </c>
      <c r="B858" s="138">
        <f>'Expenditures 15-22'!E63</f>
        <v>48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36730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170973</v>
      </c>
      <c r="D867" s="2" t="str">
        <f t="shared" si="12"/>
        <v>Error?</v>
      </c>
    </row>
    <row r="868" spans="1:4" x14ac:dyDescent="0.2">
      <c r="A868" s="10">
        <v>807</v>
      </c>
      <c r="D868" s="2" t="str">
        <f t="shared" si="12"/>
        <v>OK</v>
      </c>
    </row>
    <row r="869" spans="1:4" x14ac:dyDescent="0.2">
      <c r="A869" s="5">
        <v>808</v>
      </c>
      <c r="B869" s="138">
        <f>'Expenditures 15-22'!E72</f>
        <v>170973</v>
      </c>
      <c r="C869" s="2" t="s">
        <v>594</v>
      </c>
      <c r="D869" s="2" t="str">
        <f t="shared" si="12"/>
        <v>Error?</v>
      </c>
    </row>
    <row r="870" spans="1:4" x14ac:dyDescent="0.2">
      <c r="A870" s="5">
        <v>809</v>
      </c>
      <c r="B870" s="138">
        <f>'Expenditures 15-22'!E73</f>
        <v>10</v>
      </c>
      <c r="D870" s="2" t="str">
        <f t="shared" si="12"/>
        <v>Error?</v>
      </c>
    </row>
    <row r="871" spans="1:4" x14ac:dyDescent="0.2">
      <c r="A871" s="5">
        <v>810</v>
      </c>
      <c r="B871" s="138">
        <f>'Expenditures 15-22'!E74</f>
        <v>275052</v>
      </c>
      <c r="C871" s="2" t="s">
        <v>594</v>
      </c>
      <c r="D871" s="2" t="str">
        <f t="shared" si="12"/>
        <v>Error?</v>
      </c>
    </row>
    <row r="872" spans="1:4" x14ac:dyDescent="0.2">
      <c r="A872" s="5">
        <v>811</v>
      </c>
      <c r="B872" s="138">
        <f>'Expenditures 15-22'!E75</f>
        <v>250</v>
      </c>
      <c r="D872" s="2" t="str">
        <f t="shared" si="12"/>
        <v>Error?</v>
      </c>
    </row>
    <row r="873" spans="1:4" x14ac:dyDescent="0.2">
      <c r="A873" s="5">
        <v>812</v>
      </c>
      <c r="B873" s="138">
        <f>'Expenditures 15-22'!E114</f>
        <v>322363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113413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3381</v>
      </c>
      <c r="D891" s="2" t="str">
        <f t="shared" si="12"/>
        <v>Error?</v>
      </c>
    </row>
    <row r="892" spans="1:4" x14ac:dyDescent="0.2">
      <c r="A892" s="5">
        <v>831</v>
      </c>
      <c r="B892" s="138">
        <f>'Expenditures 15-22'!F14</f>
        <v>13966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151849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182</v>
      </c>
      <c r="D896" s="2" t="str">
        <f t="shared" si="13"/>
        <v>Error?</v>
      </c>
    </row>
    <row r="897" spans="1:4" x14ac:dyDescent="0.2">
      <c r="A897" s="5">
        <v>836</v>
      </c>
      <c r="B897" s="138">
        <f>'Expenditures 15-22'!F38</f>
        <v>866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272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1320</v>
      </c>
      <c r="C901" s="2" t="s">
        <v>594</v>
      </c>
      <c r="D901" s="2" t="str">
        <f t="shared" si="13"/>
        <v>Error?</v>
      </c>
    </row>
    <row r="902" spans="1:4" x14ac:dyDescent="0.2">
      <c r="A902" s="5">
        <v>841</v>
      </c>
      <c r="B902" s="138">
        <f>'Expenditures 15-22'!F44</f>
        <v>10939</v>
      </c>
      <c r="D902" s="2" t="str">
        <f t="shared" si="13"/>
        <v>Error?</v>
      </c>
    </row>
    <row r="903" spans="1:4" x14ac:dyDescent="0.2">
      <c r="A903" s="5">
        <v>842</v>
      </c>
      <c r="B903" s="138">
        <f>'Expenditures 15-22'!F45</f>
        <v>27033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37972</v>
      </c>
      <c r="C905" s="2" t="s">
        <v>594</v>
      </c>
      <c r="D905" s="2" t="str">
        <f t="shared" si="13"/>
        <v>Error?</v>
      </c>
    </row>
    <row r="906" spans="1:4" x14ac:dyDescent="0.2">
      <c r="A906" s="5">
        <v>845</v>
      </c>
      <c r="B906" s="138">
        <f>'Expenditures 15-22'!F49</f>
        <v>13383</v>
      </c>
      <c r="D906" s="2" t="str">
        <f t="shared" si="13"/>
        <v>Error?</v>
      </c>
    </row>
    <row r="907" spans="1:4" x14ac:dyDescent="0.2">
      <c r="A907" s="5">
        <v>846</v>
      </c>
      <c r="B907" s="138">
        <f>'Expenditures 15-22'!F50</f>
        <v>2789</v>
      </c>
      <c r="D907" s="2" t="str">
        <f t="shared" si="13"/>
        <v>Error?</v>
      </c>
    </row>
    <row r="908" spans="1:4" x14ac:dyDescent="0.2">
      <c r="A908" s="5">
        <v>847</v>
      </c>
      <c r="B908" s="138">
        <f>'Expenditures 15-22'!F53</f>
        <v>16172</v>
      </c>
      <c r="C908" s="2" t="s">
        <v>594</v>
      </c>
      <c r="D908" s="2" t="str">
        <f t="shared" si="13"/>
        <v>Error?</v>
      </c>
    </row>
    <row r="909" spans="1:4" x14ac:dyDescent="0.2">
      <c r="A909" s="5">
        <v>848</v>
      </c>
      <c r="B909" s="138">
        <f>'Expenditures 15-22'!F55</f>
        <v>200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151102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151102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206766</v>
      </c>
      <c r="C929" s="2" t="s">
        <v>594</v>
      </c>
      <c r="D929" s="2" t="str">
        <f t="shared" si="13"/>
        <v>Error?</v>
      </c>
    </row>
    <row r="930" spans="1:4" x14ac:dyDescent="0.2">
      <c r="A930" s="5">
        <v>869</v>
      </c>
      <c r="B930" s="138">
        <f>'Expenditures 15-22'!F75</f>
        <v>266</v>
      </c>
      <c r="D930" s="2" t="str">
        <f t="shared" si="13"/>
        <v>Error?</v>
      </c>
    </row>
    <row r="931" spans="1:4" x14ac:dyDescent="0.2">
      <c r="A931" s="5">
        <v>870</v>
      </c>
      <c r="B931" s="138">
        <f>'Expenditures 15-22'!F114</f>
        <v>358881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975</v>
      </c>
      <c r="D949" s="2" t="str">
        <f t="shared" si="13"/>
        <v>Error?</v>
      </c>
    </row>
    <row r="950" spans="1:4" x14ac:dyDescent="0.2">
      <c r="A950" s="5">
        <v>889</v>
      </c>
      <c r="B950" s="138">
        <f>'Expenditures 15-22'!G14</f>
        <v>14631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15606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40792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40792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40792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56398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11291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183225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5108</v>
      </c>
      <c r="D1022" s="2" t="str">
        <f t="shared" si="14"/>
        <v>Error?</v>
      </c>
    </row>
    <row r="1023" spans="1:4" x14ac:dyDescent="0.2">
      <c r="A1023" s="5">
        <v>962</v>
      </c>
      <c r="B1023" s="138">
        <f>'Expenditures 15-22'!H50</f>
        <v>2009</v>
      </c>
      <c r="D1023" s="2" t="str">
        <f t="shared" ref="D1023:D1086" si="15">IF(ISBLANK(B1023),"OK",IF(A1023-B1023=0,"OK","Error?"))</f>
        <v>Error?</v>
      </c>
    </row>
    <row r="1024" spans="1:4" x14ac:dyDescent="0.2">
      <c r="A1024" s="5">
        <v>963</v>
      </c>
      <c r="B1024" s="138">
        <f>'Expenditures 15-22'!H53</f>
        <v>7117</v>
      </c>
      <c r="C1024" s="2" t="s">
        <v>594</v>
      </c>
      <c r="D1024" s="2" t="str">
        <f t="shared" si="15"/>
        <v>Error?</v>
      </c>
    </row>
    <row r="1025" spans="1:4" x14ac:dyDescent="0.2">
      <c r="A1025" s="5">
        <v>964</v>
      </c>
      <c r="B1025" s="138">
        <f>'Expenditures 15-22'!H55</f>
        <v>1412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1412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8529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253155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444909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2321559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64386</v>
      </c>
      <c r="C1105" s="2" t="s">
        <v>594</v>
      </c>
      <c r="D1105" s="2" t="str">
        <f t="shared" si="16"/>
        <v>Error?</v>
      </c>
    </row>
    <row r="1106" spans="1:4" x14ac:dyDescent="0.2">
      <c r="A1106" s="5">
        <v>1045</v>
      </c>
      <c r="B1106" s="138">
        <f>'Expenditures 15-22'!K14</f>
        <v>334189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3511967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113665</v>
      </c>
      <c r="C1110" s="2" t="s">
        <v>594</v>
      </c>
      <c r="D1110" s="2" t="str">
        <f t="shared" si="16"/>
        <v>Error?</v>
      </c>
    </row>
    <row r="1111" spans="1:4" x14ac:dyDescent="0.2">
      <c r="A1111" s="5">
        <v>1050</v>
      </c>
      <c r="B1111" s="138">
        <f>'Expenditures 15-22'!K38</f>
        <v>49876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69210</v>
      </c>
      <c r="C1113" s="2" t="s">
        <v>594</v>
      </c>
      <c r="D1113" s="2" t="str">
        <f t="shared" si="16"/>
        <v>Error?</v>
      </c>
    </row>
    <row r="1114" spans="1:4" x14ac:dyDescent="0.2">
      <c r="A1114" s="5">
        <v>1053</v>
      </c>
      <c r="B1114" s="138">
        <f>'Expenditures 15-22'!K41</f>
        <v>500</v>
      </c>
      <c r="C1114" s="2" t="s">
        <v>594</v>
      </c>
      <c r="D1114" s="2" t="str">
        <f t="shared" si="16"/>
        <v>Error?</v>
      </c>
    </row>
    <row r="1115" spans="1:4" x14ac:dyDescent="0.2">
      <c r="A1115" s="5">
        <v>1054</v>
      </c>
      <c r="B1115" s="138">
        <f>'Expenditures 15-22'!K42</f>
        <v>233251</v>
      </c>
      <c r="C1115" s="2" t="s">
        <v>594</v>
      </c>
      <c r="D1115" s="2" t="str">
        <f t="shared" si="16"/>
        <v>Error?</v>
      </c>
    </row>
    <row r="1116" spans="1:4" x14ac:dyDescent="0.2">
      <c r="A1116" s="5">
        <v>1055</v>
      </c>
      <c r="B1116" s="138">
        <f>'Expenditures 15-22'!K44</f>
        <v>66458</v>
      </c>
      <c r="C1116" s="2" t="s">
        <v>594</v>
      </c>
      <c r="D1116" s="2" t="str">
        <f t="shared" si="16"/>
        <v>Error?</v>
      </c>
    </row>
    <row r="1117" spans="1:4" x14ac:dyDescent="0.2">
      <c r="A1117" s="5">
        <v>1056</v>
      </c>
      <c r="B1117" s="138">
        <f>'Expenditures 15-22'!K45</f>
        <v>120711</v>
      </c>
      <c r="C1117" s="2" t="s">
        <v>594</v>
      </c>
      <c r="D1117" s="2" t="str">
        <f t="shared" si="16"/>
        <v>Error?</v>
      </c>
    </row>
    <row r="1118" spans="1:4" x14ac:dyDescent="0.2">
      <c r="A1118" s="5">
        <v>1057</v>
      </c>
      <c r="B1118" s="138">
        <f>'Expenditures 15-22'!K46</f>
        <v>7770</v>
      </c>
      <c r="C1118" s="2" t="s">
        <v>594</v>
      </c>
      <c r="D1118" s="2" t="str">
        <f t="shared" si="16"/>
        <v>Error?</v>
      </c>
    </row>
    <row r="1119" spans="1:4" x14ac:dyDescent="0.2">
      <c r="A1119" s="5">
        <v>1058</v>
      </c>
      <c r="B1119" s="138">
        <f>'Expenditures 15-22'!K47</f>
        <v>194939</v>
      </c>
      <c r="C1119" s="2" t="s">
        <v>594</v>
      </c>
      <c r="D1119" s="2" t="str">
        <f t="shared" si="16"/>
        <v>Error?</v>
      </c>
    </row>
    <row r="1120" spans="1:4" x14ac:dyDescent="0.2">
      <c r="A1120" s="5">
        <v>1059</v>
      </c>
      <c r="B1120" s="138">
        <f>'Expenditures 15-22'!K49</f>
        <v>37561</v>
      </c>
      <c r="C1120" s="2" t="s">
        <v>594</v>
      </c>
      <c r="D1120" s="2" t="str">
        <f t="shared" si="16"/>
        <v>Error?</v>
      </c>
    </row>
    <row r="1121" spans="1:4" x14ac:dyDescent="0.2">
      <c r="A1121" s="5">
        <v>1060</v>
      </c>
      <c r="B1121" s="138">
        <f>'Expenditures 15-22'!K50</f>
        <v>200938</v>
      </c>
      <c r="C1121" s="2" t="s">
        <v>594</v>
      </c>
      <c r="D1121" s="2" t="str">
        <f t="shared" si="16"/>
        <v>Error?</v>
      </c>
    </row>
    <row r="1122" spans="1:4" x14ac:dyDescent="0.2">
      <c r="A1122" s="5">
        <v>1061</v>
      </c>
      <c r="B1122" s="138">
        <f>'Expenditures 15-22'!K53</f>
        <v>238499</v>
      </c>
      <c r="C1122" s="2" t="s">
        <v>594</v>
      </c>
      <c r="D1122" s="2" t="str">
        <f t="shared" si="16"/>
        <v>Error?</v>
      </c>
    </row>
    <row r="1123" spans="1:4" x14ac:dyDescent="0.2">
      <c r="A1123" s="5">
        <v>1062</v>
      </c>
      <c r="B1123" s="138">
        <f>'Expenditures 15-22'!K55</f>
        <v>335868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335868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50859</v>
      </c>
      <c r="C1127" s="2" t="s">
        <v>594</v>
      </c>
      <c r="D1127" s="2" t="str">
        <f t="shared" si="16"/>
        <v>Error?</v>
      </c>
    </row>
    <row r="1128" spans="1:4" x14ac:dyDescent="0.2">
      <c r="A1128" s="5">
        <v>1067</v>
      </c>
      <c r="B1128" s="138">
        <f>'Expenditures 15-22'!K61</f>
        <v>33198</v>
      </c>
      <c r="C1128" s="2" t="s">
        <v>594</v>
      </c>
      <c r="D1128" s="2" t="str">
        <f t="shared" si="16"/>
        <v>Error?</v>
      </c>
    </row>
    <row r="1129" spans="1:4" x14ac:dyDescent="0.2">
      <c r="A1129" s="5">
        <v>1068</v>
      </c>
      <c r="B1129" s="138">
        <f>'Expenditures 15-22'!K62</f>
        <v>1045</v>
      </c>
      <c r="C1129" s="2" t="s">
        <v>594</v>
      </c>
      <c r="D1129" s="2" t="str">
        <f t="shared" si="16"/>
        <v>Error?</v>
      </c>
    </row>
    <row r="1130" spans="1:4" x14ac:dyDescent="0.2">
      <c r="A1130" s="5">
        <v>1069</v>
      </c>
      <c r="B1130" s="138">
        <f>'Expenditures 15-22'!K63</f>
        <v>318033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403135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170973</v>
      </c>
      <c r="C1139" s="2" t="s">
        <v>594</v>
      </c>
      <c r="D1139" s="2" t="str">
        <f t="shared" si="16"/>
        <v>Error?</v>
      </c>
    </row>
    <row r="1140" spans="1:4" x14ac:dyDescent="0.2">
      <c r="A1140" s="10">
        <v>1079</v>
      </c>
      <c r="D1140" s="2" t="str">
        <f t="shared" si="16"/>
        <v>OK</v>
      </c>
    </row>
    <row r="1141" spans="1:4" x14ac:dyDescent="0.2">
      <c r="A1141" s="5">
        <v>1080</v>
      </c>
      <c r="B1141" s="138">
        <f>'Expenditures 15-22'!K72</f>
        <v>170973</v>
      </c>
      <c r="C1141" s="2" t="s">
        <v>594</v>
      </c>
      <c r="D1141" s="2" t="str">
        <f t="shared" si="16"/>
        <v>Error?</v>
      </c>
    </row>
    <row r="1142" spans="1:4" x14ac:dyDescent="0.2">
      <c r="A1142" s="5">
        <v>1081</v>
      </c>
      <c r="B1142" s="138">
        <f>'Expenditures 15-22'!K73</f>
        <v>10</v>
      </c>
      <c r="C1142" s="2" t="s">
        <v>594</v>
      </c>
      <c r="D1142" s="2" t="str">
        <f t="shared" si="16"/>
        <v>Error?</v>
      </c>
    </row>
    <row r="1143" spans="1:4" x14ac:dyDescent="0.2">
      <c r="A1143" s="5">
        <v>1082</v>
      </c>
      <c r="B1143" s="138">
        <f>'Expenditures 15-22'!K74</f>
        <v>1576675</v>
      </c>
      <c r="C1143" s="2" t="s">
        <v>594</v>
      </c>
      <c r="D1143" s="2" t="str">
        <f t="shared" si="16"/>
        <v>Error?</v>
      </c>
    </row>
    <row r="1144" spans="1:4" x14ac:dyDescent="0.2">
      <c r="A1144" s="5">
        <v>1083</v>
      </c>
      <c r="B1144" s="138">
        <f>'Expenditures 15-22'!K75</f>
        <v>516</v>
      </c>
      <c r="C1144" s="2" t="s">
        <v>594</v>
      </c>
      <c r="D1144" s="2" t="str">
        <f t="shared" si="16"/>
        <v>Error?</v>
      </c>
    </row>
    <row r="1145" spans="1:4" x14ac:dyDescent="0.2">
      <c r="A1145" s="5">
        <v>1084</v>
      </c>
      <c r="B1145" s="138">
        <f>'Expenditures 15-22'!K102</f>
        <v>253155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5342313</v>
      </c>
      <c r="C1152" s="2" t="s">
        <v>594</v>
      </c>
      <c r="D1152" s="2" t="str">
        <f t="shared" si="17"/>
        <v>Error?</v>
      </c>
    </row>
    <row r="1153" spans="1:4" x14ac:dyDescent="0.2">
      <c r="A1153" s="5">
        <v>1092</v>
      </c>
      <c r="B1153" s="138">
        <f>'Expenditures 15-22'!K115</f>
        <v>149250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199689</v>
      </c>
      <c r="D1221" s="2" t="str">
        <f t="shared" si="18"/>
        <v>Error?</v>
      </c>
    </row>
    <row r="1222" spans="1:4" x14ac:dyDescent="0.2">
      <c r="A1222" s="10">
        <v>1161</v>
      </c>
      <c r="D1222" s="2" t="str">
        <f t="shared" si="18"/>
        <v>OK</v>
      </c>
    </row>
    <row r="1223" spans="1:4" x14ac:dyDescent="0.2">
      <c r="A1223" s="5">
        <v>1162</v>
      </c>
      <c r="B1223" s="138">
        <f>'Expenditures 15-22'!C127</f>
        <v>199689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199689</v>
      </c>
      <c r="C1225" s="2" t="s">
        <v>594</v>
      </c>
      <c r="D1225" s="2" t="str">
        <f t="shared" si="18"/>
        <v>Error?</v>
      </c>
    </row>
    <row r="1226" spans="1:4" x14ac:dyDescent="0.2">
      <c r="A1226" s="5">
        <v>1165</v>
      </c>
      <c r="B1226" s="138">
        <f>'Expenditures 15-22'!C151</f>
        <v>199689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31550</v>
      </c>
      <c r="D1229" s="2" t="str">
        <f t="shared" si="18"/>
        <v>Error?</v>
      </c>
    </row>
    <row r="1230" spans="1:4" x14ac:dyDescent="0.2">
      <c r="A1230" s="10">
        <v>1169</v>
      </c>
      <c r="D1230" s="2" t="str">
        <f t="shared" si="18"/>
        <v>OK</v>
      </c>
    </row>
    <row r="1231" spans="1:4" x14ac:dyDescent="0.2">
      <c r="A1231" s="5">
        <v>1170</v>
      </c>
      <c r="B1231" s="138">
        <f>'Expenditures 15-22'!D127</f>
        <v>31550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31550</v>
      </c>
      <c r="C1233" s="2" t="s">
        <v>594</v>
      </c>
      <c r="D1233" s="2" t="str">
        <f t="shared" si="18"/>
        <v>Error?</v>
      </c>
    </row>
    <row r="1234" spans="1:4" x14ac:dyDescent="0.2">
      <c r="A1234" s="5">
        <v>1173</v>
      </c>
      <c r="B1234" s="138">
        <f>'Expenditures 15-22'!D151</f>
        <v>31550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122428</v>
      </c>
      <c r="D1237" s="2" t="str">
        <f t="shared" si="18"/>
        <v>Error?</v>
      </c>
    </row>
    <row r="1238" spans="1:4" x14ac:dyDescent="0.2">
      <c r="A1238" s="10">
        <v>1177</v>
      </c>
      <c r="D1238" s="2" t="str">
        <f t="shared" si="18"/>
        <v>OK</v>
      </c>
    </row>
    <row r="1239" spans="1:4" x14ac:dyDescent="0.2">
      <c r="A1239" s="5">
        <v>1178</v>
      </c>
      <c r="B1239" s="138">
        <f>'Expenditures 15-22'!E127</f>
        <v>122428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122428</v>
      </c>
      <c r="C1241" s="2" t="s">
        <v>594</v>
      </c>
      <c r="D1241" s="2" t="str">
        <f t="shared" si="18"/>
        <v>Error?</v>
      </c>
    </row>
    <row r="1242" spans="1:4" x14ac:dyDescent="0.2">
      <c r="A1242" s="5">
        <v>1181</v>
      </c>
      <c r="B1242" s="138">
        <f>'Expenditures 15-22'!E151</f>
        <v>122428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142328</v>
      </c>
      <c r="D1245" s="2" t="str">
        <f t="shared" si="18"/>
        <v>Error?</v>
      </c>
    </row>
    <row r="1246" spans="1:4" x14ac:dyDescent="0.2">
      <c r="A1246" s="10">
        <v>1185</v>
      </c>
      <c r="D1246" s="2" t="str">
        <f t="shared" si="18"/>
        <v>OK</v>
      </c>
    </row>
    <row r="1247" spans="1:4" x14ac:dyDescent="0.2">
      <c r="A1247" s="5">
        <v>1186</v>
      </c>
      <c r="B1247" s="138">
        <f>'Expenditures 15-22'!F127</f>
        <v>142328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142328</v>
      </c>
      <c r="C1249" s="2" t="s">
        <v>594</v>
      </c>
      <c r="D1249" s="2" t="str">
        <f t="shared" si="18"/>
        <v>Error?</v>
      </c>
    </row>
    <row r="1250" spans="1:4" x14ac:dyDescent="0.2">
      <c r="A1250" s="5">
        <v>1189</v>
      </c>
      <c r="B1250" s="138">
        <f>'Expenditures 15-22'!F151</f>
        <v>142328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265786</v>
      </c>
      <c r="D1252" s="2" t="str">
        <f t="shared" si="18"/>
        <v>Error?</v>
      </c>
    </row>
    <row r="1253" spans="1:4" x14ac:dyDescent="0.2">
      <c r="A1253" s="5">
        <v>1192</v>
      </c>
      <c r="B1253" s="138">
        <f>'Expenditures 15-22'!G124</f>
        <v>129733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395519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395519</v>
      </c>
      <c r="C1258" s="2" t="s">
        <v>594</v>
      </c>
      <c r="D1258" s="2" t="str">
        <f t="shared" si="18"/>
        <v>Error?</v>
      </c>
    </row>
    <row r="1259" spans="1:4" x14ac:dyDescent="0.2">
      <c r="A1259" s="5">
        <v>1198</v>
      </c>
      <c r="B1259" s="138">
        <f>'Expenditures 15-22'!G151</f>
        <v>395519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265786</v>
      </c>
      <c r="C1275" s="2" t="s">
        <v>594</v>
      </c>
      <c r="D1275" s="2" t="str">
        <f t="shared" si="18"/>
        <v>Error?</v>
      </c>
    </row>
    <row r="1276" spans="1:4" x14ac:dyDescent="0.2">
      <c r="A1276" s="5">
        <v>1215</v>
      </c>
      <c r="B1276" s="138">
        <f>'Expenditures 15-22'!K124</f>
        <v>625728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891514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891514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891514</v>
      </c>
      <c r="C1288" s="2" t="s">
        <v>594</v>
      </c>
      <c r="D1288" s="2" t="str">
        <f t="shared" si="19"/>
        <v>Error?</v>
      </c>
    </row>
    <row r="1289" spans="1:4" x14ac:dyDescent="0.2">
      <c r="A1289" s="5">
        <v>1228</v>
      </c>
      <c r="B1289" s="138">
        <f>'Expenditures 15-22'!K152</f>
        <v>-217540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83698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826536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910234</v>
      </c>
      <c r="C1317" s="2" t="s">
        <v>594</v>
      </c>
      <c r="D1317" s="2" t="str">
        <f t="shared" si="19"/>
        <v>Error?</v>
      </c>
    </row>
    <row r="1318" spans="1:4" x14ac:dyDescent="0.2">
      <c r="A1318" s="5">
        <v>1257</v>
      </c>
      <c r="B1318" s="138">
        <f>'Expenditures 15-22'!H174</f>
        <v>910234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83698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826536</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910234</v>
      </c>
      <c r="C1331" s="2" t="s">
        <v>594</v>
      </c>
      <c r="D1331" s="2" t="str">
        <f t="shared" si="19"/>
        <v>Error?</v>
      </c>
    </row>
    <row r="1332" spans="1:4" x14ac:dyDescent="0.2">
      <c r="A1332" s="5">
        <v>1271</v>
      </c>
      <c r="B1332" s="138">
        <f>'Expenditures 15-22'!K174</f>
        <v>910234</v>
      </c>
      <c r="C1332" s="2" t="s">
        <v>594</v>
      </c>
      <c r="D1332" s="2" t="str">
        <f t="shared" si="19"/>
        <v>Error?</v>
      </c>
    </row>
    <row r="1333" spans="1:4" x14ac:dyDescent="0.2">
      <c r="A1333" s="5">
        <v>1272</v>
      </c>
      <c r="B1333" s="138">
        <f>'Expenditures 15-22'!K175</f>
        <v>-4663</v>
      </c>
      <c r="C1333" s="2" t="s">
        <v>594</v>
      </c>
      <c r="D1333" s="2" t="str">
        <f t="shared" si="19"/>
        <v>Error?</v>
      </c>
    </row>
    <row r="1334" spans="1:4" x14ac:dyDescent="0.2">
      <c r="A1334" s="10">
        <v>1273</v>
      </c>
      <c r="D1334" s="2" t="str">
        <f t="shared" si="19"/>
        <v>OK</v>
      </c>
    </row>
    <row r="1335" spans="1:4" x14ac:dyDescent="0.2">
      <c r="A1335" s="5">
        <v>1274</v>
      </c>
      <c r="B1335" s="138">
        <f>'Expenditures 15-22'!C182</f>
        <v>168503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168503</v>
      </c>
      <c r="C1339" s="2" t="s">
        <v>594</v>
      </c>
      <c r="D1339" s="2" t="str">
        <f t="shared" si="19"/>
        <v>Error?</v>
      </c>
    </row>
    <row r="1340" spans="1:4" x14ac:dyDescent="0.2">
      <c r="A1340" s="5">
        <v>1279</v>
      </c>
      <c r="B1340" s="138">
        <f>'Expenditures 15-22'!C210</f>
        <v>168503</v>
      </c>
      <c r="C1340" s="2" t="s">
        <v>594</v>
      </c>
      <c r="D1340" s="2" t="str">
        <f t="shared" si="19"/>
        <v>Error?</v>
      </c>
    </row>
    <row r="1341" spans="1:4" x14ac:dyDescent="0.2">
      <c r="A1341" s="5">
        <v>1280</v>
      </c>
      <c r="B1341" s="138">
        <f>'Expenditures 15-22'!D182</f>
        <v>5590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5590</v>
      </c>
      <c r="C1345" s="2" t="s">
        <v>594</v>
      </c>
      <c r="D1345" s="2" t="str">
        <f t="shared" si="20"/>
        <v>Error?</v>
      </c>
    </row>
    <row r="1346" spans="1:4" x14ac:dyDescent="0.2">
      <c r="A1346" s="5">
        <v>1285</v>
      </c>
      <c r="B1346" s="138">
        <f>'Expenditures 15-22'!D210</f>
        <v>5590</v>
      </c>
      <c r="C1346" s="2" t="s">
        <v>594</v>
      </c>
      <c r="D1346" s="2" t="str">
        <f t="shared" si="20"/>
        <v>Error?</v>
      </c>
    </row>
    <row r="1347" spans="1:4" x14ac:dyDescent="0.2">
      <c r="A1347" s="5">
        <v>1286</v>
      </c>
      <c r="B1347" s="138">
        <f>'Expenditures 15-22'!E182</f>
        <v>203029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203029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203029</v>
      </c>
      <c r="C1353" s="2" t="s">
        <v>594</v>
      </c>
      <c r="D1353" s="2" t="str">
        <f t="shared" si="20"/>
        <v>Error?</v>
      </c>
    </row>
    <row r="1354" spans="1:4" x14ac:dyDescent="0.2">
      <c r="A1354" s="5">
        <v>1293</v>
      </c>
      <c r="B1354" s="138">
        <f>'Expenditures 15-22'!F182</f>
        <v>55409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55409</v>
      </c>
      <c r="C1358" s="2" t="s">
        <v>594</v>
      </c>
      <c r="D1358" s="2" t="str">
        <f t="shared" si="20"/>
        <v>Error?</v>
      </c>
    </row>
    <row r="1359" spans="1:4" x14ac:dyDescent="0.2">
      <c r="A1359" s="5">
        <v>1298</v>
      </c>
      <c r="B1359" s="138">
        <f>'Expenditures 15-22'!F210</f>
        <v>55409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432531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432531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432531</v>
      </c>
      <c r="C1388" s="2" t="s">
        <v>594</v>
      </c>
      <c r="D1388" s="2" t="str">
        <f t="shared" si="20"/>
        <v>Error?</v>
      </c>
    </row>
    <row r="1389" spans="1:4" x14ac:dyDescent="0.2">
      <c r="A1389" s="5">
        <v>1328</v>
      </c>
      <c r="B1389" s="138">
        <f>'Expenditures 15-22'!K211</f>
        <v>11765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728</v>
      </c>
      <c r="D1407" s="2" t="str">
        <f t="shared" ref="D1407:D1470" si="21">IF(ISBLANK(B1407),"OK",IF(A1407-B1407=0,"OK","Error?"))</f>
        <v>Error?</v>
      </c>
    </row>
    <row r="1408" spans="1:4" x14ac:dyDescent="0.2">
      <c r="A1408" s="5">
        <v>1347</v>
      </c>
      <c r="B1408" s="138">
        <f>'Expenditures 15-22'!D223</f>
        <v>8291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74806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1625</v>
      </c>
      <c r="D1412" s="2" t="str">
        <f t="shared" si="21"/>
        <v>Error?</v>
      </c>
    </row>
    <row r="1413" spans="1:4" x14ac:dyDescent="0.2">
      <c r="A1413" s="5">
        <v>1352</v>
      </c>
      <c r="B1413" s="138">
        <f>'Expenditures 15-22'!D234</f>
        <v>8131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939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10695</v>
      </c>
      <c r="C1417" s="2" t="s">
        <v>594</v>
      </c>
      <c r="D1417" s="2" t="str">
        <f t="shared" si="21"/>
        <v>Error?</v>
      </c>
    </row>
    <row r="1418" spans="1:4" x14ac:dyDescent="0.2">
      <c r="A1418" s="5">
        <v>1357</v>
      </c>
      <c r="B1418" s="138">
        <f>'Expenditures 15-22'!D240</f>
        <v>352</v>
      </c>
      <c r="D1418" s="2" t="str">
        <f t="shared" si="21"/>
        <v>Error?</v>
      </c>
    </row>
    <row r="1419" spans="1:4" x14ac:dyDescent="0.2">
      <c r="A1419" s="5">
        <v>1358</v>
      </c>
      <c r="B1419" s="138">
        <f>'Expenditures 15-22'!D241</f>
        <v>6695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7047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9702</v>
      </c>
      <c r="D1423" s="2" t="str">
        <f t="shared" si="21"/>
        <v>Error?</v>
      </c>
    </row>
    <row r="1424" spans="1:4" x14ac:dyDescent="0.2">
      <c r="A1424" s="5">
        <v>1363</v>
      </c>
      <c r="B1424" s="138">
        <f>'Expenditures 15-22'!D257</f>
        <v>9702</v>
      </c>
      <c r="C1424" s="2" t="s">
        <v>594</v>
      </c>
      <c r="D1424" s="2" t="str">
        <f t="shared" si="21"/>
        <v>Error?</v>
      </c>
    </row>
    <row r="1425" spans="1:4" x14ac:dyDescent="0.2">
      <c r="A1425" s="5">
        <v>1364</v>
      </c>
      <c r="B1425" s="138">
        <f>'Expenditures 15-22'!D259</f>
        <v>16411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16411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7119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33214</v>
      </c>
      <c r="D1431" s="2" t="str">
        <f t="shared" si="21"/>
        <v>Error?</v>
      </c>
    </row>
    <row r="1432" spans="1:4" x14ac:dyDescent="0.2">
      <c r="A1432" s="5">
        <v>1371</v>
      </c>
      <c r="B1432" s="138">
        <f>'Expenditures 15-22'!D267</f>
        <v>25775</v>
      </c>
      <c r="D1432" s="2" t="str">
        <f t="shared" si="21"/>
        <v>Error?</v>
      </c>
    </row>
    <row r="1433" spans="1:4" x14ac:dyDescent="0.2">
      <c r="A1433" s="5">
        <v>1372</v>
      </c>
      <c r="B1433" s="138">
        <f>'Expenditures 15-22'!D268</f>
        <v>17686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83794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127649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202455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728</v>
      </c>
      <c r="C1471" s="2" t="s">
        <v>594</v>
      </c>
      <c r="D1471" s="2" t="str">
        <f t="shared" ref="D1471:D1534" si="22">IF(ISBLANK(B1471),"OK",IF(A1471-B1471=0,"OK","Error?"))</f>
        <v>Error?</v>
      </c>
    </row>
    <row r="1472" spans="1:4" x14ac:dyDescent="0.2">
      <c r="A1472" s="5">
        <v>1411</v>
      </c>
      <c r="B1472" s="138">
        <f>'Expenditures 15-22'!K223</f>
        <v>8291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74806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1625</v>
      </c>
      <c r="C1476" s="2" t="s">
        <v>594</v>
      </c>
      <c r="D1476" s="2" t="str">
        <f t="shared" si="22"/>
        <v>Error?</v>
      </c>
    </row>
    <row r="1477" spans="1:4" x14ac:dyDescent="0.2">
      <c r="A1477" s="5">
        <v>1416</v>
      </c>
      <c r="B1477" s="138">
        <f>'Expenditures 15-22'!K234</f>
        <v>8131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939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10695</v>
      </c>
      <c r="C1481" s="2" t="s">
        <v>594</v>
      </c>
      <c r="D1481" s="2" t="str">
        <f t="shared" si="22"/>
        <v>Error?</v>
      </c>
    </row>
    <row r="1482" spans="1:4" x14ac:dyDescent="0.2">
      <c r="A1482" s="5">
        <v>1421</v>
      </c>
      <c r="B1482" s="138">
        <f>'Expenditures 15-22'!K240</f>
        <v>352</v>
      </c>
      <c r="C1482" s="2" t="s">
        <v>594</v>
      </c>
      <c r="D1482" s="2" t="str">
        <f t="shared" si="22"/>
        <v>Error?</v>
      </c>
    </row>
    <row r="1483" spans="1:4" x14ac:dyDescent="0.2">
      <c r="A1483" s="5">
        <v>1422</v>
      </c>
      <c r="B1483" s="138">
        <f>'Expenditures 15-22'!K241</f>
        <v>6695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7047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9702</v>
      </c>
      <c r="C1487" s="2" t="s">
        <v>594</v>
      </c>
      <c r="D1487" s="2" t="str">
        <f t="shared" si="22"/>
        <v>Error?</v>
      </c>
    </row>
    <row r="1488" spans="1:4" x14ac:dyDescent="0.2">
      <c r="A1488" s="5">
        <v>1427</v>
      </c>
      <c r="B1488" s="138">
        <f>'Expenditures 15-22'!K257</f>
        <v>9702</v>
      </c>
      <c r="C1488" s="2" t="s">
        <v>594</v>
      </c>
      <c r="D1488" s="2" t="str">
        <f t="shared" si="22"/>
        <v>Error?</v>
      </c>
    </row>
    <row r="1489" spans="1:4" x14ac:dyDescent="0.2">
      <c r="A1489" s="5">
        <v>1428</v>
      </c>
      <c r="B1489" s="138">
        <f>'Expenditures 15-22'!K259</f>
        <v>16411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16411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7119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33214</v>
      </c>
      <c r="C1495" s="2" t="s">
        <v>594</v>
      </c>
      <c r="D1495" s="2" t="str">
        <f t="shared" si="22"/>
        <v>Error?</v>
      </c>
    </row>
    <row r="1496" spans="1:4" x14ac:dyDescent="0.2">
      <c r="A1496" s="5">
        <v>1435</v>
      </c>
      <c r="B1496" s="138">
        <f>'Expenditures 15-22'!K267</f>
        <v>25775</v>
      </c>
      <c r="C1496" s="2" t="s">
        <v>594</v>
      </c>
      <c r="D1496" s="2" t="str">
        <f t="shared" si="22"/>
        <v>Error?</v>
      </c>
    </row>
    <row r="1497" spans="1:4" x14ac:dyDescent="0.2">
      <c r="A1497" s="5">
        <v>1436</v>
      </c>
      <c r="B1497" s="138">
        <f>'Expenditures 15-22'!K268</f>
        <v>17686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83794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127649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202455</v>
      </c>
      <c r="C1517" s="2" t="s">
        <v>594</v>
      </c>
      <c r="D1517" s="2" t="str">
        <f t="shared" si="22"/>
        <v>Error?</v>
      </c>
    </row>
    <row r="1518" spans="1:4" x14ac:dyDescent="0.2">
      <c r="A1518" s="5">
        <v>1457</v>
      </c>
      <c r="B1518" s="138">
        <f>'Expenditures 15-22'!K296</f>
        <v>71135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2329827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2777343</v>
      </c>
      <c r="C1630" s="2" t="s">
        <v>594</v>
      </c>
      <c r="D1630" s="2" t="str">
        <f t="shared" si="24"/>
        <v>Error?</v>
      </c>
    </row>
    <row r="1631" spans="1:4" x14ac:dyDescent="0.2">
      <c r="A1631" s="5">
        <v>1570</v>
      </c>
      <c r="B1631" s="138">
        <f>'Acct Summary 7-8'!D79</f>
        <v>670043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762736</v>
      </c>
      <c r="C1644" s="2" t="s">
        <v>594</v>
      </c>
      <c r="D1644" s="2" t="str">
        <f t="shared" si="24"/>
        <v>Error?</v>
      </c>
    </row>
    <row r="1645" spans="1:4" x14ac:dyDescent="0.2">
      <c r="A1645" s="5">
        <v>1584</v>
      </c>
      <c r="B1645" s="138">
        <f>'Acct Summary 7-8'!E79</f>
        <v>471952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486023</v>
      </c>
      <c r="C1658" s="2" t="s">
        <v>594</v>
      </c>
      <c r="D1658" s="2" t="str">
        <f t="shared" si="24"/>
        <v>Error?</v>
      </c>
    </row>
    <row r="1659" spans="1:4" x14ac:dyDescent="0.2">
      <c r="A1659" s="5">
        <v>1598</v>
      </c>
      <c r="B1659" s="138">
        <f>'Acct Summary 7-8'!F79</f>
        <v>94159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105924</v>
      </c>
      <c r="C1672" s="2" t="s">
        <v>594</v>
      </c>
      <c r="D1672" s="2" t="str">
        <f t="shared" si="25"/>
        <v>Error?</v>
      </c>
    </row>
    <row r="1673" spans="1:4" x14ac:dyDescent="0.2">
      <c r="A1673" s="5">
        <v>1612</v>
      </c>
      <c r="B1673" s="138">
        <f>'Acct Summary 7-8'!G79</f>
        <v>491717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562852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3673139</v>
      </c>
      <c r="C1744" s="2" t="s">
        <v>594</v>
      </c>
      <c r="D1744" s="2" t="str">
        <f t="shared" si="26"/>
        <v>Error?</v>
      </c>
    </row>
    <row r="1745" spans="1:5" x14ac:dyDescent="0.2">
      <c r="A1745" s="5">
        <v>1684</v>
      </c>
      <c r="B1745" s="138">
        <f>'Tax Sched 23'!B5</f>
        <v>592443</v>
      </c>
      <c r="C1745" s="2" t="s">
        <v>594</v>
      </c>
      <c r="D1745" s="2" t="str">
        <f t="shared" si="26"/>
        <v>Error?</v>
      </c>
    </row>
    <row r="1746" spans="1:5" x14ac:dyDescent="0.2">
      <c r="A1746" s="5">
        <v>1685</v>
      </c>
      <c r="B1746" s="138">
        <f>'Tax Sched 23'!B6</f>
        <v>903627</v>
      </c>
      <c r="C1746" s="2" t="s">
        <v>594</v>
      </c>
      <c r="D1746" s="2" t="str">
        <f t="shared" si="26"/>
        <v>Error?</v>
      </c>
    </row>
    <row r="1747" spans="1:5" x14ac:dyDescent="0.2">
      <c r="A1747" s="5">
        <v>1686</v>
      </c>
      <c r="B1747" s="138">
        <f>'Tax Sched 23'!B7</f>
        <v>236979</v>
      </c>
      <c r="C1747" s="2" t="s">
        <v>594</v>
      </c>
      <c r="D1747" s="2" t="str">
        <f t="shared" si="26"/>
        <v>Error?</v>
      </c>
    </row>
    <row r="1748" spans="1:5" x14ac:dyDescent="0.2">
      <c r="A1748" s="5">
        <v>1687</v>
      </c>
      <c r="B1748" s="138">
        <f>'Tax Sched 23'!B8</f>
        <v>151827</v>
      </c>
      <c r="C1748" s="2" t="s">
        <v>594</v>
      </c>
      <c r="D1748" s="2" t="str">
        <f t="shared" si="26"/>
        <v>Error?</v>
      </c>
    </row>
    <row r="1749" spans="1:5" x14ac:dyDescent="0.2">
      <c r="A1749" s="5">
        <v>1688</v>
      </c>
      <c r="B1749" s="138">
        <f>'Tax Sched 23'!B10</f>
        <v>59245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166032</v>
      </c>
      <c r="C1752" s="2" t="s">
        <v>594</v>
      </c>
      <c r="D1752" s="2" t="str">
        <f t="shared" si="26"/>
        <v>Error?</v>
      </c>
    </row>
    <row r="1753" spans="1:5" x14ac:dyDescent="0.2">
      <c r="A1753" s="5">
        <v>1692</v>
      </c>
      <c r="B1753" s="138">
        <f>'Tax Sched 23'!B12</f>
        <v>59245</v>
      </c>
      <c r="C1753" s="2" t="s">
        <v>594</v>
      </c>
      <c r="D1753" s="2" t="str">
        <f t="shared" si="26"/>
        <v>Error?</v>
      </c>
    </row>
    <row r="1754" spans="1:5" x14ac:dyDescent="0.2">
      <c r="A1754" s="5">
        <v>1693</v>
      </c>
      <c r="B1754" s="138">
        <f>'Tax Sched 23'!B14</f>
        <v>47396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6064599</v>
      </c>
      <c r="C1759" s="2" t="s">
        <v>594</v>
      </c>
      <c r="D1759" s="2" t="str">
        <f t="shared" si="26"/>
        <v>Error?</v>
      </c>
    </row>
    <row r="1760" spans="1:5" x14ac:dyDescent="0.2">
      <c r="A1760" s="5">
        <v>1699</v>
      </c>
      <c r="B1760" s="138">
        <f>'Tax Sched 23'!D4</f>
        <v>1594076</v>
      </c>
      <c r="C1760" s="2" t="s">
        <v>594</v>
      </c>
      <c r="D1760" s="2" t="str">
        <f t="shared" si="26"/>
        <v>Error?</v>
      </c>
    </row>
    <row r="1761" spans="1:5" x14ac:dyDescent="0.2">
      <c r="A1761" s="5">
        <v>1700</v>
      </c>
      <c r="B1761" s="138">
        <f>'Tax Sched 23'!D5</f>
        <v>257109</v>
      </c>
      <c r="C1761" s="2" t="s">
        <v>594</v>
      </c>
      <c r="D1761" s="2" t="str">
        <f t="shared" si="26"/>
        <v>Error?</v>
      </c>
    </row>
    <row r="1762" spans="1:5" s="8" customFormat="1" x14ac:dyDescent="0.2">
      <c r="A1762" s="5">
        <v>1701</v>
      </c>
      <c r="B1762" s="138">
        <f>'Tax Sched 23'!D6</f>
        <v>395907</v>
      </c>
      <c r="C1762" s="2" t="s">
        <v>594</v>
      </c>
      <c r="D1762" s="2" t="str">
        <f t="shared" si="26"/>
        <v>Error?</v>
      </c>
      <c r="E1762" s="9"/>
    </row>
    <row r="1763" spans="1:5" x14ac:dyDescent="0.2">
      <c r="A1763" s="5">
        <v>1702</v>
      </c>
      <c r="B1763" s="138">
        <f>'Tax Sched 23'!D7</f>
        <v>102845</v>
      </c>
      <c r="C1763" s="2" t="s">
        <v>594</v>
      </c>
      <c r="D1763" s="2" t="str">
        <f t="shared" si="26"/>
        <v>Error?</v>
      </c>
    </row>
    <row r="1764" spans="1:5" x14ac:dyDescent="0.2">
      <c r="A1764" s="5">
        <v>1703</v>
      </c>
      <c r="B1764" s="138">
        <f>'Tax Sched 23'!D8</f>
        <v>66611</v>
      </c>
      <c r="C1764" s="2" t="s">
        <v>594</v>
      </c>
      <c r="D1764" s="2" t="str">
        <f t="shared" si="26"/>
        <v>Error?</v>
      </c>
    </row>
    <row r="1765" spans="1:5" x14ac:dyDescent="0.2">
      <c r="A1765" s="5">
        <v>1704</v>
      </c>
      <c r="B1765" s="138">
        <f>'Tax Sched 23'!D10</f>
        <v>25712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66611</v>
      </c>
      <c r="C1768" s="2" t="s">
        <v>594</v>
      </c>
      <c r="D1768" s="2" t="str">
        <f t="shared" si="26"/>
        <v>Error?</v>
      </c>
    </row>
    <row r="1769" spans="1:5" x14ac:dyDescent="0.2">
      <c r="A1769" s="5">
        <v>1708</v>
      </c>
      <c r="B1769" s="138">
        <f>'Tax Sched 23'!D12</f>
        <v>25712</v>
      </c>
      <c r="C1769" s="2" t="s">
        <v>594</v>
      </c>
      <c r="D1769" s="2" t="str">
        <f t="shared" si="26"/>
        <v>Error?</v>
      </c>
    </row>
    <row r="1770" spans="1:5" x14ac:dyDescent="0.2">
      <c r="A1770" s="5">
        <v>1709</v>
      </c>
      <c r="B1770" s="138">
        <f>'Tax Sched 23'!D14</f>
        <v>20569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2625273</v>
      </c>
      <c r="C1775" s="2" t="s">
        <v>594</v>
      </c>
      <c r="D1775" s="2" t="str">
        <f t="shared" si="26"/>
        <v>Error?</v>
      </c>
    </row>
    <row r="1776" spans="1:5" x14ac:dyDescent="0.2">
      <c r="A1776" s="5">
        <v>1715</v>
      </c>
      <c r="B1776" s="138">
        <f>'Tax Sched 23'!C4</f>
        <v>2079063</v>
      </c>
      <c r="D1776" s="2" t="str">
        <f t="shared" si="26"/>
        <v>Error?</v>
      </c>
    </row>
    <row r="1777" spans="1:4" x14ac:dyDescent="0.2">
      <c r="A1777" s="5">
        <v>1716</v>
      </c>
      <c r="B1777" s="138">
        <f>'Tax Sched 23'!C5</f>
        <v>335334</v>
      </c>
      <c r="D1777" s="2" t="str">
        <f t="shared" si="26"/>
        <v>Error?</v>
      </c>
    </row>
    <row r="1778" spans="1:4" x14ac:dyDescent="0.2">
      <c r="A1778" s="5">
        <v>1717</v>
      </c>
      <c r="B1778" s="138">
        <f>'Tax Sched 23'!C6</f>
        <v>507720</v>
      </c>
      <c r="D1778" s="2" t="str">
        <f t="shared" si="26"/>
        <v>Error?</v>
      </c>
    </row>
    <row r="1779" spans="1:4" x14ac:dyDescent="0.2">
      <c r="A1779" s="5">
        <v>1718</v>
      </c>
      <c r="B1779" s="138">
        <f>'Tax Sched 23'!C7</f>
        <v>134134</v>
      </c>
      <c r="D1779" s="2" t="str">
        <f t="shared" si="26"/>
        <v>Error?</v>
      </c>
    </row>
    <row r="1780" spans="1:4" x14ac:dyDescent="0.2">
      <c r="A1780" s="5">
        <v>1719</v>
      </c>
      <c r="B1780" s="138">
        <f>'Tax Sched 23'!C8</f>
        <v>85216</v>
      </c>
      <c r="D1780" s="2" t="str">
        <f t="shared" si="26"/>
        <v>Error?</v>
      </c>
    </row>
    <row r="1781" spans="1:4" x14ac:dyDescent="0.2">
      <c r="A1781" s="5">
        <v>1720</v>
      </c>
      <c r="B1781" s="138">
        <f>'Tax Sched 23'!C10</f>
        <v>33533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99421</v>
      </c>
      <c r="D1784" s="2" t="str">
        <f t="shared" si="26"/>
        <v>Error?</v>
      </c>
    </row>
    <row r="1785" spans="1:4" x14ac:dyDescent="0.2">
      <c r="A1785" s="5">
        <v>1724</v>
      </c>
      <c r="B1785" s="138">
        <f>'Tax Sched 23'!C12</f>
        <v>33533</v>
      </c>
      <c r="D1785" s="2" t="str">
        <f t="shared" si="26"/>
        <v>Error?</v>
      </c>
    </row>
    <row r="1786" spans="1:4" x14ac:dyDescent="0.2">
      <c r="A1786" s="5">
        <v>1725</v>
      </c>
      <c r="B1786" s="138">
        <f>'Tax Sched 23'!C14</f>
        <v>26827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3439326</v>
      </c>
      <c r="C1791" s="2" t="s">
        <v>594</v>
      </c>
      <c r="D1791" s="2" t="str">
        <f t="shared" ref="D1791:D1854" si="27">IF(ISBLANK(B1791),"OK",IF(A1791-B1791=0,"OK","Error?"))</f>
        <v>Error?</v>
      </c>
    </row>
    <row r="1792" spans="1:4" x14ac:dyDescent="0.2">
      <c r="A1792" s="5">
        <v>1731</v>
      </c>
      <c r="B1792" s="138">
        <f>'Tax Sched 23'!F4</f>
        <v>1580594</v>
      </c>
      <c r="C1792" s="2" t="s">
        <v>594</v>
      </c>
      <c r="D1792" s="2" t="str">
        <f t="shared" si="27"/>
        <v>Error?</v>
      </c>
    </row>
    <row r="1793" spans="1:4" x14ac:dyDescent="0.2">
      <c r="A1793" s="5">
        <v>1732</v>
      </c>
      <c r="B1793" s="138">
        <f>'Tax Sched 23'!F5</f>
        <v>254933</v>
      </c>
      <c r="C1793" s="2" t="s">
        <v>594</v>
      </c>
      <c r="D1793" s="2" t="str">
        <f t="shared" si="27"/>
        <v>Error?</v>
      </c>
    </row>
    <row r="1794" spans="1:4" x14ac:dyDescent="0.2">
      <c r="A1794" s="5">
        <v>1733</v>
      </c>
      <c r="B1794" s="138">
        <f>'Tax Sched 23'!F6</f>
        <v>385992</v>
      </c>
      <c r="C1794" s="2" t="s">
        <v>594</v>
      </c>
      <c r="D1794" s="2" t="str">
        <f t="shared" si="27"/>
        <v>Error?</v>
      </c>
    </row>
    <row r="1795" spans="1:4" x14ac:dyDescent="0.2">
      <c r="A1795" s="5">
        <v>1734</v>
      </c>
      <c r="B1795" s="138">
        <f>'Tax Sched 23'!F7</f>
        <v>101973</v>
      </c>
      <c r="C1795" s="2" t="s">
        <v>594</v>
      </c>
      <c r="D1795" s="2" t="str">
        <f t="shared" si="27"/>
        <v>Error?</v>
      </c>
    </row>
    <row r="1796" spans="1:4" x14ac:dyDescent="0.2">
      <c r="A1796" s="5">
        <v>1735</v>
      </c>
      <c r="B1796" s="138">
        <f>'Tax Sched 23'!F8</f>
        <v>64783</v>
      </c>
      <c r="C1796" s="2" t="s">
        <v>594</v>
      </c>
      <c r="D1796" s="2" t="str">
        <f t="shared" si="27"/>
        <v>Error?</v>
      </c>
    </row>
    <row r="1797" spans="1:4" x14ac:dyDescent="0.2">
      <c r="A1797" s="5">
        <v>1736</v>
      </c>
      <c r="B1797" s="138">
        <f>'Tax Sched 23'!F10</f>
        <v>25494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75581</v>
      </c>
      <c r="C1800" s="2" t="s">
        <v>594</v>
      </c>
      <c r="D1800" s="2" t="str">
        <f t="shared" si="27"/>
        <v>Error?</v>
      </c>
    </row>
    <row r="1801" spans="1:4" x14ac:dyDescent="0.2">
      <c r="A1801" s="5">
        <v>1740</v>
      </c>
      <c r="B1801" s="138">
        <f>'Tax Sched 23'!F12</f>
        <v>25494</v>
      </c>
      <c r="C1801" s="2" t="s">
        <v>594</v>
      </c>
      <c r="D1801" s="2" t="str">
        <f t="shared" si="27"/>
        <v>Error?</v>
      </c>
    </row>
    <row r="1802" spans="1:4" x14ac:dyDescent="0.2">
      <c r="A1802" s="5">
        <v>1741</v>
      </c>
      <c r="B1802" s="138">
        <f>'Tax Sched 23'!F14</f>
        <v>20394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2614715</v>
      </c>
      <c r="C1807" s="2" t="s">
        <v>594</v>
      </c>
      <c r="D1807" s="2" t="str">
        <f t="shared" si="27"/>
        <v>Error?</v>
      </c>
    </row>
    <row r="1808" spans="1:4" x14ac:dyDescent="0.2">
      <c r="A1808" s="5">
        <v>1747</v>
      </c>
      <c r="B1808" s="138">
        <f>'Tax Sched 23'!E4</f>
        <v>3659657</v>
      </c>
      <c r="D1808" s="2" t="str">
        <f t="shared" si="27"/>
        <v>Error?</v>
      </c>
    </row>
    <row r="1809" spans="1:4" x14ac:dyDescent="0.2">
      <c r="A1809" s="5">
        <v>1748</v>
      </c>
      <c r="B1809" s="138">
        <f>'Tax Sched 23'!E5</f>
        <v>590267</v>
      </c>
      <c r="D1809" s="2" t="str">
        <f t="shared" si="27"/>
        <v>Error?</v>
      </c>
    </row>
    <row r="1810" spans="1:4" x14ac:dyDescent="0.2">
      <c r="A1810" s="5">
        <v>1749</v>
      </c>
      <c r="B1810" s="138">
        <f>'Tax Sched 23'!E6</f>
        <v>893712</v>
      </c>
      <c r="D1810" s="2" t="str">
        <f t="shared" si="27"/>
        <v>Error?</v>
      </c>
    </row>
    <row r="1811" spans="1:4" x14ac:dyDescent="0.2">
      <c r="A1811" s="5">
        <v>1750</v>
      </c>
      <c r="B1811" s="138">
        <f>'Tax Sched 23'!E7</f>
        <v>236107</v>
      </c>
      <c r="D1811" s="2" t="str">
        <f t="shared" si="27"/>
        <v>Error?</v>
      </c>
    </row>
    <row r="1812" spans="1:4" x14ac:dyDescent="0.2">
      <c r="A1812" s="5">
        <v>1751</v>
      </c>
      <c r="B1812" s="138">
        <f>'Tax Sched 23'!E8</f>
        <v>149999</v>
      </c>
      <c r="D1812" s="2" t="str">
        <f t="shared" si="27"/>
        <v>Error?</v>
      </c>
    </row>
    <row r="1813" spans="1:4" x14ac:dyDescent="0.2">
      <c r="A1813" s="5">
        <v>1752</v>
      </c>
      <c r="B1813" s="138">
        <f>'Tax Sched 23'!E10</f>
        <v>59027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175002</v>
      </c>
      <c r="D1816" s="2" t="str">
        <f t="shared" si="27"/>
        <v>Error?</v>
      </c>
    </row>
    <row r="1817" spans="1:4" x14ac:dyDescent="0.2">
      <c r="A1817" s="5">
        <v>1756</v>
      </c>
      <c r="B1817" s="138">
        <f>'Tax Sched 23'!E12</f>
        <v>59027</v>
      </c>
      <c r="D1817" s="2" t="str">
        <f t="shared" si="27"/>
        <v>Error?</v>
      </c>
    </row>
    <row r="1818" spans="1:4" x14ac:dyDescent="0.2">
      <c r="A1818" s="5">
        <v>1757</v>
      </c>
      <c r="B1818" s="138">
        <f>'Tax Sched 23'!E14</f>
        <v>47221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6054041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2566745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208840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208840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47396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47396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47396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166208</v>
      </c>
      <c r="D2008" s="2" t="str">
        <f t="shared" si="30"/>
        <v>Error?</v>
      </c>
    </row>
    <row r="2009" spans="1:4" x14ac:dyDescent="0.2">
      <c r="A2009" s="5">
        <v>1948</v>
      </c>
      <c r="B2009" s="138">
        <f>'Cap Outlay Deprec 26'!C8</f>
        <v>6690371</v>
      </c>
      <c r="D2009" s="2" t="str">
        <f t="shared" si="30"/>
        <v>Error?</v>
      </c>
    </row>
    <row r="2010" spans="1:4" x14ac:dyDescent="0.2">
      <c r="A2010" s="5">
        <v>1949</v>
      </c>
      <c r="B2010" s="138">
        <f>'Cap Outlay Deprec 26'!C10</f>
        <v>6234995</v>
      </c>
      <c r="D2010" s="2" t="str">
        <f t="shared" si="30"/>
        <v>Error?</v>
      </c>
    </row>
    <row r="2011" spans="1:4" x14ac:dyDescent="0.2">
      <c r="A2011" s="5">
        <v>1950</v>
      </c>
      <c r="B2011" s="138">
        <f>'Cap Outlay Deprec 26'!C12</f>
        <v>793442</v>
      </c>
      <c r="D2011" s="2" t="str">
        <f t="shared" si="30"/>
        <v>Error?</v>
      </c>
    </row>
    <row r="2012" spans="1:4" x14ac:dyDescent="0.2">
      <c r="A2012" s="5">
        <v>1951</v>
      </c>
      <c r="B2012" s="138">
        <f>'Cap Outlay Deprec 26'!C13</f>
        <v>1459383</v>
      </c>
      <c r="D2012" s="2" t="str">
        <f t="shared" si="30"/>
        <v>Error?</v>
      </c>
    </row>
    <row r="2013" spans="1:4" x14ac:dyDescent="0.2">
      <c r="A2013" s="5">
        <v>1952</v>
      </c>
      <c r="B2013" s="138">
        <f>'Cap Outlay Deprec 26'!C16</f>
        <v>15357940</v>
      </c>
      <c r="C2013" s="2" t="s">
        <v>594</v>
      </c>
      <c r="D2013" s="2" t="str">
        <f t="shared" si="30"/>
        <v>Error?</v>
      </c>
    </row>
    <row r="2014" spans="1:4" x14ac:dyDescent="0.2">
      <c r="A2014" s="5">
        <v>1953</v>
      </c>
      <c r="B2014" s="138">
        <f>'Cap Outlay Deprec 26'!D5</f>
        <v>76402</v>
      </c>
      <c r="D2014" s="2" t="str">
        <f t="shared" si="30"/>
        <v>Error?</v>
      </c>
    </row>
    <row r="2015" spans="1:4" x14ac:dyDescent="0.2">
      <c r="A2015" s="5">
        <v>1954</v>
      </c>
      <c r="B2015" s="138">
        <f>'Cap Outlay Deprec 26'!D8</f>
        <v>226799</v>
      </c>
      <c r="D2015" s="2" t="str">
        <f t="shared" si="30"/>
        <v>Error?</v>
      </c>
    </row>
    <row r="2016" spans="1:4" x14ac:dyDescent="0.2">
      <c r="A2016" s="5">
        <v>1955</v>
      </c>
      <c r="B2016" s="138">
        <f>'Cap Outlay Deprec 26'!D10</f>
        <v>49807</v>
      </c>
      <c r="D2016" s="2" t="str">
        <f t="shared" si="30"/>
        <v>Error?</v>
      </c>
    </row>
    <row r="2017" spans="1:4" x14ac:dyDescent="0.2">
      <c r="A2017" s="5">
        <v>1956</v>
      </c>
      <c r="B2017" s="138">
        <f>'Cap Outlay Deprec 26'!D12</f>
        <v>112449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465457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211785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225326</v>
      </c>
      <c r="C2025" s="2" t="s">
        <v>594</v>
      </c>
      <c r="D2025" s="2" t="str">
        <f t="shared" si="30"/>
        <v>Error?</v>
      </c>
    </row>
    <row r="2026" spans="1:4" x14ac:dyDescent="0.2">
      <c r="A2026" s="5">
        <v>1965</v>
      </c>
      <c r="B2026" s="138">
        <f>'Cap Outlay Deprec 26'!F5</f>
        <v>242610</v>
      </c>
      <c r="C2026" s="2" t="s">
        <v>594</v>
      </c>
      <c r="D2026" s="2" t="str">
        <f t="shared" si="30"/>
        <v>Error?</v>
      </c>
    </row>
    <row r="2027" spans="1:4" x14ac:dyDescent="0.2">
      <c r="A2027" s="5">
        <v>1966</v>
      </c>
      <c r="B2027" s="138">
        <f>'Cap Outlay Deprec 26'!F8</f>
        <v>6917170</v>
      </c>
      <c r="C2027" s="2" t="s">
        <v>594</v>
      </c>
      <c r="D2027" s="2" t="str">
        <f t="shared" si="30"/>
        <v>Error?</v>
      </c>
    </row>
    <row r="2028" spans="1:4" x14ac:dyDescent="0.2">
      <c r="A2028" s="5">
        <v>1967</v>
      </c>
      <c r="B2028" s="138">
        <f>'Cap Outlay Deprec 26'!F10</f>
        <v>6284802</v>
      </c>
      <c r="C2028" s="2" t="s">
        <v>594</v>
      </c>
      <c r="D2028" s="2" t="str">
        <f t="shared" si="30"/>
        <v>Error?</v>
      </c>
    </row>
    <row r="2029" spans="1:4" x14ac:dyDescent="0.2">
      <c r="A2029" s="5">
        <v>1968</v>
      </c>
      <c r="B2029" s="138">
        <f>'Cap Outlay Deprec 26'!F12</f>
        <v>694106</v>
      </c>
      <c r="C2029" s="2" t="s">
        <v>594</v>
      </c>
      <c r="D2029" s="2" t="str">
        <f t="shared" si="30"/>
        <v>Error?</v>
      </c>
    </row>
    <row r="2030" spans="1:4" x14ac:dyDescent="0.2">
      <c r="A2030" s="5">
        <v>1969</v>
      </c>
      <c r="B2030" s="138">
        <f>'Cap Outlay Deprec 26'!F13</f>
        <v>1459383</v>
      </c>
      <c r="C2030" s="2" t="s">
        <v>594</v>
      </c>
      <c r="D2030" s="2" t="str">
        <f t="shared" si="30"/>
        <v>Error?</v>
      </c>
    </row>
    <row r="2031" spans="1:4" x14ac:dyDescent="0.2">
      <c r="A2031" s="5">
        <v>1970</v>
      </c>
      <c r="B2031" s="138">
        <f>'Cap Outlay Deprec 26'!F16</f>
        <v>15598071</v>
      </c>
      <c r="C2031" s="2" t="s">
        <v>594</v>
      </c>
      <c r="D2031" s="2" t="str">
        <f t="shared" si="30"/>
        <v>Error?</v>
      </c>
    </row>
    <row r="2032" spans="1:4" x14ac:dyDescent="0.2">
      <c r="A2032" s="10">
        <v>1971</v>
      </c>
      <c r="D2032" s="2" t="str">
        <f t="shared" si="30"/>
        <v>OK</v>
      </c>
    </row>
    <row r="2033" spans="1:4" x14ac:dyDescent="0.2">
      <c r="A2033" s="5">
        <v>1972</v>
      </c>
      <c r="B2033" s="138">
        <f>'Cap Outlay Deprec 26'!H8</f>
        <v>4810642</v>
      </c>
      <c r="D2033" s="2" t="str">
        <f t="shared" si="30"/>
        <v>Error?</v>
      </c>
    </row>
    <row r="2034" spans="1:4" x14ac:dyDescent="0.2">
      <c r="A2034" s="5">
        <v>1973</v>
      </c>
      <c r="B2034" s="138">
        <f>'Cap Outlay Deprec 26'!H10</f>
        <v>4115344</v>
      </c>
      <c r="D2034" s="2" t="str">
        <f t="shared" si="30"/>
        <v>Error?</v>
      </c>
    </row>
    <row r="2035" spans="1:4" x14ac:dyDescent="0.2">
      <c r="A2035" s="5">
        <v>1974</v>
      </c>
      <c r="B2035" s="138">
        <f>'Cap Outlay Deprec 26'!H12</f>
        <v>506005</v>
      </c>
      <c r="D2035" s="2" t="str">
        <f t="shared" si="30"/>
        <v>Error?</v>
      </c>
    </row>
    <row r="2036" spans="1:4" x14ac:dyDescent="0.2">
      <c r="A2036" s="5">
        <v>1975</v>
      </c>
      <c r="B2036" s="138">
        <f>'Cap Outlay Deprec 26'!H13</f>
        <v>1459383</v>
      </c>
      <c r="D2036" s="2" t="str">
        <f t="shared" si="30"/>
        <v>Error?</v>
      </c>
    </row>
    <row r="2037" spans="1:4" x14ac:dyDescent="0.2">
      <c r="A2037" s="5">
        <v>1976</v>
      </c>
      <c r="B2037" s="138">
        <f>'Cap Outlay Deprec 26'!H16</f>
        <v>10891374</v>
      </c>
      <c r="C2037" s="2" t="s">
        <v>594</v>
      </c>
      <c r="D2037" s="2" t="str">
        <f t="shared" si="30"/>
        <v>Error?</v>
      </c>
    </row>
    <row r="2038" spans="1:4" x14ac:dyDescent="0.2">
      <c r="A2038" s="10">
        <v>1977</v>
      </c>
      <c r="D2038" s="2" t="str">
        <f t="shared" si="30"/>
        <v>OK</v>
      </c>
    </row>
    <row r="2039" spans="1:4" x14ac:dyDescent="0.2">
      <c r="A2039" s="5">
        <v>1978</v>
      </c>
      <c r="B2039" s="138">
        <f>'Cap Outlay Deprec 26'!I8</f>
        <v>138343</v>
      </c>
      <c r="D2039" s="2" t="str">
        <f t="shared" si="30"/>
        <v>Error?</v>
      </c>
    </row>
    <row r="2040" spans="1:4" x14ac:dyDescent="0.2">
      <c r="A2040" s="5">
        <v>1979</v>
      </c>
      <c r="B2040" s="138">
        <f>'Cap Outlay Deprec 26'!I10</f>
        <v>306257</v>
      </c>
      <c r="D2040" s="2" t="str">
        <f t="shared" si="30"/>
        <v>Error?</v>
      </c>
    </row>
    <row r="2041" spans="1:4" x14ac:dyDescent="0.2">
      <c r="A2041" s="5">
        <v>1980</v>
      </c>
      <c r="B2041" s="138">
        <f>'Cap Outlay Deprec 26'!I12</f>
        <v>70971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515571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211785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211785</v>
      </c>
      <c r="C2049" s="2" t="s">
        <v>594</v>
      </c>
      <c r="D2049" s="2" t="str">
        <f t="shared" si="31"/>
        <v>Error?</v>
      </c>
    </row>
    <row r="2050" spans="1:4" x14ac:dyDescent="0.2">
      <c r="A2050" s="10">
        <v>1989</v>
      </c>
      <c r="D2050" s="2" t="str">
        <f t="shared" si="31"/>
        <v>OK</v>
      </c>
    </row>
    <row r="2051" spans="1:4" x14ac:dyDescent="0.2">
      <c r="A2051" s="5">
        <v>1990</v>
      </c>
      <c r="B2051" s="138">
        <f>'Cap Outlay Deprec 26'!K8</f>
        <v>4948985</v>
      </c>
      <c r="C2051" s="2" t="s">
        <v>594</v>
      </c>
      <c r="D2051" s="2" t="str">
        <f t="shared" si="31"/>
        <v>Error?</v>
      </c>
    </row>
    <row r="2052" spans="1:4" x14ac:dyDescent="0.2">
      <c r="A2052" s="5">
        <v>1991</v>
      </c>
      <c r="B2052" s="138">
        <f>'Cap Outlay Deprec 26'!K10</f>
        <v>4421601</v>
      </c>
      <c r="C2052" s="2" t="s">
        <v>594</v>
      </c>
      <c r="D2052" s="2" t="str">
        <f t="shared" si="31"/>
        <v>Error?</v>
      </c>
    </row>
    <row r="2053" spans="1:4" x14ac:dyDescent="0.2">
      <c r="A2053" s="5">
        <v>1992</v>
      </c>
      <c r="B2053" s="138">
        <f>'Cap Outlay Deprec 26'!K12</f>
        <v>365191</v>
      </c>
      <c r="C2053" s="2" t="s">
        <v>594</v>
      </c>
      <c r="D2053" s="2" t="str">
        <f t="shared" si="31"/>
        <v>Error?</v>
      </c>
    </row>
    <row r="2054" spans="1:4" x14ac:dyDescent="0.2">
      <c r="A2054" s="5">
        <v>1993</v>
      </c>
      <c r="B2054" s="138">
        <f>'Cap Outlay Deprec 26'!K13</f>
        <v>1459383</v>
      </c>
      <c r="C2054" s="2" t="s">
        <v>594</v>
      </c>
      <c r="D2054" s="2" t="str">
        <f t="shared" si="31"/>
        <v>Error?</v>
      </c>
    </row>
    <row r="2055" spans="1:4" x14ac:dyDescent="0.2">
      <c r="A2055" s="5">
        <v>1994</v>
      </c>
      <c r="B2055" s="138">
        <f>'Cap Outlay Deprec 26'!K16</f>
        <v>11195160</v>
      </c>
      <c r="C2055" s="2" t="s">
        <v>594</v>
      </c>
      <c r="D2055" s="2" t="str">
        <f t="shared" si="31"/>
        <v>Error?</v>
      </c>
    </row>
    <row r="2056" spans="1:4" x14ac:dyDescent="0.2">
      <c r="A2056" s="5">
        <v>1995</v>
      </c>
      <c r="B2056" s="138">
        <f>'Cap Outlay Deprec 26'!L5</f>
        <v>242610</v>
      </c>
      <c r="C2056" s="2" t="s">
        <v>594</v>
      </c>
      <c r="D2056" s="2" t="str">
        <f t="shared" si="31"/>
        <v>Error?</v>
      </c>
    </row>
    <row r="2057" spans="1:4" x14ac:dyDescent="0.2">
      <c r="A2057" s="5">
        <v>1996</v>
      </c>
      <c r="B2057" s="138">
        <f>'Cap Outlay Deprec 26'!L8</f>
        <v>1968185</v>
      </c>
      <c r="C2057" s="2" t="s">
        <v>594</v>
      </c>
      <c r="D2057" s="2" t="str">
        <f t="shared" si="31"/>
        <v>Error?</v>
      </c>
    </row>
    <row r="2058" spans="1:4" x14ac:dyDescent="0.2">
      <c r="A2058" s="5">
        <v>1997</v>
      </c>
      <c r="B2058" s="138">
        <f>'Cap Outlay Deprec 26'!L10</f>
        <v>1863201</v>
      </c>
      <c r="C2058" s="2" t="s">
        <v>594</v>
      </c>
      <c r="D2058" s="2" t="str">
        <f t="shared" si="31"/>
        <v>Error?</v>
      </c>
    </row>
    <row r="2059" spans="1:4" x14ac:dyDescent="0.2">
      <c r="A2059" s="5">
        <v>1998</v>
      </c>
      <c r="B2059" s="138">
        <f>'Cap Outlay Deprec 26'!L12</f>
        <v>328915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4402911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6116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6116</v>
      </c>
      <c r="C2088" s="2" t="s">
        <v>594</v>
      </c>
      <c r="D2088" s="2" t="str">
        <f t="shared" si="31"/>
        <v>Error?</v>
      </c>
    </row>
    <row r="2089" spans="1:4" x14ac:dyDescent="0.2">
      <c r="A2089" s="5">
        <v>2028</v>
      </c>
      <c r="B2089" s="138">
        <f>'Expenditures 15-22'!K92</f>
        <v>247039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617615</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215693</v>
      </c>
      <c r="D2435" s="2" t="str">
        <f t="shared" si="37"/>
        <v>Error?</v>
      </c>
    </row>
    <row r="2436" spans="1:4" x14ac:dyDescent="0.2">
      <c r="A2436" s="10">
        <v>2375</v>
      </c>
      <c r="D2436" s="2" t="str">
        <f t="shared" si="37"/>
        <v>OK</v>
      </c>
    </row>
    <row r="2437" spans="1:4" x14ac:dyDescent="0.2">
      <c r="A2437" s="5">
        <v>2376</v>
      </c>
      <c r="B2437" s="138">
        <f>'Assets-Liab 5-6'!D38</f>
        <v>486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38239</v>
      </c>
      <c r="D2475" s="2" t="str">
        <f t="shared" si="37"/>
        <v>Error?</v>
      </c>
    </row>
    <row r="2476" spans="1:4" x14ac:dyDescent="0.2">
      <c r="A2476" s="10">
        <v>2415</v>
      </c>
      <c r="D2476" s="2" t="str">
        <f t="shared" si="37"/>
        <v>OK</v>
      </c>
    </row>
    <row r="2477" spans="1:4" x14ac:dyDescent="0.2">
      <c r="A2477" s="5">
        <v>2416</v>
      </c>
      <c r="B2477" s="138">
        <f>'Assets-Liab 5-6'!G38</f>
        <v>216227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4130103</v>
      </c>
      <c r="C2551" s="2" t="s">
        <v>594</v>
      </c>
      <c r="D2551" s="2" t="str">
        <f t="shared" si="38"/>
        <v>Error?</v>
      </c>
    </row>
    <row r="2552" spans="1:4" x14ac:dyDescent="0.2">
      <c r="A2552" s="10">
        <v>2491</v>
      </c>
      <c r="D2552" s="2" t="str">
        <f t="shared" si="38"/>
        <v>OK</v>
      </c>
    </row>
    <row r="2553" spans="1:4" x14ac:dyDescent="0.2">
      <c r="A2553" s="5">
        <v>2492</v>
      </c>
      <c r="B2553" s="138">
        <f>'Acct Summary 7-8'!C6</f>
        <v>822132</v>
      </c>
      <c r="C2553" s="2" t="s">
        <v>594</v>
      </c>
      <c r="D2553" s="2" t="str">
        <f t="shared" si="38"/>
        <v>Error?</v>
      </c>
    </row>
    <row r="2554" spans="1:4" x14ac:dyDescent="0.2">
      <c r="A2554" s="5">
        <v>2493</v>
      </c>
      <c r="B2554" s="138">
        <f>'Acct Summary 7-8'!C7</f>
        <v>539328</v>
      </c>
      <c r="C2554" s="2" t="s">
        <v>594</v>
      </c>
      <c r="D2554" s="2" t="str">
        <f t="shared" si="38"/>
        <v>Error?</v>
      </c>
    </row>
    <row r="2555" spans="1:4" x14ac:dyDescent="0.2">
      <c r="A2555" s="5">
        <v>2494</v>
      </c>
      <c r="B2555" s="138">
        <f>'Acct Summary 7-8'!C8</f>
        <v>5491563</v>
      </c>
      <c r="C2555" s="2" t="s">
        <v>594</v>
      </c>
      <c r="D2555" s="2" t="str">
        <f t="shared" si="38"/>
        <v>Error?</v>
      </c>
    </row>
    <row r="2556" spans="1:4" x14ac:dyDescent="0.2">
      <c r="A2556" s="5">
        <v>2495</v>
      </c>
      <c r="B2556" s="138">
        <f>'Acct Summary 7-8'!C12</f>
        <v>3511967</v>
      </c>
      <c r="C2556" s="2" t="s">
        <v>594</v>
      </c>
      <c r="D2556" s="2" t="str">
        <f t="shared" si="38"/>
        <v>Error?</v>
      </c>
    </row>
    <row r="2557" spans="1:4" x14ac:dyDescent="0.2">
      <c r="A2557" s="5">
        <v>2496</v>
      </c>
      <c r="B2557" s="138">
        <f>'Acct Summary 7-8'!C13</f>
        <v>1576675</v>
      </c>
      <c r="C2557" s="2" t="s">
        <v>594</v>
      </c>
      <c r="D2557" s="2" t="str">
        <f t="shared" si="38"/>
        <v>Error?</v>
      </c>
    </row>
    <row r="2558" spans="1:4" x14ac:dyDescent="0.2">
      <c r="A2558" s="5">
        <v>2497</v>
      </c>
      <c r="B2558" s="138">
        <f>'Acct Summary 7-8'!C14</f>
        <v>516</v>
      </c>
      <c r="C2558" s="2" t="s">
        <v>594</v>
      </c>
      <c r="D2558" s="2" t="str">
        <f t="shared" si="38"/>
        <v>Error?</v>
      </c>
    </row>
    <row r="2559" spans="1:4" x14ac:dyDescent="0.2">
      <c r="A2559" s="5">
        <v>2498</v>
      </c>
      <c r="B2559" s="138">
        <f>'Acct Summary 7-8'!C15</f>
        <v>253155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5342313</v>
      </c>
      <c r="C2561" s="2" t="s">
        <v>594</v>
      </c>
      <c r="D2561" s="2" t="str">
        <f t="shared" si="39"/>
        <v>Error?</v>
      </c>
    </row>
    <row r="2562" spans="1:4" x14ac:dyDescent="0.2">
      <c r="A2562" s="5">
        <v>2501</v>
      </c>
      <c r="B2562" s="138">
        <f>'Acct Summary 7-8'!C20</f>
        <v>149250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673974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673974</v>
      </c>
      <c r="C2568" s="2" t="s">
        <v>594</v>
      </c>
      <c r="D2568" s="2" t="str">
        <f t="shared" si="39"/>
        <v>Error?</v>
      </c>
    </row>
    <row r="2569" spans="1:4" x14ac:dyDescent="0.2">
      <c r="A2569" s="5">
        <v>2508</v>
      </c>
      <c r="B2569" s="138">
        <f>'Acct Summary 7-8'!D13</f>
        <v>891514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891514</v>
      </c>
      <c r="C2573" s="2" t="s">
        <v>594</v>
      </c>
      <c r="D2573" s="2" t="str">
        <f t="shared" si="39"/>
        <v>Error?</v>
      </c>
    </row>
    <row r="2574" spans="1:4" x14ac:dyDescent="0.2">
      <c r="A2574" s="5">
        <v>2513</v>
      </c>
      <c r="B2574" s="138">
        <f>'Acct Summary 7-8'!D20</f>
        <v>-217540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238235</v>
      </c>
      <c r="C2591" s="2" t="s">
        <v>594</v>
      </c>
      <c r="D2591" s="2" t="str">
        <f t="shared" si="39"/>
        <v>Error?</v>
      </c>
    </row>
    <row r="2592" spans="1:4" x14ac:dyDescent="0.2">
      <c r="A2592" s="10">
        <v>2531</v>
      </c>
      <c r="D2592" s="2" t="str">
        <f t="shared" si="39"/>
        <v>OK</v>
      </c>
    </row>
    <row r="2593" spans="1:4" x14ac:dyDescent="0.2">
      <c r="A2593" s="5">
        <v>2532</v>
      </c>
      <c r="B2593" s="138">
        <f>'Acct Summary 7-8'!F6</f>
        <v>206061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444296</v>
      </c>
      <c r="C2595" s="2" t="s">
        <v>594</v>
      </c>
      <c r="D2595" s="2" t="str">
        <f t="shared" si="39"/>
        <v>Error?</v>
      </c>
    </row>
    <row r="2596" spans="1:4" x14ac:dyDescent="0.2">
      <c r="A2596" s="5">
        <v>2535</v>
      </c>
      <c r="B2596" s="138">
        <f>'Acct Summary 7-8'!F13</f>
        <v>432531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432531</v>
      </c>
      <c r="C2600" s="2" t="s">
        <v>594</v>
      </c>
      <c r="D2600" s="2" t="str">
        <f t="shared" si="39"/>
        <v>Error?</v>
      </c>
    </row>
    <row r="2601" spans="1:4" x14ac:dyDescent="0.2">
      <c r="A2601" s="5">
        <v>2540</v>
      </c>
      <c r="B2601" s="138">
        <f>'Acct Summary 7-8'!F20</f>
        <v>11765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273590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273590</v>
      </c>
      <c r="C2606" s="2" t="s">
        <v>594</v>
      </c>
      <c r="D2606" s="2" t="str">
        <f t="shared" si="39"/>
        <v>Error?</v>
      </c>
    </row>
    <row r="2607" spans="1:4" x14ac:dyDescent="0.2">
      <c r="A2607" s="5">
        <v>2546</v>
      </c>
      <c r="B2607" s="138">
        <f>'Acct Summary 7-8'!G12</f>
        <v>74806</v>
      </c>
      <c r="C2607" s="2" t="s">
        <v>594</v>
      </c>
      <c r="D2607" s="2" t="str">
        <f t="shared" si="39"/>
        <v>Error?</v>
      </c>
    </row>
    <row r="2608" spans="1:4" x14ac:dyDescent="0.2">
      <c r="A2608" s="5">
        <v>2547</v>
      </c>
      <c r="B2608" s="138">
        <f>'Acct Summary 7-8'!G13</f>
        <v>127649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202455</v>
      </c>
      <c r="C2612" s="2" t="s">
        <v>594</v>
      </c>
      <c r="D2612" s="2" t="str">
        <f t="shared" si="39"/>
        <v>Error?</v>
      </c>
    </row>
    <row r="2613" spans="1:4" x14ac:dyDescent="0.2">
      <c r="A2613" s="5">
        <v>2552</v>
      </c>
      <c r="B2613" s="138">
        <f>'Acct Summary 7-8'!G20</f>
        <v>71135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905571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905571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910234</v>
      </c>
      <c r="C2634" s="2" t="s">
        <v>594</v>
      </c>
      <c r="D2634" s="2" t="str">
        <f t="shared" si="40"/>
        <v>Error?</v>
      </c>
    </row>
    <row r="2635" spans="1:4" x14ac:dyDescent="0.2">
      <c r="A2635" s="5">
        <v>2574</v>
      </c>
      <c r="B2635" s="138">
        <f>'Acct Summary 7-8'!E17</f>
        <v>910234</v>
      </c>
      <c r="C2635" s="2" t="s">
        <v>594</v>
      </c>
      <c r="D2635" s="2" t="str">
        <f t="shared" si="40"/>
        <v>Error?</v>
      </c>
    </row>
    <row r="2636" spans="1:4" x14ac:dyDescent="0.2">
      <c r="A2636" s="5">
        <v>2575</v>
      </c>
      <c r="B2636" s="138">
        <f>'Acct Summary 7-8'!E20</f>
        <v>-4663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t="str">
        <f>'Expenditures 15-22'!E195</f>
        <v xml:space="preserve"> </v>
      </c>
      <c r="D2824" s="2" t="e">
        <f t="shared" si="43"/>
        <v>#VALUE!</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t="str">
        <f>'Expenditures 15-22'!H195</f>
        <v xml:space="preserve"> </v>
      </c>
      <c r="D2829" s="2" t="e">
        <f t="shared" si="43"/>
        <v>#VALUE!</v>
      </c>
    </row>
    <row r="2830" spans="1:4" x14ac:dyDescent="0.2">
      <c r="A2830" s="5">
        <v>2769</v>
      </c>
      <c r="B2830" s="138">
        <f>'Expenditures 15-22'!H196</f>
        <v>0</v>
      </c>
      <c r="C2830" s="2" t="s">
        <v>594</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1606418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1664666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38000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85483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1664666</v>
      </c>
      <c r="D2912" s="2" t="str">
        <f t="shared" si="44"/>
        <v>Error?</v>
      </c>
    </row>
    <row r="2913" spans="1:4" x14ac:dyDescent="0.2">
      <c r="A2913" s="5">
        <v>2852</v>
      </c>
      <c r="B2913" s="138">
        <f>'Assets-Liab 5-6'!I41</f>
        <v>1664666</v>
      </c>
      <c r="C2913" s="2" t="s">
        <v>594</v>
      </c>
      <c r="D2913" s="2" t="str">
        <f t="shared" si="44"/>
        <v>Error?</v>
      </c>
    </row>
    <row r="2914" spans="1:4" x14ac:dyDescent="0.2">
      <c r="A2914" s="5">
        <v>2853</v>
      </c>
      <c r="B2914" s="138">
        <f>'Assets-Liab 5-6'!L33</f>
        <v>85483</v>
      </c>
      <c r="D2914" s="2" t="str">
        <f t="shared" si="44"/>
        <v>Error?</v>
      </c>
    </row>
    <row r="2915" spans="1:4" x14ac:dyDescent="0.2">
      <c r="A2915" s="10">
        <v>2854</v>
      </c>
      <c r="D2915" s="2" t="str">
        <f t="shared" si="44"/>
        <v>OK</v>
      </c>
    </row>
    <row r="2916" spans="1:4" x14ac:dyDescent="0.2">
      <c r="A2916" s="5">
        <v>2855</v>
      </c>
      <c r="B2916" s="138">
        <f>'Assets-Liab 5-6'!L34</f>
        <v>85483</v>
      </c>
      <c r="C2916" s="2" t="s">
        <v>594</v>
      </c>
      <c r="D2916" s="2" t="str">
        <f t="shared" si="44"/>
        <v>Error?</v>
      </c>
    </row>
    <row r="2917" spans="1:4" x14ac:dyDescent="0.2">
      <c r="A2917" s="5">
        <v>2856</v>
      </c>
      <c r="B2917" s="138">
        <f>'Assets-Liab 5-6'!L41</f>
        <v>85483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627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5489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627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5489</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50578</v>
      </c>
      <c r="D3055" s="2" t="str">
        <f t="shared" si="46"/>
        <v>Error?</v>
      </c>
    </row>
    <row r="3056" spans="1:4" x14ac:dyDescent="0.2">
      <c r="A3056" s="5">
        <v>2995</v>
      </c>
      <c r="B3056" s="138">
        <f>'Expenditures 15-22'!D10</f>
        <v>7229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57807</v>
      </c>
      <c r="C3062" s="2" t="s">
        <v>594</v>
      </c>
      <c r="D3062" s="2" t="str">
        <f t="shared" si="46"/>
        <v>Error?</v>
      </c>
    </row>
    <row r="3063" spans="1:4" x14ac:dyDescent="0.2">
      <c r="A3063" s="10">
        <v>3002</v>
      </c>
      <c r="D3063" s="2" t="str">
        <f t="shared" si="46"/>
        <v>OK</v>
      </c>
    </row>
    <row r="3064" spans="1:4" x14ac:dyDescent="0.2">
      <c r="A3064" s="5">
        <v>3003</v>
      </c>
      <c r="B3064" s="138">
        <f>'Expenditures 15-22'!D219</f>
        <v>471</v>
      </c>
      <c r="D3064" s="2" t="str">
        <f t="shared" si="46"/>
        <v>Error?</v>
      </c>
    </row>
    <row r="3065" spans="1:4" x14ac:dyDescent="0.2">
      <c r="A3065" s="5">
        <v>3004</v>
      </c>
      <c r="B3065" s="138">
        <f>'Expenditures 15-22'!K219</f>
        <v>471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87666</v>
      </c>
      <c r="C3225" s="2" t="s">
        <v>594</v>
      </c>
      <c r="D3225" s="2" t="str">
        <f t="shared" si="49"/>
        <v>Error?</v>
      </c>
    </row>
    <row r="3226" spans="1:4" x14ac:dyDescent="0.2">
      <c r="A3226" s="5">
        <v>3165</v>
      </c>
      <c r="B3226" s="138">
        <f>'Acct Summary 7-8'!I8</f>
        <v>87666</v>
      </c>
      <c r="C3226" s="2" t="s">
        <v>594</v>
      </c>
      <c r="D3226" s="2" t="str">
        <f t="shared" si="49"/>
        <v>Error?</v>
      </c>
    </row>
    <row r="3227" spans="1:4" x14ac:dyDescent="0.2">
      <c r="A3227" s="5">
        <v>3166</v>
      </c>
      <c r="B3227" s="138">
        <f>'Acct Summary 7-8'!I20</f>
        <v>87666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317000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18734</v>
      </c>
      <c r="C3231" s="2" t="s">
        <v>594</v>
      </c>
      <c r="D3231" s="2" t="str">
        <f t="shared" si="49"/>
        <v>Error?</v>
      </c>
    </row>
    <row r="3232" spans="1:4" x14ac:dyDescent="0.2">
      <c r="A3232" s="5">
        <v>3171</v>
      </c>
      <c r="B3232" s="138">
        <f>'Acct Summary 7-8'!C77</f>
        <v>298266</v>
      </c>
      <c r="C3232" s="2" t="s">
        <v>594</v>
      </c>
      <c r="D3232" s="2" t="str">
        <f t="shared" si="49"/>
        <v>Error?</v>
      </c>
    </row>
    <row r="3233" spans="1:4" x14ac:dyDescent="0.2">
      <c r="A3233" s="5">
        <v>3172</v>
      </c>
      <c r="B3233" s="138">
        <f>'Acct Summary 7-8'!C78</f>
        <v>447516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310233</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310233</v>
      </c>
      <c r="C3238" s="2" t="s">
        <v>594</v>
      </c>
      <c r="D3238" s="2" t="str">
        <f t="shared" si="49"/>
        <v>Error?</v>
      </c>
    </row>
    <row r="3239" spans="1:4" x14ac:dyDescent="0.2">
      <c r="A3239" s="5">
        <v>3178</v>
      </c>
      <c r="B3239" s="138">
        <f>'Acct Summary 7-8'!D78</f>
        <v>92693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11765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71135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18734</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18734</v>
      </c>
      <c r="C3277" s="2" t="s">
        <v>594</v>
      </c>
      <c r="D3277" s="2" t="str">
        <f t="shared" si="50"/>
        <v>Error?</v>
      </c>
    </row>
    <row r="3278" spans="1:4" x14ac:dyDescent="0.2">
      <c r="A3278" s="5">
        <v>3217</v>
      </c>
      <c r="B3278" s="138">
        <f>'Acct Summary 7-8'!E78</f>
        <v>14071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t="str">
        <f>'Acct Summary 7-8'!H75</f>
        <v xml:space="preserve"> </v>
      </c>
      <c r="D3297" s="2" t="e">
        <f t="shared" si="50"/>
        <v>#VALUE!</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0</v>
      </c>
      <c r="C3317" s="2" t="s">
        <v>594</v>
      </c>
      <c r="D3317" s="2" t="str">
        <f t="shared" si="50"/>
        <v>Error?</v>
      </c>
    </row>
    <row r="3318" spans="1:4" x14ac:dyDescent="0.2">
      <c r="A3318" s="5">
        <v>3257</v>
      </c>
      <c r="B3318" s="138">
        <f>'Acct Summary 7-8'!I76</f>
        <v>617615</v>
      </c>
      <c r="C3318" s="2" t="s">
        <v>594</v>
      </c>
      <c r="D3318" s="2" t="str">
        <f t="shared" si="50"/>
        <v>Error?</v>
      </c>
    </row>
    <row r="3319" spans="1:4" x14ac:dyDescent="0.2">
      <c r="A3319" s="5">
        <v>3258</v>
      </c>
      <c r="B3319" s="138">
        <f>'Acct Summary 7-8'!I77</f>
        <v>-617615</v>
      </c>
      <c r="C3319" s="2" t="s">
        <v>594</v>
      </c>
      <c r="D3319" s="2" t="str">
        <f t="shared" si="50"/>
        <v>Error?</v>
      </c>
    </row>
    <row r="3320" spans="1:4" x14ac:dyDescent="0.2">
      <c r="A3320" s="5">
        <v>3259</v>
      </c>
      <c r="B3320" s="138">
        <f>'Acct Summary 7-8'!I78</f>
        <v>-529949</v>
      </c>
      <c r="C3320" s="2" t="s">
        <v>594</v>
      </c>
      <c r="D3320" s="2" t="str">
        <f t="shared" si="50"/>
        <v>Error?</v>
      </c>
    </row>
    <row r="3321" spans="1:4" x14ac:dyDescent="0.2">
      <c r="A3321" s="5">
        <v>3260</v>
      </c>
      <c r="B3321" s="138">
        <f>'Acct Summary 7-8'!I79</f>
        <v>2194615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1664666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334199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26884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2786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363869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28191</v>
      </c>
      <c r="D3387" s="2" t="str">
        <f t="shared" si="51"/>
        <v>Error?</v>
      </c>
    </row>
    <row r="3388" spans="1:4" x14ac:dyDescent="0.2">
      <c r="A3388" s="5">
        <v>3327</v>
      </c>
      <c r="B3388" s="138">
        <f>'Expenditures 15-22'!D217</f>
        <v>26259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28191</v>
      </c>
      <c r="C3390" s="2" t="s">
        <v>594</v>
      </c>
      <c r="D3390" s="2" t="str">
        <f t="shared" si="51"/>
        <v>Error?</v>
      </c>
    </row>
    <row r="3391" spans="1:4" x14ac:dyDescent="0.2">
      <c r="A3391" s="5">
        <v>3330</v>
      </c>
      <c r="B3391" s="138">
        <f>'Expenditures 15-22'!K217</f>
        <v>26259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22503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68081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21291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58248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47483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115421</v>
      </c>
      <c r="C3446" s="2" t="s">
        <v>594</v>
      </c>
      <c r="D3446" s="2" t="str">
        <f t="shared" si="52"/>
        <v>Error?</v>
      </c>
    </row>
    <row r="3447" spans="1:4" x14ac:dyDescent="0.2">
      <c r="A3447" s="5">
        <v>3386</v>
      </c>
      <c r="B3447" s="138">
        <f>'Tax Sched 23'!D16</f>
        <v>44409</v>
      </c>
      <c r="C3447" s="2" t="s">
        <v>594</v>
      </c>
      <c r="D3447" s="2" t="str">
        <f t="shared" si="52"/>
        <v>Error?</v>
      </c>
    </row>
    <row r="3448" spans="1:4" x14ac:dyDescent="0.2">
      <c r="A3448" s="5">
        <v>3387</v>
      </c>
      <c r="B3448" s="138">
        <f>'Tax Sched 23'!C16</f>
        <v>71012</v>
      </c>
      <c r="D3448" s="2" t="str">
        <f t="shared" si="52"/>
        <v>Error?</v>
      </c>
    </row>
    <row r="3449" spans="1:4" x14ac:dyDescent="0.2">
      <c r="A3449" s="5">
        <v>3388</v>
      </c>
      <c r="B3449" s="138">
        <f>'Tax Sched 23'!F16</f>
        <v>53983</v>
      </c>
      <c r="C3449" s="2" t="s">
        <v>594</v>
      </c>
      <c r="D3449" s="2" t="str">
        <f t="shared" si="52"/>
        <v>Error?</v>
      </c>
    </row>
    <row r="3450" spans="1:4" x14ac:dyDescent="0.2">
      <c r="A3450" s="5">
        <v>3389</v>
      </c>
      <c r="B3450" s="138">
        <f>'Tax Sched 23'!E16</f>
        <v>124995</v>
      </c>
      <c r="D3450" s="2" t="str">
        <f t="shared" si="52"/>
        <v>Error?</v>
      </c>
    </row>
    <row r="3451" spans="1:4" x14ac:dyDescent="0.2">
      <c r="A3451" s="5">
        <v>3390</v>
      </c>
      <c r="B3451" s="138">
        <f>'Cap Outlay Deprec 26'!C15</f>
        <v>13541</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13541</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9618</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38439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287290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325729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325729</v>
      </c>
      <c r="D3567" s="2" t="str">
        <f t="shared" si="54"/>
        <v>Error?</v>
      </c>
    </row>
    <row r="3568" spans="1:4" x14ac:dyDescent="0.2">
      <c r="A3568" s="5">
        <v>3507</v>
      </c>
      <c r="B3568" s="138">
        <f>'Assets-Liab 5-6'!K41</f>
        <v>325729</v>
      </c>
      <c r="C3568" s="2" t="s">
        <v>594</v>
      </c>
      <c r="D3568" s="2" t="str">
        <f t="shared" si="54"/>
        <v>Error?</v>
      </c>
    </row>
    <row r="3569" spans="1:4" x14ac:dyDescent="0.2">
      <c r="A3569" s="5">
        <v>3508</v>
      </c>
      <c r="B3569" s="138">
        <f>'Acct Summary 7-8'!K4</f>
        <v>63004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63004</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63004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63004</v>
      </c>
      <c r="C3588" s="2" t="s">
        <v>594</v>
      </c>
      <c r="D3588" s="2" t="str">
        <f t="shared" si="55"/>
        <v>Error?</v>
      </c>
    </row>
    <row r="3589" spans="1:4" x14ac:dyDescent="0.2">
      <c r="A3589" s="5">
        <v>3528</v>
      </c>
      <c r="B3589" s="138">
        <f>'Acct Summary 7-8'!K79</f>
        <v>262725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325729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63004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59245</v>
      </c>
      <c r="C3725" s="2" t="s">
        <v>594</v>
      </c>
      <c r="D3725" s="2" t="str">
        <f t="shared" si="57"/>
        <v>Error?</v>
      </c>
    </row>
    <row r="3726" spans="1:4" x14ac:dyDescent="0.2">
      <c r="A3726" s="5">
        <v>3665</v>
      </c>
      <c r="B3726" s="138">
        <f>'Tax Sched 23'!D13</f>
        <v>25712</v>
      </c>
      <c r="C3726" s="2" t="s">
        <v>594</v>
      </c>
      <c r="D3726" s="2" t="str">
        <f t="shared" si="57"/>
        <v>Error?</v>
      </c>
    </row>
    <row r="3727" spans="1:4" x14ac:dyDescent="0.2">
      <c r="A3727" s="5">
        <v>3666</v>
      </c>
      <c r="B3727" s="138">
        <f>'Tax Sched 23'!C13</f>
        <v>33533</v>
      </c>
      <c r="D3727" s="2" t="str">
        <f t="shared" si="57"/>
        <v>Error?</v>
      </c>
    </row>
    <row r="3728" spans="1:4" x14ac:dyDescent="0.2">
      <c r="A3728" s="5">
        <v>3667</v>
      </c>
      <c r="B3728" s="138">
        <f>'Tax Sched 23'!F13</f>
        <v>25494</v>
      </c>
      <c r="C3728" s="2" t="s">
        <v>594</v>
      </c>
      <c r="D3728" s="2" t="str">
        <f t="shared" si="57"/>
        <v>Error?</v>
      </c>
    </row>
    <row r="3729" spans="1:4" x14ac:dyDescent="0.2">
      <c r="A3729" s="5">
        <v>3668</v>
      </c>
      <c r="B3729" s="138">
        <f>'Tax Sched 23'!E13</f>
        <v>59027</v>
      </c>
      <c r="D3729" s="2" t="str">
        <f t="shared" si="57"/>
        <v>Error?</v>
      </c>
    </row>
    <row r="3730" spans="1:4" x14ac:dyDescent="0.2">
      <c r="A3730" s="5">
        <v>3669</v>
      </c>
      <c r="B3730" s="138">
        <f>'ICR Computation 30'!E10</f>
        <v>131807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2016795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7508358</v>
      </c>
      <c r="C4122" s="2" t="s">
        <v>594</v>
      </c>
      <c r="D4122" s="2" t="str">
        <f t="shared" si="63"/>
        <v>Error?</v>
      </c>
    </row>
    <row r="4123" spans="1:4" x14ac:dyDescent="0.2">
      <c r="A4123" s="5">
        <v>4062</v>
      </c>
      <c r="B4123" s="138">
        <f>'Acct Summary 7-8'!D10</f>
        <v>673974</v>
      </c>
      <c r="C4123" s="2" t="s">
        <v>594</v>
      </c>
      <c r="D4123" s="2" t="str">
        <f t="shared" si="63"/>
        <v>Error?</v>
      </c>
    </row>
    <row r="4124" spans="1:4" x14ac:dyDescent="0.2">
      <c r="A4124" s="5">
        <v>4063</v>
      </c>
      <c r="B4124" s="138">
        <f>'Acct Summary 7-8'!E10</f>
        <v>905571</v>
      </c>
      <c r="C4124" s="2" t="s">
        <v>594</v>
      </c>
      <c r="D4124" s="2" t="str">
        <f t="shared" si="63"/>
        <v>Error?</v>
      </c>
    </row>
    <row r="4125" spans="1:4" x14ac:dyDescent="0.2">
      <c r="A4125" s="5">
        <v>4064</v>
      </c>
      <c r="B4125" s="138">
        <f>'Acct Summary 7-8'!F10</f>
        <v>444296</v>
      </c>
      <c r="C4125" s="2" t="s">
        <v>594</v>
      </c>
      <c r="D4125" s="2" t="str">
        <f t="shared" si="63"/>
        <v>Error?</v>
      </c>
    </row>
    <row r="4126" spans="1:4" x14ac:dyDescent="0.2">
      <c r="A4126" s="5">
        <v>4065</v>
      </c>
      <c r="B4126" s="138">
        <f>'Acct Summary 7-8'!G10</f>
        <v>273590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87666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63004</v>
      </c>
      <c r="C4130" s="2" t="s">
        <v>594</v>
      </c>
      <c r="D4130" s="2" t="str">
        <f t="shared" si="63"/>
        <v>Error?</v>
      </c>
    </row>
    <row r="4131" spans="1:4" x14ac:dyDescent="0.2">
      <c r="A4131" s="5">
        <v>4070</v>
      </c>
      <c r="B4131" s="138">
        <f>'Acct Summary 7-8'!C18</f>
        <v>2016795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7359108</v>
      </c>
      <c r="C4136" s="2" t="s">
        <v>594</v>
      </c>
      <c r="D4136" s="2" t="str">
        <f t="shared" si="63"/>
        <v>Error?</v>
      </c>
    </row>
    <row r="4137" spans="1:4" x14ac:dyDescent="0.2">
      <c r="A4137" s="5">
        <v>4076</v>
      </c>
      <c r="B4137" s="138">
        <f>'Acct Summary 7-8'!D19</f>
        <v>891514</v>
      </c>
      <c r="C4137" s="2" t="s">
        <v>594</v>
      </c>
      <c r="D4137" s="2" t="str">
        <f t="shared" si="63"/>
        <v>Error?</v>
      </c>
    </row>
    <row r="4138" spans="1:4" x14ac:dyDescent="0.2">
      <c r="A4138" s="5">
        <v>4077</v>
      </c>
      <c r="B4138" s="138">
        <f>'Acct Summary 7-8'!E19</f>
        <v>910234</v>
      </c>
      <c r="C4138" s="2" t="s">
        <v>594</v>
      </c>
      <c r="D4138" s="2" t="str">
        <f t="shared" si="63"/>
        <v>Error?</v>
      </c>
    </row>
    <row r="4139" spans="1:4" x14ac:dyDescent="0.2">
      <c r="A4139" s="5">
        <v>4078</v>
      </c>
      <c r="B4139" s="138">
        <f>'Acct Summary 7-8'!F19</f>
        <v>432531</v>
      </c>
      <c r="C4139" s="2" t="s">
        <v>594</v>
      </c>
      <c r="D4139" s="2" t="str">
        <f t="shared" si="63"/>
        <v>Error?</v>
      </c>
    </row>
    <row r="4140" spans="1:4" x14ac:dyDescent="0.2">
      <c r="A4140" s="5">
        <v>4079</v>
      </c>
      <c r="B4140" s="138">
        <f>'Acct Summary 7-8'!G19</f>
        <v>202455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1740209</v>
      </c>
      <c r="C4171" s="2" t="s">
        <v>594</v>
      </c>
      <c r="D4171" s="2" t="str">
        <f t="shared" si="64"/>
        <v>Error?</v>
      </c>
    </row>
    <row r="4172" spans="1:4" x14ac:dyDescent="0.2">
      <c r="A4172" s="5">
        <v>4111</v>
      </c>
      <c r="B4172" s="138">
        <f>'Short-Term Long-Term Debt 24'!J49</f>
        <v>1254186</v>
      </c>
      <c r="C4172" s="2" t="s">
        <v>594</v>
      </c>
      <c r="D4172" s="2" t="str">
        <f t="shared" si="64"/>
        <v>Error?</v>
      </c>
    </row>
    <row r="4173" spans="1:4" x14ac:dyDescent="0.2">
      <c r="A4173" s="5">
        <v>4112</v>
      </c>
      <c r="B4173" s="138">
        <f>'Short-Term Long-Term Debt 24'!H49</f>
        <v>826536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3800</v>
      </c>
      <c r="C4268" s="2" t="s">
        <v>594</v>
      </c>
      <c r="D4268" s="2" t="str">
        <f t="shared" si="65"/>
        <v>Error?</v>
      </c>
    </row>
    <row r="4269" spans="1:5" x14ac:dyDescent="0.2">
      <c r="A4269" s="12">
        <v>4208</v>
      </c>
      <c r="B4269" s="138">
        <f>'FP Info 3'!J16</f>
        <v>5310669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43356</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9974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7892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19442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26022</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118053458</v>
      </c>
      <c r="D4995" s="2" t="str">
        <f t="shared" si="77"/>
        <v>Error?</v>
      </c>
    </row>
    <row r="4996" spans="1:4" x14ac:dyDescent="0.2">
      <c r="A4996" s="12">
        <v>4935</v>
      </c>
      <c r="B4996" s="138">
        <f>'FP Info 3'!H31</f>
        <v>16291377.204000002</v>
      </c>
      <c r="D4996" s="2" t="str">
        <f t="shared" si="77"/>
        <v>Error?</v>
      </c>
    </row>
    <row r="4997" spans="1:4" x14ac:dyDescent="0.2">
      <c r="A4997" s="12">
        <v>4936</v>
      </c>
      <c r="B4997" s="138">
        <f>'FP Info 3'!H37</f>
        <v>1740209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59245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3673139</v>
      </c>
      <c r="D5061" s="2" t="str">
        <f t="shared" si="78"/>
        <v>Error?</v>
      </c>
    </row>
    <row r="5062" spans="1:4" x14ac:dyDescent="0.2">
      <c r="A5062" s="10">
        <v>5001</v>
      </c>
      <c r="D5062" s="2" t="str">
        <f t="shared" si="78"/>
        <v>OK</v>
      </c>
    </row>
    <row r="5063" spans="1:4" x14ac:dyDescent="0.2">
      <c r="A5063" s="5">
        <v>5002</v>
      </c>
      <c r="B5063" s="138">
        <f>'Revenues 9-14'!C7</f>
        <v>47396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3779780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181383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181383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17848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17848</v>
      </c>
      <c r="C5090" s="2" t="s">
        <v>594</v>
      </c>
      <c r="D5090" s="2" t="str">
        <f t="shared" si="78"/>
        <v>Error?</v>
      </c>
    </row>
    <row r="5091" spans="1:4" x14ac:dyDescent="0.2">
      <c r="A5091" s="5">
        <v>5030</v>
      </c>
      <c r="B5091" s="138">
        <f>'Revenues 9-14'!C70</f>
        <v>947</v>
      </c>
      <c r="D5091" s="2" t="str">
        <f t="shared" si="78"/>
        <v>Error?</v>
      </c>
    </row>
    <row r="5092" spans="1:4" x14ac:dyDescent="0.2">
      <c r="A5092" s="5">
        <v>5031</v>
      </c>
      <c r="B5092" s="138">
        <f>'Revenues 9-14'!C71</f>
        <v>15105</v>
      </c>
      <c r="D5092" s="2" t="str">
        <f t="shared" si="78"/>
        <v>Error?</v>
      </c>
    </row>
    <row r="5093" spans="1:4" x14ac:dyDescent="0.2">
      <c r="A5093" s="5">
        <v>5032</v>
      </c>
      <c r="B5093" s="138">
        <f>'Revenues 9-14'!C72</f>
        <v>4236</v>
      </c>
      <c r="D5093" s="2" t="str">
        <f t="shared" si="78"/>
        <v>Error?</v>
      </c>
    </row>
    <row r="5094" spans="1:4" x14ac:dyDescent="0.2">
      <c r="A5094" s="5">
        <v>5033</v>
      </c>
      <c r="B5094" s="138">
        <f>'Revenues 9-14'!C73</f>
        <v>6982</v>
      </c>
      <c r="D5094" s="2" t="str">
        <f t="shared" si="78"/>
        <v>Error?</v>
      </c>
    </row>
    <row r="5095" spans="1:4" x14ac:dyDescent="0.2">
      <c r="A5095" s="5">
        <v>5034</v>
      </c>
      <c r="B5095" s="138">
        <f>'Revenues 9-14'!C74</f>
        <v>3031</v>
      </c>
      <c r="D5095" s="2" t="str">
        <f t="shared" si="78"/>
        <v>Error?</v>
      </c>
    </row>
    <row r="5096" spans="1:4" x14ac:dyDescent="0.2">
      <c r="A5096" s="5">
        <v>5035</v>
      </c>
      <c r="B5096" s="138">
        <f>'Revenues 9-14'!C75</f>
        <v>49668</v>
      </c>
      <c r="C5096" s="2" t="s">
        <v>594</v>
      </c>
      <c r="D5096" s="2" t="str">
        <f t="shared" si="78"/>
        <v>Error?</v>
      </c>
    </row>
    <row r="5097" spans="1:4" x14ac:dyDescent="0.2">
      <c r="A5097" s="5">
        <v>5036</v>
      </c>
      <c r="B5097" s="138">
        <f>'Revenues 9-14'!C77</f>
        <v>21566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14980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36546</v>
      </c>
      <c r="C5102" s="2" t="s">
        <v>594</v>
      </c>
      <c r="D5102" s="2" t="str">
        <f t="shared" si="78"/>
        <v>Error?</v>
      </c>
    </row>
    <row r="5103" spans="1:4" x14ac:dyDescent="0.2">
      <c r="A5103" s="5">
        <v>5042</v>
      </c>
      <c r="B5103" s="138">
        <f>'Revenues 9-14'!C84</f>
        <v>25636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25636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29365</v>
      </c>
      <c r="D5119" s="2" t="str">
        <f t="shared" ref="D5119:D5182" si="79">IF(ISBLANK(B5119),"OK",IF(A5119-B5119=0,"OK","Error?"))</f>
        <v>Error?</v>
      </c>
    </row>
    <row r="5120" spans="1:4" x14ac:dyDescent="0.2">
      <c r="A5120" s="5">
        <v>5059</v>
      </c>
      <c r="B5120" s="138">
        <f>'Revenues 9-14'!C108</f>
        <v>39242</v>
      </c>
      <c r="C5120" s="2" t="s">
        <v>594</v>
      </c>
      <c r="D5120" s="2" t="str">
        <f t="shared" si="79"/>
        <v>Error?</v>
      </c>
    </row>
    <row r="5121" spans="1:4" x14ac:dyDescent="0.2">
      <c r="A5121" s="5">
        <v>5060</v>
      </c>
      <c r="B5121" s="138">
        <f>'Revenues 9-14'!C109</f>
        <v>4130103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512280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512280</v>
      </c>
      <c r="C5132" s="2" t="s">
        <v>594</v>
      </c>
      <c r="D5132" s="2" t="str">
        <f t="shared" si="79"/>
        <v>Error?</v>
      </c>
    </row>
    <row r="5133" spans="1:4" x14ac:dyDescent="0.2">
      <c r="A5133" s="5">
        <v>5072</v>
      </c>
      <c r="B5133" s="138">
        <f>'Revenues 9-14'!C124</f>
        <v>37934</v>
      </c>
      <c r="D5133" s="2" t="str">
        <f t="shared" si="79"/>
        <v>Error?</v>
      </c>
    </row>
    <row r="5134" spans="1:4" x14ac:dyDescent="0.2">
      <c r="A5134" s="5">
        <v>5073</v>
      </c>
      <c r="B5134" s="138">
        <f>'Revenues 9-14'!C125</f>
        <v>37117</v>
      </c>
      <c r="D5134" s="2" t="str">
        <f t="shared" si="79"/>
        <v>Error?</v>
      </c>
    </row>
    <row r="5135" spans="1:4" x14ac:dyDescent="0.2">
      <c r="A5135" s="5">
        <v>5074</v>
      </c>
      <c r="B5135" s="138">
        <f>'Revenues 9-14'!C126</f>
        <v>31162</v>
      </c>
      <c r="D5135" s="2" t="str">
        <f t="shared" si="79"/>
        <v>Error?</v>
      </c>
    </row>
    <row r="5136" spans="1:4" x14ac:dyDescent="0.2">
      <c r="A5136" s="10">
        <v>5075</v>
      </c>
      <c r="D5136" s="2" t="str">
        <f t="shared" si="79"/>
        <v>OK</v>
      </c>
    </row>
    <row r="5137" spans="1:4" x14ac:dyDescent="0.2">
      <c r="A5137" s="5">
        <v>5076</v>
      </c>
      <c r="B5137" s="138">
        <f>'Revenues 9-14'!C127</f>
        <v>8386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164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114763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2985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3182</v>
      </c>
      <c r="D5167" s="2" t="str">
        <f t="shared" si="79"/>
        <v>Error?</v>
      </c>
    </row>
    <row r="5168" spans="1:4" x14ac:dyDescent="0.2">
      <c r="A5168" s="5">
        <v>5107</v>
      </c>
      <c r="B5168" s="138">
        <f>'Revenues 9-14'!C147</f>
        <v>8614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178808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309852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822132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26022</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173830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43987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261173</v>
      </c>
      <c r="C5246" s="2" t="s">
        <v>594</v>
      </c>
      <c r="D5246" s="2" t="str">
        <f t="shared" si="80"/>
        <v>Error?</v>
      </c>
    </row>
    <row r="5247" spans="1:4" x14ac:dyDescent="0.2">
      <c r="A5247" s="5">
        <v>5186</v>
      </c>
      <c r="B5247" s="138">
        <f>'Revenues 9-14'!C203</f>
        <v>114854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114854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7777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92194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99971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513306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539328</v>
      </c>
      <c r="C5326" s="2" t="s">
        <v>594</v>
      </c>
      <c r="D5326" s="2" t="str">
        <f t="shared" si="82"/>
        <v>Error?</v>
      </c>
    </row>
    <row r="5327" spans="1:4" x14ac:dyDescent="0.2">
      <c r="A5327" s="5">
        <v>5266</v>
      </c>
      <c r="B5327" s="138">
        <f>'Revenues 9-14'!C275</f>
        <v>5491563</v>
      </c>
      <c r="C5327" s="2" t="s">
        <v>594</v>
      </c>
      <c r="D5327" s="2" t="str">
        <f t="shared" si="82"/>
        <v>Error?</v>
      </c>
    </row>
    <row r="5328" spans="1:4" x14ac:dyDescent="0.2">
      <c r="A5328" s="5">
        <v>5267</v>
      </c>
      <c r="B5328" s="138">
        <f>'Revenues 9-14'!D5</f>
        <v>592443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592443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60461</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60461</v>
      </c>
      <c r="C5339" s="2" t="s">
        <v>594</v>
      </c>
      <c r="D5339" s="2" t="str">
        <f t="shared" si="82"/>
        <v>Error?</v>
      </c>
    </row>
    <row r="5340" spans="1:4" x14ac:dyDescent="0.2">
      <c r="A5340" s="5">
        <v>5279</v>
      </c>
      <c r="B5340" s="138">
        <f>'Revenues 9-14'!D65</f>
        <v>3630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3630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15940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1500</v>
      </c>
      <c r="D5354" s="2" t="str">
        <f t="shared" si="82"/>
        <v>Error?</v>
      </c>
    </row>
    <row r="5355" spans="1:4" x14ac:dyDescent="0.2">
      <c r="A5355" s="5">
        <v>5294</v>
      </c>
      <c r="B5355" s="138">
        <f>'Revenues 9-14'!D108</f>
        <v>17440</v>
      </c>
      <c r="C5355" s="2" t="s">
        <v>594</v>
      </c>
      <c r="D5355" s="2" t="str">
        <f t="shared" si="82"/>
        <v>Error?</v>
      </c>
    </row>
    <row r="5356" spans="1:4" x14ac:dyDescent="0.2">
      <c r="A5356" s="5">
        <v>5295</v>
      </c>
      <c r="B5356" s="138">
        <f>'Revenues 9-14'!D109</f>
        <v>673974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673974</v>
      </c>
      <c r="C5508" s="2" t="s">
        <v>594</v>
      </c>
      <c r="D5508" s="2" t="str">
        <f t="shared" si="85"/>
        <v>Error?</v>
      </c>
    </row>
    <row r="5509" spans="1:4" x14ac:dyDescent="0.2">
      <c r="A5509" s="5">
        <v>5448</v>
      </c>
      <c r="B5509" s="138">
        <f>'Revenues 9-14'!E5</f>
        <v>903627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903627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1944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1944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905571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905571</v>
      </c>
      <c r="C5552" s="2" t="s">
        <v>594</v>
      </c>
      <c r="D5552" s="2" t="str">
        <f t="shared" si="85"/>
        <v>Error?</v>
      </c>
    </row>
    <row r="5553" spans="1:4" x14ac:dyDescent="0.2">
      <c r="A5553" s="5">
        <v>5492</v>
      </c>
      <c r="B5553" s="138">
        <f>'Revenues 9-14'!F5</f>
        <v>236979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236979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1232</v>
      </c>
      <c r="D5586" s="2" t="str">
        <f t="shared" si="86"/>
        <v>Error?</v>
      </c>
    </row>
    <row r="5587" spans="1:4" x14ac:dyDescent="0.2">
      <c r="A5587" s="5">
        <v>5526</v>
      </c>
      <c r="B5587" s="138">
        <f>'Revenues 9-14'!F108</f>
        <v>1232</v>
      </c>
      <c r="C5587" s="2" t="s">
        <v>594</v>
      </c>
      <c r="D5587" s="2" t="str">
        <f t="shared" si="86"/>
        <v>Error?</v>
      </c>
    </row>
    <row r="5588" spans="1:4" x14ac:dyDescent="0.2">
      <c r="A5588" s="5">
        <v>5527</v>
      </c>
      <c r="B5588" s="138">
        <f>'Revenues 9-14'!F109</f>
        <v>238235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142074</v>
      </c>
      <c r="D5615" s="2" t="str">
        <f t="shared" si="86"/>
        <v>Error?</v>
      </c>
    </row>
    <row r="5616" spans="1:4" x14ac:dyDescent="0.2">
      <c r="A5616" s="10">
        <v>5555</v>
      </c>
      <c r="D5616" s="2" t="str">
        <f t="shared" si="86"/>
        <v>OK</v>
      </c>
    </row>
    <row r="5617" spans="1:4" x14ac:dyDescent="0.2">
      <c r="A5617" s="5">
        <v>5556</v>
      </c>
      <c r="B5617" s="138">
        <f>'Revenues 9-14'!F152</f>
        <v>63987</v>
      </c>
      <c r="D5617" s="2" t="str">
        <f t="shared" si="86"/>
        <v>Error?</v>
      </c>
    </row>
    <row r="5618" spans="1:4" x14ac:dyDescent="0.2">
      <c r="A5618" s="5">
        <v>5557</v>
      </c>
      <c r="B5618" s="138">
        <f>'Revenues 9-14'!F154</f>
        <v>206061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206061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206061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444296</v>
      </c>
      <c r="C5720" s="2" t="s">
        <v>594</v>
      </c>
      <c r="D5720" s="2" t="str">
        <f t="shared" si="88"/>
        <v>Error?</v>
      </c>
    </row>
    <row r="5721" spans="1:4" x14ac:dyDescent="0.2">
      <c r="A5721" s="5">
        <v>5660</v>
      </c>
      <c r="B5721" s="138">
        <f>'Revenues 9-14'!G5</f>
        <v>151827</v>
      </c>
      <c r="D5721" s="2" t="str">
        <f t="shared" si="88"/>
        <v>Error?</v>
      </c>
    </row>
    <row r="5722" spans="1:4" x14ac:dyDescent="0.2">
      <c r="A5722" s="5">
        <v>5661</v>
      </c>
      <c r="B5722" s="138">
        <f>'Revenues 9-14'!G7</f>
        <v>0</v>
      </c>
      <c r="D5722" s="2" t="str">
        <f t="shared" si="88"/>
        <v>Error?</v>
      </c>
    </row>
    <row r="5723" spans="1:4" x14ac:dyDescent="0.2">
      <c r="A5723" s="5">
        <v>5662</v>
      </c>
      <c r="B5723" s="138">
        <f>'Revenues 9-14'!G8</f>
        <v>115421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267248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6342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6342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273590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59245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59245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28421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28421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87666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59245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59245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3759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3759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63004</v>
      </c>
      <c r="C6023" s="2" t="s">
        <v>594</v>
      </c>
      <c r="D6023" s="2" t="str">
        <f t="shared" si="93"/>
        <v>Error?</v>
      </c>
    </row>
    <row r="6024" spans="1:5" x14ac:dyDescent="0.2">
      <c r="A6024" s="5">
        <v>5963</v>
      </c>
      <c r="B6024" s="138">
        <f>'Revenues 9-14'!G109</f>
        <v>273590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87666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63004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19367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30329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564.38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436256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t="str">
        <f>'Assets-Liab 5-6'!J25</f>
        <v xml:space="preserve"> </v>
      </c>
      <c r="D6131" s="2" t="e">
        <f t="shared" si="94"/>
        <v>#VALUE!</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26266</v>
      </c>
      <c r="D6142" s="2" t="str">
        <f t="shared" si="94"/>
        <v>Error?</v>
      </c>
      <c r="E6142" s="2" t="s">
        <v>199</v>
      </c>
    </row>
    <row r="6143" spans="1:5" x14ac:dyDescent="0.2">
      <c r="A6143">
        <v>6082</v>
      </c>
      <c r="B6143" s="138">
        <f>'Assets-Liab 5-6'!D27</f>
        <v>2568</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1525</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436256</v>
      </c>
      <c r="D6215" s="2" t="str">
        <f t="shared" si="96"/>
        <v>Error?</v>
      </c>
      <c r="E6215" s="2" t="s">
        <v>199</v>
      </c>
    </row>
    <row r="6216" spans="1:5" x14ac:dyDescent="0.2">
      <c r="A6216">
        <v>6155</v>
      </c>
      <c r="B6216" s="138">
        <f>'Assets-Liab 5-6'!J41</f>
        <v>436256</v>
      </c>
      <c r="D6216" s="2" t="str">
        <f t="shared" si="96"/>
        <v>Error?</v>
      </c>
      <c r="E6216" s="2" t="s">
        <v>199</v>
      </c>
    </row>
    <row r="6217" spans="1:5" x14ac:dyDescent="0.2">
      <c r="A6217">
        <v>6156</v>
      </c>
      <c r="B6217" s="138">
        <f>'Assets-Liab 5-6'!J4</f>
        <v>19899</v>
      </c>
      <c r="D6217" s="2" t="str">
        <f t="shared" si="96"/>
        <v>Error?</v>
      </c>
      <c r="E6217" s="2" t="s">
        <v>199</v>
      </c>
    </row>
    <row r="6218" spans="1:5" x14ac:dyDescent="0.2">
      <c r="A6218">
        <v>6157</v>
      </c>
      <c r="B6218" s="138">
        <f>'Assets-Liab 5-6'!J5</f>
        <v>416357</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172980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172980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172980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108922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108922</v>
      </c>
      <c r="D6229" s="2" t="str">
        <f t="shared" si="96"/>
        <v>Error?</v>
      </c>
      <c r="E6229" s="2" t="s">
        <v>199</v>
      </c>
    </row>
    <row r="6230" spans="1:5" x14ac:dyDescent="0.2">
      <c r="A6230">
        <v>6169</v>
      </c>
      <c r="B6230" s="138">
        <f>'Acct Summary 7-8'!J20</f>
        <v>64058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t="str">
        <f>'Acct Summary 7-8'!D54</f>
        <v xml:space="preserve"> </v>
      </c>
      <c r="D6241" s="2" t="e">
        <f t="shared" si="96"/>
        <v>#VALUE!</v>
      </c>
      <c r="E6241" s="2" t="s">
        <v>199</v>
      </c>
    </row>
    <row r="6242" spans="1:5" x14ac:dyDescent="0.2">
      <c r="A6242">
        <v>6181</v>
      </c>
      <c r="B6242" s="138" t="str">
        <f>'Acct Summary 7-8'!H54</f>
        <v xml:space="preserve"> </v>
      </c>
      <c r="D6242" s="2" t="e">
        <f t="shared" si="96"/>
        <v>#VALUE!</v>
      </c>
      <c r="E6242" s="2" t="s">
        <v>199</v>
      </c>
    </row>
    <row r="6243" spans="1:5" x14ac:dyDescent="0.2">
      <c r="A6243">
        <v>6182</v>
      </c>
      <c r="B6243" s="138">
        <f>'Acct Summary 7-8'!C58</f>
        <v>0</v>
      </c>
      <c r="D6243" s="2" t="str">
        <f t="shared" si="96"/>
        <v>Error?</v>
      </c>
      <c r="E6243" s="2" t="s">
        <v>199</v>
      </c>
    </row>
    <row r="6244" spans="1:5" x14ac:dyDescent="0.2">
      <c r="A6244">
        <v>6183</v>
      </c>
      <c r="B6244" s="138" t="str">
        <f>'Acct Summary 7-8'!D58</f>
        <v xml:space="preserve"> </v>
      </c>
      <c r="D6244" s="2" t="e">
        <f t="shared" si="96"/>
        <v>#VALUE!</v>
      </c>
      <c r="E6244" s="2" t="s">
        <v>199</v>
      </c>
    </row>
    <row r="6245" spans="1:5" x14ac:dyDescent="0.2">
      <c r="A6245">
        <v>6184</v>
      </c>
      <c r="B6245" s="138" t="str">
        <f>'Acct Summary 7-8'!H58</f>
        <v xml:space="preserve"> </v>
      </c>
      <c r="D6245" s="2" t="e">
        <f t="shared" si="96"/>
        <v>#VALUE!</v>
      </c>
      <c r="E6245" s="2" t="s">
        <v>199</v>
      </c>
    </row>
    <row r="6246" spans="1:5" x14ac:dyDescent="0.2">
      <c r="A6246">
        <v>6185</v>
      </c>
      <c r="B6246" s="138">
        <f>'Acct Summary 7-8'!C62</f>
        <v>0</v>
      </c>
      <c r="D6246" s="2" t="str">
        <f t="shared" si="96"/>
        <v>Error?</v>
      </c>
      <c r="E6246" s="2" t="s">
        <v>199</v>
      </c>
    </row>
    <row r="6247" spans="1:5" x14ac:dyDescent="0.2">
      <c r="A6247">
        <v>6186</v>
      </c>
      <c r="B6247" s="138" t="str">
        <f>'Acct Summary 7-8'!D62</f>
        <v xml:space="preserve"> </v>
      </c>
      <c r="D6247" s="2" t="e">
        <f t="shared" si="96"/>
        <v>#VALUE!</v>
      </c>
      <c r="E6247" s="2" t="s">
        <v>199</v>
      </c>
    </row>
    <row r="6248" spans="1:5" x14ac:dyDescent="0.2">
      <c r="A6248">
        <v>6187</v>
      </c>
      <c r="B6248" s="138">
        <f>'Acct Summary 7-8'!C66</f>
        <v>0</v>
      </c>
      <c r="D6248" s="2" t="str">
        <f t="shared" si="96"/>
        <v>Error?</v>
      </c>
      <c r="E6248" s="2" t="s">
        <v>199</v>
      </c>
    </row>
    <row r="6249" spans="1:5" x14ac:dyDescent="0.2">
      <c r="A6249">
        <v>6188</v>
      </c>
      <c r="B6249" s="138" t="str">
        <f>'Acct Summary 7-8'!D66</f>
        <v xml:space="preserve"> </v>
      </c>
      <c r="D6249" s="2" t="e">
        <f t="shared" si="96"/>
        <v>#VALUE!</v>
      </c>
      <c r="E6249" s="2" t="s">
        <v>199</v>
      </c>
    </row>
    <row r="6250" spans="1:5" x14ac:dyDescent="0.2">
      <c r="A6250">
        <v>6189</v>
      </c>
      <c r="B6250" s="138">
        <f>'Acct Summary 7-8'!C70</f>
        <v>0</v>
      </c>
      <c r="D6250" s="2" t="str">
        <f t="shared" si="96"/>
        <v>Error?</v>
      </c>
      <c r="E6250" s="2" t="s">
        <v>199</v>
      </c>
    </row>
    <row r="6251" spans="1:5" x14ac:dyDescent="0.2">
      <c r="A6251">
        <v>6190</v>
      </c>
      <c r="B6251" s="138" t="str">
        <f>'Acct Summary 7-8'!D70</f>
        <v xml:space="preserve"> </v>
      </c>
      <c r="D6251" s="2" t="e">
        <f t="shared" si="96"/>
        <v>#VALUE!</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t="str">
        <f>'Acct Summary 7-8'!G74</f>
        <v xml:space="preserve"> </v>
      </c>
      <c r="D6255" s="2" t="e">
        <f t="shared" si="96"/>
        <v>#VALUE!</v>
      </c>
      <c r="E6255" s="2" t="s">
        <v>199</v>
      </c>
    </row>
    <row r="6256" spans="1:5" x14ac:dyDescent="0.2">
      <c r="A6256">
        <v>6195</v>
      </c>
      <c r="B6256" s="138">
        <f>'Acct Summary 7-8'!H74</f>
        <v>0</v>
      </c>
      <c r="D6256" s="2" t="str">
        <f t="shared" si="96"/>
        <v>Error?</v>
      </c>
      <c r="E6256" s="2" t="s">
        <v>199</v>
      </c>
    </row>
    <row r="6257" spans="1:5" x14ac:dyDescent="0.2">
      <c r="A6257">
        <v>6196</v>
      </c>
      <c r="B6257" s="138" t="str">
        <f>'Acct Summary 7-8'!K74</f>
        <v xml:space="preserve"> </v>
      </c>
      <c r="D6257" s="2" t="e">
        <f t="shared" si="96"/>
        <v>#VALUE!</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64058</v>
      </c>
      <c r="D6263" s="2" t="str">
        <f t="shared" si="96"/>
        <v>Error?</v>
      </c>
      <c r="E6263" s="2" t="s">
        <v>199</v>
      </c>
    </row>
    <row r="6264" spans="1:5" x14ac:dyDescent="0.2">
      <c r="A6264">
        <v>6203</v>
      </c>
      <c r="B6264" s="138">
        <f>'Acct Summary 7-8'!J79</f>
        <v>372198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436256</v>
      </c>
      <c r="D6266" s="2" t="str">
        <f t="shared" si="96"/>
        <v>Error?</v>
      </c>
      <c r="E6266" s="2" t="s">
        <v>199</v>
      </c>
    </row>
    <row r="6267" spans="1:5" x14ac:dyDescent="0.2">
      <c r="A6267">
        <v>6206</v>
      </c>
      <c r="B6267" s="138">
        <f>'Acct Summary 7-8'!C82</f>
        <v>447516</v>
      </c>
      <c r="D6267" s="2" t="str">
        <f t="shared" si="96"/>
        <v>Error?</v>
      </c>
      <c r="E6267" s="2" t="s">
        <v>199</v>
      </c>
    </row>
    <row r="6268" spans="1:5" x14ac:dyDescent="0.2">
      <c r="A6268">
        <v>6207</v>
      </c>
      <c r="B6268" s="138">
        <f>'Acct Summary 7-8'!D82</f>
        <v>92693</v>
      </c>
      <c r="D6268" s="2" t="str">
        <f t="shared" si="96"/>
        <v>Error?</v>
      </c>
      <c r="E6268" s="2" t="s">
        <v>199</v>
      </c>
    </row>
    <row r="6269" spans="1:5" x14ac:dyDescent="0.2">
      <c r="A6269">
        <v>6208</v>
      </c>
      <c r="B6269" s="138">
        <f>'Acct Summary 7-8'!E82</f>
        <v>14071</v>
      </c>
      <c r="D6269" s="2" t="str">
        <f t="shared" si="96"/>
        <v>Error?</v>
      </c>
      <c r="E6269" s="2" t="s">
        <v>199</v>
      </c>
    </row>
    <row r="6270" spans="1:5" x14ac:dyDescent="0.2">
      <c r="A6270">
        <v>6209</v>
      </c>
      <c r="B6270" s="138">
        <f>'Acct Summary 7-8'!F82</f>
        <v>11765</v>
      </c>
      <c r="D6270" s="2" t="str">
        <f t="shared" si="96"/>
        <v>Error?</v>
      </c>
      <c r="E6270" s="2" t="s">
        <v>199</v>
      </c>
    </row>
    <row r="6271" spans="1:5" x14ac:dyDescent="0.2">
      <c r="A6271">
        <v>6210</v>
      </c>
      <c r="B6271" s="138">
        <f>'Acct Summary 7-8'!G82</f>
        <v>71135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-529949</v>
      </c>
      <c r="D6273" s="2" t="str">
        <f t="shared" si="97"/>
        <v>Error?</v>
      </c>
      <c r="E6273" s="2" t="s">
        <v>199</v>
      </c>
    </row>
    <row r="6274" spans="1:5" x14ac:dyDescent="0.2">
      <c r="A6274">
        <v>6213</v>
      </c>
      <c r="B6274" s="138">
        <f>'Acct Summary 7-8'!J82</f>
        <v>64058</v>
      </c>
      <c r="D6274" s="2" t="str">
        <f t="shared" si="97"/>
        <v>Error?</v>
      </c>
      <c r="E6274" s="2" t="s">
        <v>199</v>
      </c>
    </row>
    <row r="6275" spans="1:5" x14ac:dyDescent="0.2">
      <c r="A6275">
        <v>6214</v>
      </c>
      <c r="B6275" s="138">
        <f>'Acct Summary 7-8'!K82</f>
        <v>63004</v>
      </c>
      <c r="D6275" s="2" t="str">
        <f t="shared" si="97"/>
        <v>Error?</v>
      </c>
      <c r="E6275" s="2" t="s">
        <v>199</v>
      </c>
    </row>
    <row r="6276" spans="1:5" x14ac:dyDescent="0.2">
      <c r="A6276">
        <v>6215</v>
      </c>
      <c r="B6276" s="138">
        <f>'Acct Summary 7-8'!C83</f>
        <v>0.16113098022102421</v>
      </c>
      <c r="D6276" s="2" t="str">
        <f t="shared" si="97"/>
        <v>Error?</v>
      </c>
      <c r="E6276" s="2" t="s">
        <v>199</v>
      </c>
    </row>
    <row r="6277" spans="1:5" x14ac:dyDescent="0.2">
      <c r="A6277">
        <v>6216</v>
      </c>
      <c r="B6277" s="138">
        <f>'Acct Summary 7-8'!D83</f>
        <v>0.12152697656856369</v>
      </c>
      <c r="D6277" s="2" t="str">
        <f t="shared" si="97"/>
        <v>Error?</v>
      </c>
      <c r="E6277" s="2" t="s">
        <v>199</v>
      </c>
    </row>
    <row r="6278" spans="1:5" x14ac:dyDescent="0.2">
      <c r="A6278">
        <v>6217</v>
      </c>
      <c r="B6278" s="138">
        <f>'Acct Summary 7-8'!E83</f>
        <v>2.8951304773642401E-2</v>
      </c>
      <c r="D6278" s="2" t="str">
        <f t="shared" si="97"/>
        <v>Error?</v>
      </c>
      <c r="E6278" s="2" t="s">
        <v>199</v>
      </c>
    </row>
    <row r="6279" spans="1:5" x14ac:dyDescent="0.2">
      <c r="A6279">
        <v>6218</v>
      </c>
      <c r="B6279" s="138">
        <f>'Acct Summary 7-8'!F83</f>
        <v>0.11107020127638684</v>
      </c>
      <c r="D6279" s="2" t="str">
        <f t="shared" si="97"/>
        <v>Error?</v>
      </c>
      <c r="E6279" s="2" t="s">
        <v>199</v>
      </c>
    </row>
    <row r="6280" spans="1:5" x14ac:dyDescent="0.2">
      <c r="A6280">
        <v>6219</v>
      </c>
      <c r="B6280" s="138">
        <f>'Acct Summary 7-8'!G83</f>
        <v>0.12638313446518801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-0.31835154919965925</v>
      </c>
      <c r="D6282" s="2" t="str">
        <f t="shared" si="97"/>
        <v>Error?</v>
      </c>
      <c r="E6282" s="2" t="s">
        <v>199</v>
      </c>
    </row>
    <row r="6283" spans="1:5" x14ac:dyDescent="0.2">
      <c r="A6283">
        <v>6222</v>
      </c>
      <c r="B6283" s="138">
        <f>'Acct Summary 7-8'!J83</f>
        <v>0.14683580283136508</v>
      </c>
      <c r="D6283" s="2" t="str">
        <f t="shared" si="97"/>
        <v>Error?</v>
      </c>
      <c r="E6283" s="2" t="s">
        <v>199</v>
      </c>
    </row>
    <row r="6284" spans="1:5" x14ac:dyDescent="0.2">
      <c r="A6284">
        <v>6223</v>
      </c>
      <c r="B6284" s="138">
        <f>'Acct Summary 7-8'!K83</f>
        <v>0.19342459529240566</v>
      </c>
      <c r="D6284" s="2" t="str">
        <f t="shared" si="97"/>
        <v>Error?</v>
      </c>
      <c r="E6284" s="2" t="s">
        <v>199</v>
      </c>
    </row>
    <row r="6285" spans="1:5" x14ac:dyDescent="0.2">
      <c r="A6285">
        <v>6224</v>
      </c>
      <c r="B6285" s="138">
        <f>'Acct Summary 7-8'!E37</f>
        <v>16536</v>
      </c>
      <c r="D6285" s="2" t="str">
        <f t="shared" si="97"/>
        <v>Error?</v>
      </c>
      <c r="E6285" s="2" t="s">
        <v>199</v>
      </c>
    </row>
    <row r="6286" spans="1:5" x14ac:dyDescent="0.2">
      <c r="A6286">
        <v>6225</v>
      </c>
      <c r="B6286" s="138">
        <f>'Acct Summary 7-8'!E38</f>
        <v>2198</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166032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166032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4632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4632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6877</v>
      </c>
      <c r="D6339" s="2" t="str">
        <f t="shared" si="98"/>
        <v>Error?</v>
      </c>
      <c r="E6339" s="2" t="s">
        <v>199</v>
      </c>
    </row>
    <row r="6340" spans="1:5" x14ac:dyDescent="0.2">
      <c r="A6340">
        <v>6279</v>
      </c>
      <c r="B6340" s="138">
        <f>'Revenues 9-14'!C102</f>
        <v>3000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t="str">
        <f>'Revenues 9-14'!I102</f>
        <v xml:space="preserve"> </v>
      </c>
      <c r="D6346" s="2" t="e">
        <f t="shared" si="98"/>
        <v>#VALUE!</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2316</v>
      </c>
      <c r="D6350" s="2" t="str">
        <f t="shared" si="98"/>
        <v>Error?</v>
      </c>
      <c r="E6350" s="2" t="s">
        <v>199</v>
      </c>
    </row>
    <row r="6351" spans="1:5" x14ac:dyDescent="0.2">
      <c r="A6351">
        <v>6290</v>
      </c>
      <c r="B6351" s="138">
        <f>'Revenues 9-14'!J108</f>
        <v>2316</v>
      </c>
      <c r="D6351" s="2" t="str">
        <f t="shared" si="98"/>
        <v>Error?</v>
      </c>
      <c r="E6351" s="2" t="s">
        <v>199</v>
      </c>
    </row>
    <row r="6352" spans="1:5" x14ac:dyDescent="0.2">
      <c r="A6352">
        <v>6291</v>
      </c>
      <c r="B6352" s="138">
        <f>'Revenues 9-14'!J109</f>
        <v>172980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2985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t="str">
        <f>'Revenues 9-14'!G197</f>
        <v xml:space="preserve"> </v>
      </c>
      <c r="D6406" s="2" t="e">
        <f t="shared" si="99"/>
        <v>#VALUE!</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t="str">
        <f>'Revenues 9-14'!G208</f>
        <v xml:space="preserve"> </v>
      </c>
      <c r="D6413" s="2" t="e">
        <f t="shared" si="99"/>
        <v>#VALUE!</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99283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137634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60589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t="str">
        <f>'Expenditures 15-22'!H20</f>
        <v xml:space="preserve"> </v>
      </c>
      <c r="D6876" s="2" t="e">
        <f t="shared" si="106"/>
        <v>#VALUE!</v>
      </c>
    </row>
    <row r="6877" spans="1:4" x14ac:dyDescent="0.2">
      <c r="A6877">
        <v>6816</v>
      </c>
      <c r="B6877" s="138">
        <f>'Expenditures 15-22'!K20</f>
        <v>0</v>
      </c>
      <c r="D6877" s="2" t="str">
        <f t="shared" si="106"/>
        <v>Error?</v>
      </c>
    </row>
    <row r="6878" spans="1:4" x14ac:dyDescent="0.2">
      <c r="A6878">
        <v>6817</v>
      </c>
      <c r="B6878" s="138" t="str">
        <f>'Expenditures 15-22'!H21</f>
        <v xml:space="preserve"> </v>
      </c>
      <c r="D6878" s="2" t="e">
        <f t="shared" si="106"/>
        <v>#VALUE!</v>
      </c>
    </row>
    <row r="6879" spans="1:4" x14ac:dyDescent="0.2">
      <c r="A6879">
        <v>6818</v>
      </c>
      <c r="B6879" s="138">
        <f>'Expenditures 15-22'!K21</f>
        <v>0</v>
      </c>
      <c r="D6879" s="2" t="str">
        <f t="shared" si="106"/>
        <v>Error?</v>
      </c>
    </row>
    <row r="6880" spans="1:4" x14ac:dyDescent="0.2">
      <c r="A6880">
        <v>6819</v>
      </c>
      <c r="B6880" s="138">
        <f>'Expenditures 15-22'!H22</f>
        <v>171934</v>
      </c>
      <c r="D6880" s="2" t="str">
        <f t="shared" si="106"/>
        <v>Error?</v>
      </c>
    </row>
    <row r="6881" spans="1:4" x14ac:dyDescent="0.2">
      <c r="A6881">
        <v>6820</v>
      </c>
      <c r="B6881" s="138">
        <f>'Expenditures 15-22'!K22</f>
        <v>171934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t="str">
        <f>'Expenditures 15-22'!H24</f>
        <v xml:space="preserve"> </v>
      </c>
      <c r="D6884" s="2" t="e">
        <f t="shared" si="106"/>
        <v>#VALUE!</v>
      </c>
    </row>
    <row r="6885" spans="1:4" x14ac:dyDescent="0.2">
      <c r="A6885">
        <v>6824</v>
      </c>
      <c r="B6885" s="138">
        <f>'Expenditures 15-22'!K24</f>
        <v>0</v>
      </c>
      <c r="D6885" s="2" t="str">
        <f t="shared" si="106"/>
        <v>Error?</v>
      </c>
    </row>
    <row r="6886" spans="1:4" x14ac:dyDescent="0.2">
      <c r="A6886">
        <v>6825</v>
      </c>
      <c r="B6886" s="138" t="str">
        <f>'Expenditures 15-22'!H25</f>
        <v xml:space="preserve"> </v>
      </c>
      <c r="D6886" s="2" t="e">
        <f t="shared" si="106"/>
        <v>#VALUE!</v>
      </c>
    </row>
    <row r="6887" spans="1:4" x14ac:dyDescent="0.2">
      <c r="A6887">
        <v>6826</v>
      </c>
      <c r="B6887" s="138">
        <f>'Expenditures 15-22'!K25</f>
        <v>0</v>
      </c>
      <c r="D6887" s="2" t="str">
        <f t="shared" si="106"/>
        <v>Error?</v>
      </c>
    </row>
    <row r="6888" spans="1:4" x14ac:dyDescent="0.2">
      <c r="A6888">
        <v>6827</v>
      </c>
      <c r="B6888" s="138" t="str">
        <f>'Expenditures 15-22'!H26</f>
        <v xml:space="preserve"> </v>
      </c>
      <c r="D6888" s="2" t="e">
        <f t="shared" si="106"/>
        <v>#VALUE!</v>
      </c>
    </row>
    <row r="6889" spans="1:4" x14ac:dyDescent="0.2">
      <c r="A6889">
        <v>6828</v>
      </c>
      <c r="B6889" s="138">
        <f>'Expenditures 15-22'!K26</f>
        <v>0</v>
      </c>
      <c r="D6889" s="2" t="str">
        <f t="shared" si="106"/>
        <v>Error?</v>
      </c>
    </row>
    <row r="6890" spans="1:4" x14ac:dyDescent="0.2">
      <c r="A6890">
        <v>6829</v>
      </c>
      <c r="B6890" s="138" t="str">
        <f>'Expenditures 15-22'!H27</f>
        <v xml:space="preserve"> </v>
      </c>
      <c r="D6890" s="2" t="e">
        <f t="shared" si="106"/>
        <v>#VALUE!</v>
      </c>
    </row>
    <row r="6891" spans="1:4" x14ac:dyDescent="0.2">
      <c r="A6891">
        <v>6830</v>
      </c>
      <c r="B6891" s="138">
        <f>'Expenditures 15-22'!K27</f>
        <v>0</v>
      </c>
      <c r="D6891" s="2" t="str">
        <f t="shared" si="106"/>
        <v>Error?</v>
      </c>
    </row>
    <row r="6892" spans="1:4" x14ac:dyDescent="0.2">
      <c r="A6892">
        <v>6831</v>
      </c>
      <c r="B6892" s="138" t="str">
        <f>'Expenditures 15-22'!H28</f>
        <v xml:space="preserve"> </v>
      </c>
      <c r="D6892" s="2" t="e">
        <f t="shared" si="106"/>
        <v>#VALUE!</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t="str">
        <f>'Expenditures 15-22'!H30</f>
        <v xml:space="preserve"> </v>
      </c>
      <c r="D6896" s="2" t="e">
        <f t="shared" si="106"/>
        <v>#VALUE!</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97201</v>
      </c>
      <c r="D6981" s="2" t="str">
        <f t="shared" si="108"/>
        <v>Error?</v>
      </c>
    </row>
    <row r="6982" spans="1:4" x14ac:dyDescent="0.2">
      <c r="A6982">
        <v>6921</v>
      </c>
      <c r="B6982" s="138">
        <f>'Expenditures 15-22'!K85</f>
        <v>97201</v>
      </c>
      <c r="D6982" s="2" t="str">
        <f t="shared" si="108"/>
        <v>Error?</v>
      </c>
    </row>
    <row r="6983" spans="1:4" x14ac:dyDescent="0.2">
      <c r="A6983">
        <v>6922</v>
      </c>
      <c r="B6983" s="138">
        <f>'Expenditures 15-22'!H86</f>
        <v>145338</v>
      </c>
      <c r="D6983" s="2" t="str">
        <f t="shared" si="108"/>
        <v>Error?</v>
      </c>
    </row>
    <row r="6984" spans="1:4" x14ac:dyDescent="0.2">
      <c r="A6984">
        <v>6923</v>
      </c>
      <c r="B6984" s="138">
        <f>'Expenditures 15-22'!K86</f>
        <v>145338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4500</v>
      </c>
      <c r="D6989" s="2" t="str">
        <f t="shared" si="108"/>
        <v>Error?</v>
      </c>
    </row>
    <row r="6990" spans="1:4" x14ac:dyDescent="0.2">
      <c r="A6990">
        <v>6929</v>
      </c>
      <c r="B6990" s="138">
        <f>'Expenditures 15-22'!K89</f>
        <v>4500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247039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108922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172980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t="str">
        <f>'Expenditures 15-22'!H205</f>
        <v xml:space="preserve"> </v>
      </c>
      <c r="D7067" s="2" t="e">
        <f t="shared" si="109"/>
        <v>#VALUE!</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10697</v>
      </c>
      <c r="D7073" s="2" t="str">
        <f t="shared" si="109"/>
        <v>Error?</v>
      </c>
    </row>
    <row r="7074" spans="1:4" x14ac:dyDescent="0.2">
      <c r="A7074">
        <v>7013</v>
      </c>
      <c r="B7074" s="138">
        <f>'Expenditures 15-22'!K216</f>
        <v>10697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169</v>
      </c>
      <c r="D7079" s="2" t="str">
        <f t="shared" si="109"/>
        <v>Error?</v>
      </c>
    </row>
    <row r="7080" spans="1:4" x14ac:dyDescent="0.2">
      <c r="A7080">
        <v>7019</v>
      </c>
      <c r="B7080" s="138">
        <f>'Expenditures 15-22'!K226</f>
        <v>169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82055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82055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9901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9901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10202</v>
      </c>
      <c r="D7174" s="2" t="str">
        <f t="shared" si="111"/>
        <v>Error?</v>
      </c>
    </row>
    <row r="7175" spans="1:4" x14ac:dyDescent="0.2">
      <c r="A7175">
        <v>7114</v>
      </c>
      <c r="B7175" s="138">
        <f>'Expenditures 15-22'!F325</f>
        <v>653</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10855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6111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6111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108269</v>
      </c>
      <c r="D7201" s="2" t="str">
        <f t="shared" si="111"/>
        <v>Error?</v>
      </c>
    </row>
    <row r="7202" spans="1:4" x14ac:dyDescent="0.2">
      <c r="A7202">
        <v>7141</v>
      </c>
      <c r="B7202" s="138">
        <f>'Expenditures 15-22'!F330</f>
        <v>653</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108922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108269</v>
      </c>
      <c r="D7218" s="2" t="str">
        <f t="shared" si="111"/>
        <v>Error?</v>
      </c>
    </row>
    <row r="7219" spans="1:4" x14ac:dyDescent="0.2">
      <c r="A7219">
        <v>7158</v>
      </c>
      <c r="B7219" s="138">
        <f>'Expenditures 15-22'!F342</f>
        <v>653</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108922</v>
      </c>
      <c r="D7224" s="2" t="str">
        <f t="shared" si="111"/>
        <v>Error?</v>
      </c>
    </row>
    <row r="7225" spans="1:4" x14ac:dyDescent="0.2">
      <c r="A7225">
        <v>7164</v>
      </c>
      <c r="B7225" s="138">
        <f>'Expenditures 15-22'!K343</f>
        <v>64058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t="str">
        <f>'Expenditures 15-22'!H363</f>
        <v xml:space="preserve"> </v>
      </c>
      <c r="D7240" s="2" t="e">
        <f t="shared" si="112"/>
        <v>#VALUE!</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17060</v>
      </c>
      <c r="D7246" s="2" t="str">
        <f t="shared" si="112"/>
        <v>Error?</v>
      </c>
    </row>
    <row r="7247" spans="1:4" x14ac:dyDescent="0.2">
      <c r="A7247">
        <f t="shared" si="113"/>
        <v>7186</v>
      </c>
      <c r="B7247" s="138">
        <f>'Expenditures 15-22'!E7</f>
        <v>2988</v>
      </c>
      <c r="D7247" s="2" t="str">
        <f t="shared" si="112"/>
        <v>Error?</v>
      </c>
    </row>
    <row r="7248" spans="1:4" x14ac:dyDescent="0.2">
      <c r="A7248">
        <f t="shared" si="113"/>
        <v>7187</v>
      </c>
      <c r="B7248" s="138">
        <f>'Expenditures 15-22'!F7</f>
        <v>18303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55896</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4693</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515571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t="str">
        <f>'Acct Summary 7-8'!D55</f>
        <v xml:space="preserve"> </v>
      </c>
      <c r="D7652" s="2" t="e">
        <f t="shared" si="124"/>
        <v>#VALUE!</v>
      </c>
      <c r="E7652" s="2" t="s">
        <v>881</v>
      </c>
    </row>
    <row r="7653" spans="1:5" x14ac:dyDescent="0.2">
      <c r="A7653">
        <v>7592</v>
      </c>
      <c r="B7653" s="138" t="str">
        <f>'Acct Summary 7-8'!H55</f>
        <v xml:space="preserve"> </v>
      </c>
      <c r="D7653" s="2" t="e">
        <f t="shared" si="124"/>
        <v>#VALUE!</v>
      </c>
      <c r="E7653" s="2" t="s">
        <v>881</v>
      </c>
    </row>
    <row r="7654" spans="1:5" x14ac:dyDescent="0.2">
      <c r="A7654">
        <v>7593</v>
      </c>
      <c r="B7654" s="138">
        <f>'Acct Summary 7-8'!C56</f>
        <v>16536</v>
      </c>
      <c r="D7654" s="2" t="str">
        <f t="shared" si="124"/>
        <v>Error?</v>
      </c>
      <c r="E7654" s="2" t="s">
        <v>881</v>
      </c>
    </row>
    <row r="7655" spans="1:5" x14ac:dyDescent="0.2">
      <c r="A7655">
        <v>7594</v>
      </c>
      <c r="B7655" s="138" t="str">
        <f>'Acct Summary 7-8'!D56</f>
        <v xml:space="preserve"> </v>
      </c>
      <c r="D7655" s="2" t="e">
        <f t="shared" si="124"/>
        <v>#VALUE!</v>
      </c>
      <c r="E7655" s="2" t="s">
        <v>881</v>
      </c>
    </row>
    <row r="7656" spans="1:5" x14ac:dyDescent="0.2">
      <c r="A7656">
        <v>7595</v>
      </c>
      <c r="B7656" s="138" t="str">
        <f>'Acct Summary 7-8'!H56</f>
        <v xml:space="preserve"> </v>
      </c>
      <c r="D7656" s="2" t="e">
        <f t="shared" si="124"/>
        <v>#VALUE!</v>
      </c>
      <c r="E7656" s="2" t="s">
        <v>881</v>
      </c>
    </row>
    <row r="7657" spans="1:5" x14ac:dyDescent="0.2">
      <c r="A7657">
        <v>7596</v>
      </c>
      <c r="B7657" s="138">
        <f>'Acct Summary 7-8'!C57</f>
        <v>0</v>
      </c>
      <c r="D7657" s="2" t="str">
        <f t="shared" si="124"/>
        <v>Error?</v>
      </c>
      <c r="E7657" s="2" t="s">
        <v>881</v>
      </c>
    </row>
    <row r="7658" spans="1:5" x14ac:dyDescent="0.2">
      <c r="A7658">
        <v>7597</v>
      </c>
      <c r="B7658" s="138" t="str">
        <f>'Acct Summary 7-8'!D57</f>
        <v xml:space="preserve"> </v>
      </c>
      <c r="D7658" s="2" t="e">
        <f t="shared" si="124"/>
        <v>#VALUE!</v>
      </c>
      <c r="E7658" s="2" t="s">
        <v>881</v>
      </c>
    </row>
    <row r="7659" spans="1:5" x14ac:dyDescent="0.2">
      <c r="A7659">
        <v>7598</v>
      </c>
      <c r="B7659" s="138" t="str">
        <f>'Acct Summary 7-8'!H57</f>
        <v xml:space="preserve"> </v>
      </c>
      <c r="D7659" s="2" t="e">
        <f t="shared" si="124"/>
        <v>#VALUE!</v>
      </c>
      <c r="E7659" s="2" t="s">
        <v>881</v>
      </c>
    </row>
    <row r="7660" spans="1:5" x14ac:dyDescent="0.2">
      <c r="A7660">
        <v>7599</v>
      </c>
      <c r="B7660" s="138">
        <f>'Acct Summary 7-8'!C59</f>
        <v>0</v>
      </c>
      <c r="D7660" s="2" t="str">
        <f t="shared" si="124"/>
        <v>Error?</v>
      </c>
      <c r="E7660" s="2" t="s">
        <v>881</v>
      </c>
    </row>
    <row r="7661" spans="1:5" x14ac:dyDescent="0.2">
      <c r="A7661">
        <v>7600</v>
      </c>
      <c r="B7661" s="138" t="str">
        <f>'Acct Summary 7-8'!D59</f>
        <v xml:space="preserve"> </v>
      </c>
      <c r="D7661" s="2" t="e">
        <f t="shared" si="124"/>
        <v>#VALUE!</v>
      </c>
      <c r="E7661" s="2" t="s">
        <v>881</v>
      </c>
    </row>
    <row r="7662" spans="1:5" x14ac:dyDescent="0.2">
      <c r="A7662">
        <v>7601</v>
      </c>
      <c r="B7662" s="138" t="str">
        <f>'Acct Summary 7-8'!H59</f>
        <v xml:space="preserve"> </v>
      </c>
      <c r="D7662" s="2" t="e">
        <f t="shared" si="124"/>
        <v>#VALUE!</v>
      </c>
      <c r="E7662" s="2" t="s">
        <v>881</v>
      </c>
    </row>
    <row r="7663" spans="1:5" x14ac:dyDescent="0.2">
      <c r="A7663">
        <v>7602</v>
      </c>
      <c r="B7663" s="138">
        <f>'Acct Summary 7-8'!C60</f>
        <v>2198</v>
      </c>
      <c r="D7663" s="2" t="str">
        <f t="shared" si="124"/>
        <v>Error?</v>
      </c>
      <c r="E7663" s="2" t="s">
        <v>881</v>
      </c>
    </row>
    <row r="7664" spans="1:5" x14ac:dyDescent="0.2">
      <c r="A7664">
        <v>7603</v>
      </c>
      <c r="B7664" s="138" t="str">
        <f>'Acct Summary 7-8'!D60</f>
        <v xml:space="preserve"> </v>
      </c>
      <c r="D7664" s="2" t="e">
        <f t="shared" si="124"/>
        <v>#VALUE!</v>
      </c>
      <c r="E7664" s="2" t="s">
        <v>881</v>
      </c>
    </row>
    <row r="7665" spans="1:5" x14ac:dyDescent="0.2">
      <c r="A7665">
        <v>7604</v>
      </c>
      <c r="B7665" s="138" t="str">
        <f>'Acct Summary 7-8'!H60</f>
        <v xml:space="preserve"> </v>
      </c>
      <c r="D7665" s="2" t="e">
        <f t="shared" si="124"/>
        <v>#VALUE!</v>
      </c>
      <c r="E7665" s="2" t="s">
        <v>881</v>
      </c>
    </row>
    <row r="7666" spans="1:5" x14ac:dyDescent="0.2">
      <c r="A7666">
        <v>7605</v>
      </c>
      <c r="B7666" s="138">
        <f>'Acct Summary 7-8'!C61</f>
        <v>0</v>
      </c>
      <c r="D7666" s="2" t="str">
        <f t="shared" si="124"/>
        <v>Error?</v>
      </c>
      <c r="E7666" s="2" t="s">
        <v>881</v>
      </c>
    </row>
    <row r="7667" spans="1:5" x14ac:dyDescent="0.2">
      <c r="A7667">
        <v>7606</v>
      </c>
      <c r="B7667" s="138" t="str">
        <f>'Acct Summary 7-8'!D61</f>
        <v xml:space="preserve"> </v>
      </c>
      <c r="D7667" s="2" t="e">
        <f t="shared" si="124"/>
        <v>#VALUE!</v>
      </c>
      <c r="E7667" s="2" t="s">
        <v>881</v>
      </c>
    </row>
    <row r="7668" spans="1:5" x14ac:dyDescent="0.2">
      <c r="A7668">
        <v>7607</v>
      </c>
      <c r="B7668" s="138" t="str">
        <f>'Acct Summary 7-8'!H61</f>
        <v xml:space="preserve"> </v>
      </c>
      <c r="D7668" s="2" t="e">
        <f t="shared" si="124"/>
        <v>#VALUE!</v>
      </c>
      <c r="E7668" s="2" t="s">
        <v>881</v>
      </c>
    </row>
    <row r="7669" spans="1:5" x14ac:dyDescent="0.2">
      <c r="A7669">
        <v>7608</v>
      </c>
      <c r="B7669" s="138">
        <f>'Acct Summary 7-8'!C63</f>
        <v>0</v>
      </c>
      <c r="D7669" s="2" t="str">
        <f t="shared" si="124"/>
        <v>Error?</v>
      </c>
      <c r="E7669" s="2" t="s">
        <v>881</v>
      </c>
    </row>
    <row r="7670" spans="1:5" x14ac:dyDescent="0.2">
      <c r="A7670">
        <v>7609</v>
      </c>
      <c r="B7670" s="138" t="str">
        <f>'Acct Summary 7-8'!D63</f>
        <v xml:space="preserve"> </v>
      </c>
      <c r="D7670" s="2" t="e">
        <f t="shared" si="124"/>
        <v>#VALUE!</v>
      </c>
      <c r="E7670" s="2" t="s">
        <v>881</v>
      </c>
    </row>
    <row r="7671" spans="1:5" x14ac:dyDescent="0.2">
      <c r="A7671">
        <v>7610</v>
      </c>
      <c r="B7671" s="138">
        <f>'Acct Summary 7-8'!C64</f>
        <v>0</v>
      </c>
      <c r="D7671" s="2" t="str">
        <f t="shared" si="124"/>
        <v>Error?</v>
      </c>
      <c r="E7671" s="2" t="s">
        <v>881</v>
      </c>
    </row>
    <row r="7672" spans="1:5" x14ac:dyDescent="0.2">
      <c r="A7672">
        <v>7611</v>
      </c>
      <c r="B7672" s="138" t="str">
        <f>'Acct Summary 7-8'!D64</f>
        <v xml:space="preserve"> </v>
      </c>
      <c r="D7672" s="2" t="e">
        <f t="shared" si="124"/>
        <v>#VALUE!</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t="str">
        <f>'Acct Summary 7-8'!D67</f>
        <v xml:space="preserve"> </v>
      </c>
      <c r="D7676" s="2" t="e">
        <f t="shared" si="124"/>
        <v>#VALUE!</v>
      </c>
      <c r="E7676" s="2" t="s">
        <v>881</v>
      </c>
    </row>
    <row r="7677" spans="1:5" x14ac:dyDescent="0.2">
      <c r="A7677">
        <v>7616</v>
      </c>
      <c r="B7677" s="138">
        <f>'Acct Summary 7-8'!C68</f>
        <v>0</v>
      </c>
      <c r="D7677" s="2" t="str">
        <f t="shared" si="124"/>
        <v>Error?</v>
      </c>
      <c r="E7677" s="2" t="s">
        <v>881</v>
      </c>
    </row>
    <row r="7678" spans="1:5" x14ac:dyDescent="0.2">
      <c r="A7678">
        <v>7617</v>
      </c>
      <c r="B7678" s="138" t="str">
        <f>'Acct Summary 7-8'!D68</f>
        <v xml:space="preserve"> </v>
      </c>
      <c r="D7678" s="2" t="e">
        <f t="shared" si="124"/>
        <v>#VALUE!</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t="str">
        <f>'Acct Summary 7-8'!D71</f>
        <v xml:space="preserve"> </v>
      </c>
      <c r="D7682" s="2" t="e">
        <f t="shared" si="126"/>
        <v>#VALUE!</v>
      </c>
      <c r="E7682" s="2" t="s">
        <v>881</v>
      </c>
    </row>
    <row r="7683" spans="1:5" x14ac:dyDescent="0.2">
      <c r="A7683">
        <v>7622</v>
      </c>
      <c r="B7683" s="138">
        <f>'Acct Summary 7-8'!C72</f>
        <v>0</v>
      </c>
      <c r="D7683" s="2" t="str">
        <f t="shared" si="126"/>
        <v>Error?</v>
      </c>
      <c r="E7683" s="2" t="s">
        <v>881</v>
      </c>
    </row>
    <row r="7684" spans="1:5" x14ac:dyDescent="0.2">
      <c r="A7684">
        <v>7623</v>
      </c>
      <c r="B7684" s="138" t="str">
        <f>'Acct Summary 7-8'!D72</f>
        <v xml:space="preserve"> </v>
      </c>
      <c r="D7684" s="2" t="e">
        <f t="shared" si="126"/>
        <v>#VALUE!</v>
      </c>
      <c r="E7684" s="2" t="s">
        <v>881</v>
      </c>
    </row>
    <row r="7685" spans="1:5" x14ac:dyDescent="0.2">
      <c r="A7685">
        <v>7624</v>
      </c>
      <c r="B7685" s="138">
        <f>'Acct Summary 7-8'!C73</f>
        <v>0</v>
      </c>
      <c r="D7685" s="2" t="str">
        <f t="shared" si="126"/>
        <v>Error?</v>
      </c>
      <c r="E7685" s="2" t="s">
        <v>881</v>
      </c>
    </row>
    <row r="7686" spans="1:5" x14ac:dyDescent="0.2">
      <c r="A7686">
        <v>7625</v>
      </c>
      <c r="B7686" s="138" t="str">
        <f>'Acct Summary 7-8'!D73</f>
        <v xml:space="preserve"> </v>
      </c>
      <c r="D7686" s="2" t="e">
        <f t="shared" si="126"/>
        <v>#VALUE!</v>
      </c>
      <c r="E7686" s="2" t="s">
        <v>881</v>
      </c>
    </row>
    <row r="7687" spans="1:5" x14ac:dyDescent="0.2">
      <c r="A7687">
        <v>7626</v>
      </c>
      <c r="B7687" s="138" t="str">
        <f>'Revenues 9-14'!C199</f>
        <v xml:space="preserve"> </v>
      </c>
      <c r="D7687" s="2" t="e">
        <f t="shared" si="126"/>
        <v>#VALUE!</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t="str">
        <f>'Expenditures 15-22'!E328</f>
        <v xml:space="preserve"> </v>
      </c>
      <c r="D7690" s="2" t="e">
        <f t="shared" si="126"/>
        <v>#VALUE!</v>
      </c>
      <c r="E7690" s="2" t="s">
        <v>881</v>
      </c>
    </row>
    <row r="7691" spans="1:5" x14ac:dyDescent="0.2">
      <c r="A7691">
        <v>7630</v>
      </c>
      <c r="B7691" s="138" t="str">
        <f>'Expenditures 15-22'!F328</f>
        <v xml:space="preserve"> </v>
      </c>
      <c r="D7691" s="2" t="e">
        <f t="shared" si="126"/>
        <v>#VALUE!</v>
      </c>
      <c r="E7691" s="2" t="s">
        <v>881</v>
      </c>
    </row>
    <row r="7692" spans="1:5" x14ac:dyDescent="0.2">
      <c r="A7692">
        <v>7631</v>
      </c>
      <c r="B7692" s="138" t="str">
        <f>'Expenditures 15-22'!G328</f>
        <v xml:space="preserve"> </v>
      </c>
      <c r="D7692" s="2" t="e">
        <f t="shared" si="126"/>
        <v>#VALUE!</v>
      </c>
      <c r="E7692" s="2" t="s">
        <v>881</v>
      </c>
    </row>
    <row r="7693" spans="1:5" x14ac:dyDescent="0.2">
      <c r="A7693">
        <v>7632</v>
      </c>
      <c r="B7693" s="138" t="str">
        <f>'Expenditures 15-22'!H328</f>
        <v xml:space="preserve"> </v>
      </c>
      <c r="D7693" s="2" t="e">
        <f t="shared" si="126"/>
        <v>#VALUE!</v>
      </c>
      <c r="E7693" s="2" t="s">
        <v>881</v>
      </c>
    </row>
    <row r="7694" spans="1:5" x14ac:dyDescent="0.2">
      <c r="A7694">
        <v>7633</v>
      </c>
      <c r="B7694" s="138" t="str">
        <f>'Expenditures 15-22'!I328</f>
        <v xml:space="preserve"> </v>
      </c>
      <c r="D7694" s="2" t="e">
        <f t="shared" si="126"/>
        <v>#VALUE!</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t="str">
        <f>'Expenditures 15-22'!E329</f>
        <v xml:space="preserve"> </v>
      </c>
      <c r="D7699" s="2" t="e">
        <f t="shared" si="126"/>
        <v>#VALUE!</v>
      </c>
      <c r="E7699" s="2" t="s">
        <v>881</v>
      </c>
    </row>
    <row r="7700" spans="1:5" x14ac:dyDescent="0.2">
      <c r="A7700">
        <v>7639</v>
      </c>
      <c r="B7700" s="138" t="str">
        <f>'Expenditures 15-22'!F329</f>
        <v xml:space="preserve"> </v>
      </c>
      <c r="D7700" s="2" t="e">
        <f t="shared" si="126"/>
        <v>#VALUE!</v>
      </c>
      <c r="E7700" s="2" t="s">
        <v>881</v>
      </c>
    </row>
    <row r="7701" spans="1:5" x14ac:dyDescent="0.2">
      <c r="A7701">
        <v>7640</v>
      </c>
      <c r="B7701" s="138" t="str">
        <f>'Expenditures 15-22'!G329</f>
        <v xml:space="preserve"> </v>
      </c>
      <c r="D7701" s="2" t="e">
        <f t="shared" si="126"/>
        <v>#VALUE!</v>
      </c>
      <c r="E7701" s="2" t="s">
        <v>881</v>
      </c>
    </row>
    <row r="7702" spans="1:5" x14ac:dyDescent="0.2">
      <c r="A7702">
        <v>7641</v>
      </c>
      <c r="B7702" s="138" t="str">
        <f>'Expenditures 15-22'!H329</f>
        <v xml:space="preserve"> </v>
      </c>
      <c r="D7702" s="2" t="e">
        <f t="shared" si="126"/>
        <v>#VALUE!</v>
      </c>
      <c r="E7702" s="2" t="s">
        <v>881</v>
      </c>
    </row>
    <row r="7703" spans="1:5" x14ac:dyDescent="0.2">
      <c r="A7703">
        <v>7642</v>
      </c>
      <c r="B7703" s="138" t="str">
        <f>'Expenditures 15-22'!I329</f>
        <v xml:space="preserve"> </v>
      </c>
      <c r="D7703" s="2" t="e">
        <f t="shared" si="126"/>
        <v>#VALUE!</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t="str">
        <f>'Revenues 9-14'!H170</f>
        <v xml:space="preserve"> </v>
      </c>
      <c r="D7706" s="2" t="e">
        <f t="shared" si="126"/>
        <v>#VALUE!</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6877</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8614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15491</v>
      </c>
      <c r="D7719" s="2" t="str">
        <f t="shared" si="126"/>
        <v>Error?</v>
      </c>
      <c r="E7719" s="2" t="s">
        <v>881</v>
      </c>
    </row>
    <row r="7720" spans="1:6" x14ac:dyDescent="0.2">
      <c r="A7720">
        <v>7659</v>
      </c>
      <c r="B7720" s="138">
        <f>'Rest Tax Levies-Tort Im 25'!H14</f>
        <v>47396</v>
      </c>
      <c r="D7720" s="2" t="str">
        <f t="shared" si="126"/>
        <v>Error?</v>
      </c>
      <c r="E7720" s="2" t="s">
        <v>881</v>
      </c>
    </row>
    <row r="7721" spans="1:6" x14ac:dyDescent="0.2">
      <c r="A7721">
        <v>7660</v>
      </c>
      <c r="B7721" s="138">
        <f>'Rest Tax Levies-Tort Im 25'!K14</f>
        <v>15491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t="str">
        <f>'Revenues 9-14'!E103</f>
        <v xml:space="preserve"> </v>
      </c>
      <c r="D7728" s="2" t="e">
        <f t="shared" si="126"/>
        <v>#VALUE!</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t="str">
        <f>'Revenues 9-14'!H103</f>
        <v xml:space="preserve"> </v>
      </c>
      <c r="D7731" s="2" t="e">
        <f t="shared" si="126"/>
        <v>#VALUE!</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208840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t="str">
        <f>'Expenditures 15-22'!H364</f>
        <v xml:space="preserve"> </v>
      </c>
      <c r="D7745" s="2" t="e">
        <f t="shared" si="127"/>
        <v>#VALUE!</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317000</v>
      </c>
      <c r="D7748" s="2" t="str">
        <f t="shared" si="127"/>
        <v>Error?</v>
      </c>
      <c r="E7748" s="4" t="s">
        <v>1400</v>
      </c>
    </row>
    <row r="7749" spans="1:6" x14ac:dyDescent="0.2">
      <c r="A7749">
        <v>7688</v>
      </c>
      <c r="B7749" s="138">
        <f>'Acct Summary 7-8'!D25</f>
        <v>300615</v>
      </c>
      <c r="D7749" s="2" t="str">
        <f t="shared" si="127"/>
        <v>Error?</v>
      </c>
      <c r="E7749" s="4" t="s">
        <v>1400</v>
      </c>
    </row>
    <row r="7750" spans="1:6" x14ac:dyDescent="0.2">
      <c r="A7750">
        <v>7689</v>
      </c>
      <c r="B7750" s="138" t="str">
        <f>'Acct Summary 7-8'!E25</f>
        <v xml:space="preserve"> </v>
      </c>
      <c r="D7750" s="2" t="e">
        <f t="shared" si="127"/>
        <v>#VALUE!</v>
      </c>
      <c r="E7750" s="4" t="s">
        <v>1400</v>
      </c>
    </row>
    <row r="7751" spans="1:6" x14ac:dyDescent="0.2">
      <c r="A7751">
        <v>7690</v>
      </c>
      <c r="B7751" s="138" t="str">
        <f>'Acct Summary 7-8'!F25</f>
        <v xml:space="preserve"> </v>
      </c>
      <c r="D7751" s="2" t="e">
        <f t="shared" si="127"/>
        <v>#VALUE!</v>
      </c>
      <c r="E7751" s="4" t="s">
        <v>1400</v>
      </c>
    </row>
    <row r="7752" spans="1:6" x14ac:dyDescent="0.2">
      <c r="A7752">
        <v>7691</v>
      </c>
      <c r="B7752" s="138" t="str">
        <f>'Acct Summary 7-8'!G25</f>
        <v xml:space="preserve"> </v>
      </c>
      <c r="D7752" s="2" t="e">
        <f t="shared" si="127"/>
        <v>#VALUE!</v>
      </c>
      <c r="E7752" s="4" t="s">
        <v>1400</v>
      </c>
    </row>
    <row r="7753" spans="1:6" x14ac:dyDescent="0.2">
      <c r="A7753">
        <v>7692</v>
      </c>
      <c r="B7753" s="138" t="str">
        <f>'Acct Summary 7-8'!H25</f>
        <v xml:space="preserve"> </v>
      </c>
      <c r="D7753" s="2" t="e">
        <f t="shared" si="127"/>
        <v>#VALUE!</v>
      </c>
      <c r="E7753" s="4" t="s">
        <v>1400</v>
      </c>
    </row>
    <row r="7754" spans="1:6" x14ac:dyDescent="0.2">
      <c r="A7754">
        <v>7693</v>
      </c>
      <c r="B7754" s="138" t="str">
        <f>'Acct Summary 7-8'!J25</f>
        <v xml:space="preserve"> </v>
      </c>
      <c r="D7754" s="2" t="e">
        <f t="shared" si="127"/>
        <v>#VALUE!</v>
      </c>
      <c r="E7754" s="4" t="s">
        <v>1400</v>
      </c>
    </row>
    <row r="7755" spans="1:6" x14ac:dyDescent="0.2">
      <c r="A7755">
        <v>7694</v>
      </c>
      <c r="B7755" s="138" t="str">
        <f>'Acct Summary 7-8'!K25</f>
        <v xml:space="preserve"> </v>
      </c>
      <c r="D7755" s="2" t="e">
        <f t="shared" si="127"/>
        <v>#VALUE!</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1965</v>
      </c>
    </row>
    <row r="7775" spans="1:5" x14ac:dyDescent="0.2">
      <c r="A7775">
        <v>7714</v>
      </c>
      <c r="B7775" s="138" t="str">
        <f>'Expenditures 15-22'!H133</f>
        <v xml:space="preserve"> </v>
      </c>
      <c r="D7775" s="2" t="e">
        <f t="shared" si="127"/>
        <v>#VALUE!</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t="str">
        <f>'Expenditures 15-22'!H158</f>
        <v xml:space="preserve"> </v>
      </c>
      <c r="D7779" s="2" t="e">
        <f t="shared" si="127"/>
        <v>#VALUE!</v>
      </c>
      <c r="E7779" s="4" t="s">
        <v>1965</v>
      </c>
    </row>
    <row r="7780" spans="1:5" x14ac:dyDescent="0.2">
      <c r="A7780">
        <v>7719</v>
      </c>
      <c r="B7780" s="138" t="str">
        <f>'Expenditures 15-22'!K158</f>
        <v xml:space="preserve"> </v>
      </c>
      <c r="D7780" s="2" t="e">
        <f t="shared" si="127"/>
        <v>#VALUE!</v>
      </c>
      <c r="E7780" s="4" t="s">
        <v>1965</v>
      </c>
    </row>
    <row r="7781" spans="1:5" x14ac:dyDescent="0.2">
      <c r="A7781">
        <v>7720</v>
      </c>
      <c r="B7781" s="138" t="str">
        <f>'Expenditures 15-22'!H159</f>
        <v xml:space="preserve"> </v>
      </c>
      <c r="D7781" s="2" t="e">
        <f t="shared" si="127"/>
        <v>#VALUE!</v>
      </c>
      <c r="E7781" s="4" t="s">
        <v>1965</v>
      </c>
    </row>
    <row r="7782" spans="1:5" x14ac:dyDescent="0.2">
      <c r="A7782">
        <v>7721</v>
      </c>
      <c r="B7782" s="138" t="str">
        <f>'Expenditures 15-22'!K159</f>
        <v xml:space="preserve"> </v>
      </c>
      <c r="D7782" s="2" t="e">
        <f t="shared" si="127"/>
        <v>#VALUE!</v>
      </c>
      <c r="E7782" s="4" t="s">
        <v>1965</v>
      </c>
    </row>
    <row r="7783" spans="1:5" x14ac:dyDescent="0.2">
      <c r="A7783">
        <v>7722</v>
      </c>
      <c r="B7783" s="138" t="str">
        <f>'Expenditures 15-22'!D282</f>
        <v xml:space="preserve"> </v>
      </c>
      <c r="D7783" s="2" t="e">
        <f t="shared" si="127"/>
        <v>#VALUE!</v>
      </c>
      <c r="E7783" s="4" t="s">
        <v>1965</v>
      </c>
    </row>
    <row r="7784" spans="1:5" x14ac:dyDescent="0.2">
      <c r="A7784">
        <v>7723</v>
      </c>
      <c r="B7784" s="138" t="str">
        <f>'Expenditures 15-22'!K282</f>
        <v xml:space="preserve"> </v>
      </c>
      <c r="D7784" s="2" t="e">
        <f t="shared" si="127"/>
        <v>#VALUE!</v>
      </c>
      <c r="E7784" s="4" t="s">
        <v>1965</v>
      </c>
    </row>
    <row r="7785" spans="1:5" x14ac:dyDescent="0.2">
      <c r="A7785">
        <v>7724</v>
      </c>
      <c r="B7785" s="138" t="str">
        <f>'Expenditures 15-22'!H332</f>
        <v xml:space="preserve"> </v>
      </c>
      <c r="D7785" s="2" t="e">
        <f t="shared" si="127"/>
        <v>#VALUE!</v>
      </c>
      <c r="E7785" s="4" t="s">
        <v>1965</v>
      </c>
    </row>
    <row r="7786" spans="1:5" x14ac:dyDescent="0.2">
      <c r="A7786">
        <v>7725</v>
      </c>
      <c r="B7786" s="138" t="str">
        <f>'Expenditures 15-22'!K332</f>
        <v xml:space="preserve"> </v>
      </c>
      <c r="D7786" s="2" t="e">
        <f t="shared" si="127"/>
        <v>#VALUE!</v>
      </c>
      <c r="E7786" s="4" t="s">
        <v>1965</v>
      </c>
    </row>
    <row r="7787" spans="1:5" x14ac:dyDescent="0.2">
      <c r="A7787">
        <v>7726</v>
      </c>
      <c r="B7787" s="138" t="str">
        <f>'Expenditures 15-22'!H333</f>
        <v xml:space="preserve"> </v>
      </c>
      <c r="D7787" s="2" t="e">
        <f t="shared" si="127"/>
        <v>#VALUE!</v>
      </c>
      <c r="E7787" s="4" t="s">
        <v>1965</v>
      </c>
    </row>
    <row r="7788" spans="1:5" x14ac:dyDescent="0.2">
      <c r="A7788">
        <v>7727</v>
      </c>
      <c r="B7788" s="138" t="str">
        <f>'Expenditures 15-22'!K333</f>
        <v xml:space="preserve"> </v>
      </c>
      <c r="D7788" s="2" t="e">
        <f t="shared" si="127"/>
        <v>#VALUE!</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t="str">
        <f>'Expenditures 15-22'!H354</f>
        <v xml:space="preserve"> </v>
      </c>
      <c r="D7791" s="2" t="e">
        <f t="shared" si="127"/>
        <v>#VALUE!</v>
      </c>
      <c r="E7791" s="4" t="s">
        <v>1965</v>
      </c>
    </row>
    <row r="7792" spans="1:5" x14ac:dyDescent="0.2">
      <c r="A7792">
        <v>7731</v>
      </c>
      <c r="B7792" s="138" t="str">
        <f>'Expenditures 15-22'!K354</f>
        <v xml:space="preserve"> </v>
      </c>
      <c r="D7792" s="2" t="e">
        <f t="shared" si="127"/>
        <v>#VALUE!</v>
      </c>
      <c r="E7792" s="4" t="s">
        <v>1965</v>
      </c>
    </row>
    <row r="7793" spans="1:5" x14ac:dyDescent="0.2">
      <c r="A7793">
        <v>7732</v>
      </c>
      <c r="B7793" s="138" t="str">
        <f>'Expenditures 15-22'!H355</f>
        <v xml:space="preserve"> </v>
      </c>
      <c r="D7793" s="2" t="e">
        <f t="shared" si="127"/>
        <v>#VALUE!</v>
      </c>
      <c r="E7793" s="4" t="s">
        <v>1965</v>
      </c>
    </row>
    <row r="7794" spans="1:5" x14ac:dyDescent="0.2">
      <c r="A7794">
        <v>7733</v>
      </c>
      <c r="B7794" s="138" t="str">
        <f>'Expenditures 15-22'!K355</f>
        <v xml:space="preserve"> </v>
      </c>
      <c r="D7794" s="2" t="e">
        <f t="shared" si="127"/>
        <v>#VALUE!</v>
      </c>
      <c r="E7794" s="4" t="s">
        <v>1965</v>
      </c>
    </row>
    <row r="7795" spans="1:5" x14ac:dyDescent="0.2">
      <c r="A7795">
        <v>7734</v>
      </c>
      <c r="B7795" s="138" t="str">
        <f>'Expenditures 15-22'!E138</f>
        <v xml:space="preserve"> </v>
      </c>
      <c r="D7795" s="2" t="e">
        <f t="shared" si="127"/>
        <v>#VALUE!</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29'!D40</f>
        <v>72969.06</v>
      </c>
      <c r="D7797" s="2" t="str">
        <f t="shared" si="127"/>
        <v>Error?</v>
      </c>
      <c r="E7797" s="4" t="s">
        <v>2018</v>
      </c>
    </row>
    <row r="7798" spans="1:5" x14ac:dyDescent="0.2">
      <c r="A7798">
        <v>7737</v>
      </c>
      <c r="B7798" s="138">
        <f>'Contracts Paid in CY 29'!F40</f>
        <v>36892.130000000005</v>
      </c>
      <c r="D7798" s="2" t="str">
        <f t="shared" si="127"/>
        <v>Error?</v>
      </c>
      <c r="E7798" s="4" t="s">
        <v>2018</v>
      </c>
    </row>
    <row r="7799" spans="1:5" x14ac:dyDescent="0.2">
      <c r="A7799">
        <v>7738</v>
      </c>
      <c r="B7799" s="138">
        <f>'Contracts Paid in CY 29'!G40</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0" t="str">
        <f>COVER!A17</f>
        <v>Ridgeview CUSD 19</v>
      </c>
      <c r="B7" s="2401"/>
      <c r="C7" s="2401"/>
      <c r="D7" s="2438"/>
      <c r="E7" s="2439">
        <f>COVER!A13</f>
        <v>17064019026</v>
      </c>
      <c r="F7" s="2440"/>
      <c r="G7" s="2407" t="str">
        <f>COVER!T23</f>
        <v>066-003845</v>
      </c>
      <c r="H7" s="2408"/>
      <c r="I7" s="2408"/>
      <c r="J7" s="2408"/>
      <c r="K7" s="2408"/>
      <c r="L7" s="2409"/>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0"/>
      <c r="B9" s="2411"/>
      <c r="C9" s="2411"/>
      <c r="D9" s="2411"/>
      <c r="E9" s="2411"/>
      <c r="F9" s="2412"/>
      <c r="G9" s="2413" t="str">
        <f>COVER!T13</f>
        <v>MOSE, YOCKEY, BROWN &amp; KULL, LLC</v>
      </c>
      <c r="H9" s="2414"/>
      <c r="I9" s="2414"/>
      <c r="J9" s="2414"/>
      <c r="K9" s="2414"/>
      <c r="L9" s="2415"/>
    </row>
    <row r="10" spans="1:29" ht="13.5" customHeight="1" x14ac:dyDescent="0.2">
      <c r="A10" s="2397" t="str">
        <f>COVER!A38</f>
        <v>DR. STEVE EPPERSON</v>
      </c>
      <c r="B10" s="2398"/>
      <c r="C10" s="2398"/>
      <c r="D10" s="2398"/>
      <c r="E10" s="2398"/>
      <c r="F10" s="2399"/>
      <c r="G10" s="2413" t="str">
        <f>COVER!T17</f>
        <v>230 N. MORGAN, PO BOX 317</v>
      </c>
      <c r="H10" s="2426"/>
      <c r="I10" s="2426"/>
      <c r="J10" s="2426"/>
      <c r="K10" s="2426"/>
      <c r="L10" s="2427"/>
    </row>
    <row r="11" spans="1:29" ht="13.5" customHeight="1" x14ac:dyDescent="0.2">
      <c r="A11" s="1183" t="s">
        <v>1599</v>
      </c>
      <c r="B11" s="1184"/>
      <c r="C11" s="1185"/>
      <c r="D11" s="1190"/>
      <c r="E11" s="1185"/>
      <c r="F11" s="1189"/>
      <c r="G11" s="2413" t="str">
        <f>COVER!T19</f>
        <v>SHELBYVILLE</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mybkcpas@consolidated.net</v>
      </c>
      <c r="J13" s="2435"/>
      <c r="K13" s="2435"/>
      <c r="L13" s="2436"/>
    </row>
    <row r="14" spans="1:29" ht="13.5" customHeight="1" x14ac:dyDescent="0.2">
      <c r="A14" s="2413" t="str">
        <f>COVER!A19</f>
        <v>300 S HARRISON ST</v>
      </c>
      <c r="B14" s="2426"/>
      <c r="C14" s="2426"/>
      <c r="D14" s="2426"/>
      <c r="E14" s="2426"/>
      <c r="F14" s="2427"/>
      <c r="G14" s="1194" t="s">
        <v>1247</v>
      </c>
      <c r="H14" s="1192"/>
      <c r="I14" s="1192"/>
      <c r="J14" s="1192"/>
      <c r="K14" s="1192"/>
      <c r="L14" s="1193"/>
    </row>
    <row r="15" spans="1:29" ht="13.5" customHeight="1" x14ac:dyDescent="0.2">
      <c r="A15" s="2413" t="str">
        <f>COVER!A21</f>
        <v>COLFAX</v>
      </c>
      <c r="B15" s="2426"/>
      <c r="C15" s="2426"/>
      <c r="D15" s="2426"/>
      <c r="E15" s="2426"/>
      <c r="F15" s="2427"/>
      <c r="G15" s="2423" t="str">
        <f>COVER!T15</f>
        <v>KENT D. KULL</v>
      </c>
      <c r="H15" s="2424"/>
      <c r="I15" s="2424"/>
      <c r="J15" s="2424"/>
      <c r="K15" s="2424"/>
      <c r="L15" s="2425"/>
    </row>
    <row r="16" spans="1:29" ht="12.2" customHeight="1" x14ac:dyDescent="0.2">
      <c r="A16" s="2403">
        <f>COVER!A25</f>
        <v>61728</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4" t="s">
        <v>1246</v>
      </c>
      <c r="H17" s="1192"/>
      <c r="I17" s="1192"/>
      <c r="J17" s="1192"/>
      <c r="K17" s="1196" t="s">
        <v>1245</v>
      </c>
      <c r="L17" s="1189"/>
      <c r="M17" s="1182"/>
    </row>
    <row r="18" spans="1:13" ht="12.2" customHeight="1" x14ac:dyDescent="0.2">
      <c r="A18" s="2397"/>
      <c r="B18" s="2398"/>
      <c r="C18" s="2398"/>
      <c r="D18" s="2398"/>
      <c r="E18" s="2398"/>
      <c r="F18" s="2399"/>
      <c r="G18" s="2400" t="str">
        <f>COVER!T21</f>
        <v>217-774-9587</v>
      </c>
      <c r="H18" s="2401"/>
      <c r="I18" s="2401"/>
      <c r="J18" s="2401"/>
      <c r="K18" s="2400" t="str">
        <f>COVER!X21</f>
        <v>217-774-9589</v>
      </c>
      <c r="L18" s="240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1" t="str">
        <f>'Single Audit Cover'!A7</f>
        <v>Ridgeview CUSD 19</v>
      </c>
      <c r="B1" s="2437"/>
      <c r="C1" s="2437"/>
      <c r="D1" s="2437"/>
    </row>
    <row r="2" spans="1:11" s="1213" customFormat="1" ht="12.75" x14ac:dyDescent="0.2">
      <c r="A2" s="2442">
        <f>'Single Audit Cover'!E7</f>
        <v>17064019026</v>
      </c>
      <c r="B2" s="2443"/>
      <c r="C2" s="2443"/>
      <c r="D2" s="2443"/>
    </row>
    <row r="3" spans="1:11" s="1213" customFormat="1" ht="12.75" x14ac:dyDescent="0.2">
      <c r="A3" s="2441" t="s">
        <v>1593</v>
      </c>
      <c r="B3" s="2437"/>
      <c r="C3" s="2437"/>
      <c r="D3" s="2437"/>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1946</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5" t="str">
        <f>'Single Audit Cover'!A7</f>
        <v>Ridgeview CUSD 19</v>
      </c>
      <c r="B1" s="2445"/>
      <c r="C1" s="2445"/>
      <c r="D1" s="2445"/>
      <c r="E1" s="2445"/>
    </row>
    <row r="2" spans="1:5" x14ac:dyDescent="0.2">
      <c r="A2" s="2446">
        <f>'Single Audit Cover'!E7</f>
        <v>17064019026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58" t="s">
        <v>1305</v>
      </c>
    </row>
    <row r="10" spans="1:5" x14ac:dyDescent="0.2">
      <c r="A10" s="1259" t="s">
        <v>1304</v>
      </c>
      <c r="B10" s="1260" t="s">
        <v>1303</v>
      </c>
      <c r="C10" s="1260"/>
      <c r="D10" s="1261">
        <f>SUM('Acct Summary 7-8'!C7:K7)</f>
        <v>539328</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30329</v>
      </c>
    </row>
    <row r="15" spans="1:5" x14ac:dyDescent="0.2">
      <c r="A15" s="1259"/>
      <c r="B15" s="1260"/>
      <c r="C15" s="1260"/>
    </row>
    <row r="16" spans="1:5" x14ac:dyDescent="0.2">
      <c r="A16" s="1259" t="s">
        <v>1954</v>
      </c>
      <c r="B16" s="1260"/>
      <c r="C16" s="1260"/>
    </row>
    <row r="17" spans="1:4" x14ac:dyDescent="0.2">
      <c r="A17" s="1259" t="s">
        <v>1601</v>
      </c>
      <c r="B17" s="1260" t="s">
        <v>1298</v>
      </c>
      <c r="C17" s="1260"/>
      <c r="D17" s="1262">
        <f>-SUM('Revenues 9-14'!C271:D271,'Revenues 9-14'!F271:G271)</f>
        <v>-7892</v>
      </c>
    </row>
    <row r="19" spans="1:4" ht="13.5" thickBot="1" x14ac:dyDescent="0.25">
      <c r="A19" s="1263" t="s">
        <v>1297</v>
      </c>
      <c r="D19" s="1264">
        <f>SUM(D10:D17)</f>
        <v>561765</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7"/>
      <c r="B24" s="2447"/>
      <c r="D24" s="1266"/>
    </row>
    <row r="25" spans="1:4" x14ac:dyDescent="0.2">
      <c r="A25" s="2444"/>
      <c r="B25" s="2444"/>
      <c r="D25" s="1266"/>
    </row>
    <row r="26" spans="1:4" x14ac:dyDescent="0.2">
      <c r="A26" s="2444"/>
      <c r="B26" s="2444"/>
      <c r="D26" s="1266"/>
    </row>
    <row r="27" spans="1:4" x14ac:dyDescent="0.2">
      <c r="A27" s="2444"/>
      <c r="B27" s="2444"/>
      <c r="D27" s="1266"/>
    </row>
    <row r="28" spans="1:4" x14ac:dyDescent="0.2">
      <c r="A28" s="2444"/>
      <c r="B28" s="2444"/>
      <c r="D28" s="1266"/>
    </row>
    <row r="29" spans="1:4" x14ac:dyDescent="0.2">
      <c r="A29" s="2444"/>
      <c r="B29" s="2444"/>
      <c r="D29" s="1266"/>
    </row>
    <row r="30" spans="1:4" x14ac:dyDescent="0.2">
      <c r="A30" s="2444"/>
      <c r="B30" s="2444"/>
      <c r="D30" s="1266"/>
    </row>
    <row r="32" spans="1:4" x14ac:dyDescent="0.2">
      <c r="A32" s="1258" t="s">
        <v>1295</v>
      </c>
      <c r="D32" s="1261">
        <f>SUM(D19:D30)</f>
        <v>561765</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4"/>
      <c r="B40" s="2444"/>
      <c r="D40" s="1266"/>
    </row>
    <row r="41" spans="1:4" x14ac:dyDescent="0.2">
      <c r="A41" s="2444"/>
      <c r="B41" s="2444"/>
      <c r="D41" s="1269"/>
    </row>
    <row r="42" spans="1:4" x14ac:dyDescent="0.2">
      <c r="A42" s="2444"/>
      <c r="B42" s="2444"/>
      <c r="D42" s="1269"/>
    </row>
    <row r="43" spans="1:4" x14ac:dyDescent="0.2">
      <c r="A43" s="2444"/>
      <c r="B43" s="2444"/>
      <c r="D43" s="1269"/>
    </row>
    <row r="44" spans="1:4" x14ac:dyDescent="0.2">
      <c r="A44" s="2444"/>
      <c r="B44" s="2444"/>
      <c r="D44" s="1269"/>
    </row>
    <row r="45" spans="1:4" x14ac:dyDescent="0.2">
      <c r="A45" s="2444"/>
      <c r="B45" s="2444"/>
      <c r="D45" s="1269"/>
    </row>
    <row r="47" spans="1:4" x14ac:dyDescent="0.2">
      <c r="B47" s="1270" t="s">
        <v>1289</v>
      </c>
      <c r="C47" s="1270"/>
      <c r="D47" s="1271">
        <f>SUM(D35:D45)</f>
        <v>0</v>
      </c>
    </row>
    <row r="49" spans="2:4" x14ac:dyDescent="0.2">
      <c r="B49" s="1270" t="s">
        <v>1288</v>
      </c>
      <c r="C49" s="1270"/>
      <c r="D49" s="1271">
        <f>D32-D47</f>
        <v>561765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Ridgeview CUSD 19</v>
      </c>
      <c r="B1" s="2450"/>
      <c r="C1" s="2450"/>
      <c r="D1" s="2450"/>
      <c r="E1" s="2450"/>
      <c r="F1" s="2450"/>
    </row>
    <row r="2" spans="1:7" ht="13.5" customHeight="1" x14ac:dyDescent="0.2">
      <c r="A2" s="2451">
        <f>'Single Audit Cover'!E7</f>
        <v>17064019026</v>
      </c>
      <c r="B2" s="2451"/>
      <c r="C2" s="2451"/>
      <c r="D2" s="2451"/>
      <c r="E2" s="2451"/>
      <c r="F2" s="2451"/>
      <c r="G2" s="1273"/>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4" t="s">
        <v>1831</v>
      </c>
      <c r="C6" s="317"/>
      <c r="D6" s="317"/>
    </row>
    <row r="7" spans="1:7" ht="60.95" customHeight="1" x14ac:dyDescent="0.2">
      <c r="A7" s="2449" t="s">
        <v>1832</v>
      </c>
      <c r="B7" s="2449"/>
      <c r="C7" s="2449"/>
      <c r="D7" s="2449"/>
      <c r="E7" s="2449"/>
      <c r="F7" s="2449"/>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0"/>
      <c r="D11" s="1278"/>
      <c r="E11" s="1920"/>
      <c r="F11" s="1278"/>
      <c r="G11" s="1276"/>
    </row>
    <row r="12" spans="1:7" x14ac:dyDescent="0.2">
      <c r="A12" s="1274" t="s">
        <v>1669</v>
      </c>
      <c r="C12" s="1258"/>
      <c r="D12" s="1258"/>
    </row>
    <row r="13" spans="1:7" ht="15" customHeight="1" x14ac:dyDescent="0.2">
      <c r="A13" s="2449" t="s">
        <v>1834</v>
      </c>
      <c r="B13" s="2449"/>
      <c r="C13" s="2449"/>
      <c r="D13" s="2449"/>
      <c r="E13" s="2449"/>
      <c r="F13" s="2449"/>
    </row>
    <row r="14" spans="1:7" ht="9.75" customHeight="1" x14ac:dyDescent="0.2">
      <c r="C14" s="1258"/>
      <c r="D14" s="1258"/>
    </row>
    <row r="15" spans="1:7" ht="13.5" customHeight="1" x14ac:dyDescent="0.2">
      <c r="C15" s="1864" t="s">
        <v>1332</v>
      </c>
      <c r="D15" s="2455" t="s">
        <v>1331</v>
      </c>
      <c r="E15" s="2455"/>
      <c r="F15" s="2455"/>
    </row>
    <row r="16" spans="1:7" ht="13.5" customHeight="1" x14ac:dyDescent="0.2">
      <c r="A16" s="1280"/>
      <c r="B16" s="1274" t="s">
        <v>1330</v>
      </c>
      <c r="C16" s="1864" t="s">
        <v>1329</v>
      </c>
      <c r="D16" s="2456" t="s">
        <v>1670</v>
      </c>
      <c r="E16" s="2456"/>
      <c r="F16" s="2456"/>
    </row>
    <row r="17" spans="1:6" ht="20.45" customHeight="1" x14ac:dyDescent="0.2">
      <c r="A17" s="1281"/>
      <c r="B17" s="1282"/>
      <c r="C17" s="1283"/>
      <c r="D17" s="2454"/>
      <c r="E17" s="2454"/>
      <c r="F17" s="2454"/>
    </row>
    <row r="18" spans="1:6" ht="20.65" customHeight="1" x14ac:dyDescent="0.2">
      <c r="A18" s="1281"/>
      <c r="B18" s="1282"/>
      <c r="C18" s="1283"/>
      <c r="D18" s="2454"/>
      <c r="E18" s="2454"/>
      <c r="F18" s="2454"/>
    </row>
    <row r="19" spans="1:6" ht="20.65" customHeight="1" x14ac:dyDescent="0.2">
      <c r="A19" s="1281"/>
      <c r="B19" s="1282"/>
      <c r="C19" s="1283"/>
      <c r="D19" s="2454"/>
      <c r="E19" s="2454"/>
      <c r="F19" s="2454"/>
    </row>
    <row r="20" spans="1:6" ht="20.65" customHeight="1" x14ac:dyDescent="0.2">
      <c r="A20" s="1281"/>
      <c r="B20" s="1282"/>
      <c r="C20" s="1283"/>
      <c r="D20" s="2454"/>
      <c r="E20" s="2454"/>
      <c r="F20" s="2454"/>
    </row>
    <row r="21" spans="1:6" ht="20.65" customHeight="1" x14ac:dyDescent="0.2">
      <c r="A21" s="1281"/>
      <c r="B21" s="1282"/>
      <c r="C21" s="1283"/>
      <c r="D21" s="2454"/>
      <c r="E21" s="2454"/>
      <c r="F21" s="2454"/>
    </row>
    <row r="22" spans="1:6" ht="20.65" customHeight="1" x14ac:dyDescent="0.2">
      <c r="A22" s="1281"/>
      <c r="B22" s="1282"/>
      <c r="C22" s="1283"/>
      <c r="D22" s="2454"/>
      <c r="E22" s="2454"/>
      <c r="F22" s="2454"/>
    </row>
    <row r="23" spans="1:6" ht="20.65" customHeight="1" x14ac:dyDescent="0.2">
      <c r="A23" s="1281"/>
      <c r="B23" s="1282"/>
      <c r="C23" s="1283"/>
      <c r="D23" s="2454"/>
      <c r="E23" s="2454"/>
      <c r="F23" s="2454"/>
    </row>
    <row r="24" spans="1:6" ht="20.65" customHeight="1" x14ac:dyDescent="0.2">
      <c r="A24" s="1281"/>
      <c r="B24" s="1282"/>
      <c r="C24" s="1283"/>
      <c r="D24" s="2454"/>
      <c r="E24" s="2454"/>
      <c r="F24" s="2454"/>
    </row>
    <row r="25" spans="1:6" ht="20.65" customHeight="1" x14ac:dyDescent="0.2">
      <c r="A25" s="1281"/>
      <c r="B25" s="1282"/>
      <c r="C25" s="1283"/>
      <c r="D25" s="2454"/>
      <c r="E25" s="2454"/>
      <c r="F25" s="2454"/>
    </row>
    <row r="26" spans="1:6" ht="20.65" customHeight="1" x14ac:dyDescent="0.2">
      <c r="A26" s="1281"/>
      <c r="B26" s="1282"/>
      <c r="C26" s="1283"/>
      <c r="D26" s="2454"/>
      <c r="E26" s="2454"/>
      <c r="F26" s="2454"/>
    </row>
    <row r="27" spans="1:6" ht="20.65" customHeight="1" x14ac:dyDescent="0.2">
      <c r="A27" s="1281"/>
      <c r="B27" s="1282"/>
      <c r="C27" s="1283"/>
      <c r="D27" s="2454"/>
      <c r="E27" s="2454"/>
      <c r="F27" s="2454"/>
    </row>
    <row r="28" spans="1:6" ht="20.65" customHeight="1" x14ac:dyDescent="0.2">
      <c r="A28" s="1281"/>
      <c r="B28" s="1282"/>
      <c r="C28" s="1283"/>
      <c r="D28" s="2454"/>
      <c r="E28" s="2454"/>
      <c r="F28" s="2454"/>
    </row>
    <row r="29" spans="1:6" ht="20.65" customHeight="1" x14ac:dyDescent="0.2">
      <c r="A29" s="1281"/>
      <c r="B29" s="1282"/>
      <c r="C29" s="1283"/>
      <c r="D29" s="2454"/>
      <c r="E29" s="2454"/>
      <c r="F29" s="2454"/>
    </row>
    <row r="30" spans="1:6" ht="12" customHeight="1" x14ac:dyDescent="0.2">
      <c r="A30" s="328"/>
      <c r="B30" s="328"/>
      <c r="C30" s="1476"/>
      <c r="D30" s="1921"/>
      <c r="E30" s="1284"/>
    </row>
    <row r="31" spans="1:6" ht="12" customHeight="1" x14ac:dyDescent="0.2">
      <c r="A31" s="1285" t="s">
        <v>1630</v>
      </c>
      <c r="B31" s="328"/>
      <c r="C31" s="1476"/>
      <c r="D31" s="1921"/>
      <c r="E31" s="1284"/>
    </row>
    <row r="32" spans="1:6" ht="30" customHeight="1" x14ac:dyDescent="0.2">
      <c r="A32" s="2458" t="s">
        <v>1835</v>
      </c>
      <c r="B32" s="2458"/>
      <c r="C32" s="2458"/>
      <c r="D32" s="2458"/>
      <c r="E32" s="2458"/>
      <c r="F32" s="2458"/>
    </row>
    <row r="33" spans="1:6" ht="13.5" customHeight="1" x14ac:dyDescent="0.2">
      <c r="A33" s="328" t="s">
        <v>1509</v>
      </c>
      <c r="B33" s="328"/>
      <c r="C33" s="1286">
        <v>0</v>
      </c>
      <c r="D33" s="1921"/>
      <c r="E33" s="1284"/>
    </row>
    <row r="34" spans="1:6" ht="13.5" customHeight="1" x14ac:dyDescent="0.2">
      <c r="A34" s="328" t="s">
        <v>1947</v>
      </c>
      <c r="B34" s="328"/>
      <c r="C34" s="1287">
        <v>0</v>
      </c>
      <c r="D34" s="1921" t="s">
        <v>1671</v>
      </c>
      <c r="E34" s="2459">
        <f>+C33+C34</f>
        <v>0</v>
      </c>
      <c r="F34" s="2460"/>
    </row>
    <row r="35" spans="1:6" ht="12" customHeight="1" x14ac:dyDescent="0.2">
      <c r="A35" s="328"/>
      <c r="B35" s="328"/>
      <c r="C35" s="1922"/>
      <c r="D35" s="1921"/>
      <c r="E35" s="1288"/>
      <c r="F35" s="1289"/>
    </row>
    <row r="36" spans="1:6" ht="13.5" customHeight="1" x14ac:dyDescent="0.2">
      <c r="A36" s="1285" t="s">
        <v>1631</v>
      </c>
      <c r="B36" s="328"/>
      <c r="C36" s="1476"/>
      <c r="D36" s="1921"/>
      <c r="E36" s="1284"/>
    </row>
    <row r="37" spans="1:6" ht="14.25" customHeight="1" x14ac:dyDescent="0.2">
      <c r="A37" s="328" t="s">
        <v>1563</v>
      </c>
      <c r="B37" s="328"/>
      <c r="C37" s="1923"/>
      <c r="D37" s="1921"/>
      <c r="E37" s="1284"/>
    </row>
    <row r="38" spans="1:6" ht="14.25" customHeight="1" x14ac:dyDescent="0.2">
      <c r="A38" s="328"/>
      <c r="B38" s="328" t="s">
        <v>1510</v>
      </c>
      <c r="C38" s="1290"/>
      <c r="D38" s="1921"/>
      <c r="E38" s="1284"/>
    </row>
    <row r="39" spans="1:6" ht="14.25" customHeight="1" x14ac:dyDescent="0.2">
      <c r="A39" s="328"/>
      <c r="B39" s="328" t="s">
        <v>1511</v>
      </c>
      <c r="C39" s="1290"/>
      <c r="D39" s="1921"/>
      <c r="E39" s="1284"/>
    </row>
    <row r="40" spans="1:6" ht="14.25" customHeight="1" x14ac:dyDescent="0.2">
      <c r="A40" s="328"/>
      <c r="B40" s="328" t="s">
        <v>1512</v>
      </c>
      <c r="C40" s="1290"/>
      <c r="D40" s="1921"/>
      <c r="E40" s="1284"/>
    </row>
    <row r="41" spans="1:6" ht="14.25" customHeight="1" x14ac:dyDescent="0.2">
      <c r="A41" s="328"/>
      <c r="B41" s="328" t="s">
        <v>1513</v>
      </c>
      <c r="C41" s="1290"/>
      <c r="D41" s="1921"/>
      <c r="E41" s="1284"/>
    </row>
    <row r="42" spans="1:6" ht="14.25" customHeight="1" x14ac:dyDescent="0.2">
      <c r="A42" s="328" t="s">
        <v>1514</v>
      </c>
      <c r="B42" s="328"/>
      <c r="C42" s="1919"/>
      <c r="D42" s="1921"/>
      <c r="E42" s="1284"/>
    </row>
    <row r="43" spans="1:6" ht="14.25" customHeight="1" x14ac:dyDescent="0.2">
      <c r="A43" s="328" t="s">
        <v>1515</v>
      </c>
      <c r="B43" s="328"/>
      <c r="C43" s="1291"/>
      <c r="D43" s="1921"/>
      <c r="E43" s="1284"/>
    </row>
    <row r="44" spans="1:6" ht="14.25" customHeight="1" x14ac:dyDescent="0.2">
      <c r="A44" s="328"/>
      <c r="B44" s="328"/>
      <c r="C44" s="1923" t="s">
        <v>1516</v>
      </c>
      <c r="D44" s="1921"/>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1" t="s">
        <v>1672</v>
      </c>
      <c r="C49" s="2461"/>
      <c r="D49" s="2461"/>
      <c r="E49" s="1397"/>
    </row>
    <row r="50" spans="1:5" s="1298" customFormat="1" ht="3.75" customHeight="1" x14ac:dyDescent="0.2">
      <c r="A50" s="1297"/>
      <c r="B50" s="1863"/>
      <c r="C50" s="1863"/>
      <c r="D50" s="1863"/>
      <c r="E50" s="1397"/>
    </row>
    <row r="51" spans="1:5" s="1298" customFormat="1" ht="20.25" customHeight="1" x14ac:dyDescent="0.2">
      <c r="A51" s="1299">
        <v>6</v>
      </c>
      <c r="B51" s="2457" t="s">
        <v>1632</v>
      </c>
      <c r="C51" s="2457"/>
      <c r="D51" s="2457"/>
    </row>
    <row r="52" spans="1:5" ht="14.25" customHeight="1" x14ac:dyDescent="0.2">
      <c r="A52" s="1299"/>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6" t="str">
        <f>'Single Audit Cover'!A7</f>
        <v>Ridgeview CUSD 19</v>
      </c>
      <c r="C1" s="2462"/>
      <c r="D1" s="2462"/>
      <c r="E1" s="2462"/>
      <c r="F1" s="2462"/>
      <c r="G1" s="2462"/>
      <c r="H1" s="2462"/>
      <c r="I1" s="2462"/>
      <c r="J1" s="2462"/>
      <c r="K1" s="2462"/>
      <c r="L1" s="2462"/>
      <c r="M1" s="2462"/>
    </row>
    <row r="2" spans="2:14" ht="15" x14ac:dyDescent="0.2">
      <c r="B2" s="2451">
        <f>'Single Audit Cover'!E7</f>
        <v>17064019026</v>
      </c>
      <c r="C2" s="2451"/>
      <c r="D2" s="2451"/>
      <c r="E2" s="2451"/>
      <c r="F2" s="2451"/>
      <c r="G2" s="2451"/>
      <c r="H2" s="2451"/>
      <c r="I2" s="2451"/>
      <c r="J2" s="2451"/>
      <c r="K2" s="2451"/>
      <c r="L2" s="2451"/>
      <c r="M2" s="2451"/>
      <c r="N2" s="1300"/>
    </row>
    <row r="3" spans="2:14" ht="15" x14ac:dyDescent="0.2">
      <c r="B3" s="2463" t="s">
        <v>1281</v>
      </c>
      <c r="C3" s="2463"/>
      <c r="D3" s="2463"/>
      <c r="E3" s="2463"/>
      <c r="F3" s="2463"/>
      <c r="G3" s="2463"/>
      <c r="H3" s="2463"/>
      <c r="I3" s="2463"/>
      <c r="J3" s="2463"/>
      <c r="K3" s="2463"/>
      <c r="L3" s="2463"/>
      <c r="M3" s="2463"/>
      <c r="N3" s="1300"/>
    </row>
    <row r="4" spans="2:14" ht="15" x14ac:dyDescent="0.2">
      <c r="B4" s="2464" t="str">
        <f>'Single Audit Cover'!A4</f>
        <v>Year Ending June 30, 2018</v>
      </c>
      <c r="C4" s="2464"/>
      <c r="D4" s="2464"/>
      <c r="E4" s="2464"/>
      <c r="F4" s="2464"/>
      <c r="G4" s="2464"/>
      <c r="H4" s="2464"/>
      <c r="I4" s="2464"/>
      <c r="J4" s="2464"/>
      <c r="K4" s="2464"/>
      <c r="L4" s="2464"/>
      <c r="M4" s="2464"/>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3"/>
      <c r="C8" s="1311" t="s">
        <v>1326</v>
      </c>
      <c r="D8" s="1312" t="s">
        <v>1325</v>
      </c>
      <c r="E8" s="1320" t="s">
        <v>1324</v>
      </c>
      <c r="F8" s="1321" t="s">
        <v>1324</v>
      </c>
      <c r="G8" s="1322" t="s">
        <v>1324</v>
      </c>
      <c r="H8" s="1315" t="s">
        <v>1663</v>
      </c>
      <c r="I8" s="1317" t="s">
        <v>1324</v>
      </c>
      <c r="J8" s="1316" t="s">
        <v>1948</v>
      </c>
      <c r="K8" s="1317" t="s">
        <v>1323</v>
      </c>
      <c r="L8" s="1318" t="s">
        <v>1319</v>
      </c>
      <c r="M8" s="1319" t="s">
        <v>30</v>
      </c>
    </row>
    <row r="9" spans="2:14" ht="14.25" x14ac:dyDescent="0.2">
      <c r="B9" s="1323" t="s">
        <v>1321</v>
      </c>
      <c r="C9" s="1311" t="s">
        <v>1838</v>
      </c>
      <c r="D9" s="1312" t="s">
        <v>1839</v>
      </c>
      <c r="E9" s="1320" t="s">
        <v>1663</v>
      </c>
      <c r="F9" s="1321" t="s">
        <v>1948</v>
      </c>
      <c r="G9" s="1322" t="s">
        <v>1663</v>
      </c>
      <c r="H9" s="1315" t="s">
        <v>1664</v>
      </c>
      <c r="I9" s="1317" t="s">
        <v>1948</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1949</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Ridgeview CUSD 19</v>
      </c>
      <c r="C1" s="2470"/>
      <c r="D1" s="2470"/>
      <c r="E1" s="2470"/>
      <c r="F1" s="2470"/>
      <c r="G1" s="2470"/>
      <c r="H1" s="2470"/>
      <c r="I1" s="2470"/>
      <c r="J1" s="1420"/>
    </row>
    <row r="2" spans="2:10" s="317" customFormat="1" ht="12.75" customHeight="1" x14ac:dyDescent="0.2">
      <c r="B2" s="2471">
        <f>'Single Audit Cover'!E7</f>
        <v>17064019026</v>
      </c>
      <c r="C2" s="2472"/>
      <c r="D2" s="2472"/>
      <c r="E2" s="2472"/>
      <c r="F2" s="2472"/>
      <c r="G2" s="2472"/>
      <c r="H2" s="2472"/>
      <c r="I2" s="2472"/>
      <c r="J2" s="1420"/>
    </row>
    <row r="3" spans="2:10" s="317" customFormat="1" ht="12.75" customHeight="1" x14ac:dyDescent="0.2">
      <c r="B3" s="2473" t="s">
        <v>1347</v>
      </c>
      <c r="C3" s="2474"/>
      <c r="D3" s="2474"/>
      <c r="E3" s="2474"/>
      <c r="F3" s="2474"/>
      <c r="G3" s="2474"/>
      <c r="H3" s="2474"/>
      <c r="I3" s="2474"/>
      <c r="J3" s="1421"/>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3" t="s">
        <v>1346</v>
      </c>
      <c r="C7" s="2474"/>
      <c r="D7" s="2474"/>
      <c r="E7" s="2474"/>
      <c r="F7" s="2474"/>
      <c r="G7" s="2474"/>
      <c r="H7" s="2474"/>
      <c r="I7" s="2474"/>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5"/>
      <c r="D11" s="2475"/>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6"/>
      <c r="E29" s="2476"/>
      <c r="F29" s="2476"/>
      <c r="G29" s="2476"/>
      <c r="H29" s="2476"/>
      <c r="I29" s="2476"/>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7" t="s">
        <v>1854</v>
      </c>
      <c r="D37" s="2478"/>
      <c r="E37" s="2478"/>
      <c r="F37" s="2479"/>
      <c r="G37" s="2477" t="s">
        <v>1674</v>
      </c>
      <c r="H37" s="2478"/>
      <c r="I37" s="2479"/>
    </row>
    <row r="38" spans="2:9" ht="16.5" customHeight="1" x14ac:dyDescent="0.2">
      <c r="B38" s="1442"/>
      <c r="C38" s="2465"/>
      <c r="D38" s="2466"/>
      <c r="E38" s="2466"/>
      <c r="F38" s="2467"/>
      <c r="G38" s="2480"/>
      <c r="H38" s="2481"/>
      <c r="I38" s="2482"/>
    </row>
    <row r="39" spans="2:9" ht="16.5" customHeight="1" x14ac:dyDescent="0.2">
      <c r="B39" s="1442"/>
      <c r="C39" s="2465"/>
      <c r="D39" s="2466"/>
      <c r="E39" s="2466"/>
      <c r="F39" s="2467"/>
      <c r="G39" s="2468"/>
      <c r="H39" s="2468"/>
      <c r="I39" s="2468"/>
    </row>
    <row r="40" spans="2:9" ht="16.5" customHeight="1" x14ac:dyDescent="0.2">
      <c r="B40" s="1442"/>
      <c r="C40" s="2465"/>
      <c r="D40" s="2466"/>
      <c r="E40" s="2466"/>
      <c r="F40" s="2467"/>
      <c r="G40" s="2468"/>
      <c r="H40" s="2468"/>
      <c r="I40" s="2468"/>
    </row>
    <row r="41" spans="2:9" ht="16.5" customHeight="1" x14ac:dyDescent="0.2">
      <c r="B41" s="1442"/>
      <c r="C41" s="2465"/>
      <c r="D41" s="2466"/>
      <c r="E41" s="2466"/>
      <c r="F41" s="2467"/>
      <c r="G41" s="2468"/>
      <c r="H41" s="2468"/>
      <c r="I41" s="2468"/>
    </row>
    <row r="42" spans="2:9" ht="16.5" customHeight="1" x14ac:dyDescent="0.2">
      <c r="B42" s="1442"/>
      <c r="C42" s="2465"/>
      <c r="D42" s="2466"/>
      <c r="E42" s="2466"/>
      <c r="F42" s="2467"/>
      <c r="G42" s="2468"/>
      <c r="H42" s="2468"/>
      <c r="I42" s="2468"/>
    </row>
    <row r="43" spans="2:9" ht="16.5" customHeight="1" x14ac:dyDescent="0.2">
      <c r="B43" s="1442"/>
      <c r="C43" s="2483" t="s">
        <v>1675</v>
      </c>
      <c r="D43" s="2484"/>
      <c r="E43" s="2484"/>
      <c r="F43" s="2485"/>
      <c r="G43" s="2486">
        <f>SUM(G38:I42)</f>
        <v>0</v>
      </c>
      <c r="H43" s="2486"/>
      <c r="I43" s="2486"/>
    </row>
    <row r="44" spans="2:9" ht="12.75" customHeight="1" x14ac:dyDescent="0.2"/>
    <row r="45" spans="2:9" ht="12.75" customHeight="1" x14ac:dyDescent="0.2">
      <c r="B45" s="1433" t="s">
        <v>1950</v>
      </c>
      <c r="D45" s="2487">
        <v>0</v>
      </c>
      <c r="E45" s="2488"/>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9"/>
      <c r="F49" s="2489"/>
      <c r="G49" s="2489"/>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Ridgeview CUSD 19</v>
      </c>
      <c r="C1" s="2469"/>
      <c r="D1" s="2469"/>
      <c r="E1" s="2469"/>
      <c r="F1" s="2469"/>
      <c r="G1" s="2469"/>
      <c r="H1" s="2469"/>
      <c r="I1" s="2469"/>
      <c r="J1" s="2469"/>
      <c r="K1" s="2469"/>
      <c r="L1" s="1372"/>
      <c r="M1" s="1372"/>
    </row>
    <row r="2" spans="1:13" ht="12" customHeight="1" x14ac:dyDescent="0.2">
      <c r="B2" s="2471">
        <f>'Single Audit Cover'!E7</f>
        <v>17064019026</v>
      </c>
      <c r="C2" s="2471"/>
      <c r="D2" s="2471"/>
      <c r="E2" s="2471"/>
      <c r="F2" s="2471"/>
      <c r="G2" s="2471"/>
      <c r="H2" s="2471"/>
      <c r="I2" s="2471"/>
      <c r="J2" s="2471"/>
      <c r="K2" s="2471"/>
      <c r="L2" s="1373"/>
      <c r="M2" s="1374"/>
    </row>
    <row r="3" spans="1:13" ht="10.35" customHeight="1" x14ac:dyDescent="0.2">
      <c r="B3" s="2492" t="s">
        <v>1347</v>
      </c>
      <c r="C3" s="2492"/>
      <c r="D3" s="2492"/>
      <c r="E3" s="2492"/>
      <c r="F3" s="2492"/>
      <c r="G3" s="2492"/>
      <c r="H3" s="2492"/>
      <c r="I3" s="2492"/>
      <c r="J3" s="2492"/>
      <c r="K3" s="2492"/>
      <c r="L3" s="1375"/>
      <c r="M3" s="137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1951</v>
      </c>
      <c r="D10" s="1384">
        <v>1</v>
      </c>
      <c r="E10" s="322"/>
      <c r="F10" s="1385" t="s">
        <v>1362</v>
      </c>
      <c r="G10" s="1386"/>
      <c r="H10" s="1387" t="s">
        <v>1361</v>
      </c>
      <c r="I10" s="1386" t="s">
        <v>2082</v>
      </c>
      <c r="J10" s="1388" t="s">
        <v>1360</v>
      </c>
      <c r="K10" s="322"/>
      <c r="L10" s="1379"/>
    </row>
    <row r="11" spans="1:13" ht="13.5" customHeight="1" x14ac:dyDescent="0.2">
      <c r="B11" s="322"/>
      <c r="C11" s="322"/>
      <c r="D11" s="322"/>
      <c r="E11" s="322"/>
      <c r="F11" s="322"/>
      <c r="G11" s="1381"/>
      <c r="H11" s="322"/>
      <c r="I11" s="1389" t="s">
        <v>1359</v>
      </c>
      <c r="J11" s="322"/>
      <c r="K11" s="1390">
        <v>2014</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t="s">
        <v>2150</v>
      </c>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t="s">
        <v>2151</v>
      </c>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t="s">
        <v>2152</v>
      </c>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t="s">
        <v>2153</v>
      </c>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t="s">
        <v>2154</v>
      </c>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6" t="s">
        <v>2155</v>
      </c>
      <c r="C29" s="2496"/>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t="s">
        <v>2156</v>
      </c>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Ridgeview CUSD 19</v>
      </c>
      <c r="C1" s="2469"/>
      <c r="D1" s="2469"/>
      <c r="E1" s="2469"/>
      <c r="F1" s="2469"/>
      <c r="G1" s="2469"/>
      <c r="H1" s="2469"/>
      <c r="I1" s="2469"/>
      <c r="J1" s="2469"/>
      <c r="K1" s="2469"/>
      <c r="L1" s="1372"/>
      <c r="M1" s="1372"/>
    </row>
    <row r="2" spans="1:13" ht="12" customHeight="1" x14ac:dyDescent="0.2">
      <c r="B2" s="2471">
        <f>'Single Audit Cover'!E7</f>
        <v>17064019026</v>
      </c>
      <c r="C2" s="2471"/>
      <c r="D2" s="2471"/>
      <c r="E2" s="2471"/>
      <c r="F2" s="2471"/>
      <c r="G2" s="2471"/>
      <c r="H2" s="2471"/>
      <c r="I2" s="2471"/>
      <c r="J2" s="2471"/>
      <c r="K2" s="2471"/>
      <c r="L2" s="1373"/>
      <c r="M2" s="1374"/>
    </row>
    <row r="3" spans="1:13" ht="10.35" customHeight="1" x14ac:dyDescent="0.2">
      <c r="B3" s="2492" t="s">
        <v>1347</v>
      </c>
      <c r="C3" s="2492"/>
      <c r="D3" s="2492"/>
      <c r="E3" s="2492"/>
      <c r="F3" s="2492"/>
      <c r="G3" s="2492"/>
      <c r="H3" s="2492"/>
      <c r="I3" s="2492"/>
      <c r="J3" s="2492"/>
      <c r="K3" s="2492"/>
      <c r="L3" s="1953"/>
      <c r="M3" s="1953"/>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1951</v>
      </c>
      <c r="D10" s="1384">
        <v>2</v>
      </c>
      <c r="E10" s="322"/>
      <c r="F10" s="1385" t="s">
        <v>1362</v>
      </c>
      <c r="G10" s="1386"/>
      <c r="H10" s="1387" t="s">
        <v>1361</v>
      </c>
      <c r="I10" s="1386" t="s">
        <v>2082</v>
      </c>
      <c r="J10" s="1388" t="s">
        <v>1360</v>
      </c>
      <c r="K10" s="322"/>
      <c r="L10" s="1379"/>
    </row>
    <row r="11" spans="1:13" ht="13.5" customHeight="1" x14ac:dyDescent="0.2">
      <c r="B11" s="322"/>
      <c r="C11" s="322"/>
      <c r="D11" s="322"/>
      <c r="E11" s="322"/>
      <c r="F11" s="322"/>
      <c r="G11" s="1381"/>
      <c r="H11" s="322"/>
      <c r="I11" s="1389" t="s">
        <v>1359</v>
      </c>
      <c r="J11" s="322"/>
      <c r="K11" s="1390">
        <v>2014</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63" customHeight="1" x14ac:dyDescent="0.2">
      <c r="B14" s="2491" t="s">
        <v>2157</v>
      </c>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t="s">
        <v>2158</v>
      </c>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57.75" customHeight="1" x14ac:dyDescent="0.2">
      <c r="B20" s="2495" t="s">
        <v>2182</v>
      </c>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t="s">
        <v>2159</v>
      </c>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t="s">
        <v>2160</v>
      </c>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6" t="s">
        <v>2161</v>
      </c>
      <c r="C29" s="2496"/>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t="s">
        <v>2162</v>
      </c>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 sqref="B2:K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Ridgeview CUSD 19</v>
      </c>
      <c r="C1" s="2469"/>
      <c r="D1" s="2469"/>
      <c r="E1" s="2469"/>
      <c r="F1" s="2469"/>
      <c r="G1" s="2469"/>
      <c r="H1" s="2469"/>
      <c r="I1" s="2469"/>
      <c r="J1" s="2469"/>
      <c r="K1" s="2469"/>
      <c r="L1" s="1372"/>
      <c r="M1" s="1372"/>
    </row>
    <row r="2" spans="1:13" ht="12" customHeight="1" x14ac:dyDescent="0.2">
      <c r="B2" s="2471">
        <f>'Single Audit Cover'!E7</f>
        <v>17064019026</v>
      </c>
      <c r="C2" s="2471"/>
      <c r="D2" s="2471"/>
      <c r="E2" s="2471"/>
      <c r="F2" s="2471"/>
      <c r="G2" s="2471"/>
      <c r="H2" s="2471"/>
      <c r="I2" s="2471"/>
      <c r="J2" s="2471"/>
      <c r="K2" s="2471"/>
      <c r="L2" s="1373"/>
      <c r="M2" s="1374"/>
    </row>
    <row r="3" spans="1:13" ht="10.35" customHeight="1" x14ac:dyDescent="0.2">
      <c r="B3" s="2492" t="s">
        <v>1347</v>
      </c>
      <c r="C3" s="2492"/>
      <c r="D3" s="2492"/>
      <c r="E3" s="2492"/>
      <c r="F3" s="2492"/>
      <c r="G3" s="2492"/>
      <c r="H3" s="2492"/>
      <c r="I3" s="2492"/>
      <c r="J3" s="2492"/>
      <c r="K3" s="2492"/>
      <c r="L3" s="1953"/>
      <c r="M3" s="1953"/>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1951</v>
      </c>
      <c r="D10" s="1384">
        <v>3</v>
      </c>
      <c r="E10" s="322"/>
      <c r="F10" s="1385" t="s">
        <v>1362</v>
      </c>
      <c r="G10" s="1386"/>
      <c r="H10" s="1387" t="s">
        <v>1361</v>
      </c>
      <c r="I10" s="1386" t="s">
        <v>2082</v>
      </c>
      <c r="J10" s="1388" t="s">
        <v>1360</v>
      </c>
      <c r="K10" s="322"/>
      <c r="L10" s="1379"/>
    </row>
    <row r="11" spans="1:13" ht="13.5" customHeight="1" x14ac:dyDescent="0.2">
      <c r="B11" s="322"/>
      <c r="C11" s="322"/>
      <c r="D11" s="322"/>
      <c r="E11" s="322"/>
      <c r="F11" s="322"/>
      <c r="G11" s="1381"/>
      <c r="H11" s="322"/>
      <c r="I11" s="1389" t="s">
        <v>1359</v>
      </c>
      <c r="J11" s="322"/>
      <c r="K11" s="1390">
        <v>2014</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t="s">
        <v>2163</v>
      </c>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t="s">
        <v>2164</v>
      </c>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t="s">
        <v>2183</v>
      </c>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t="s">
        <v>2165</v>
      </c>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59.25" customHeight="1" x14ac:dyDescent="0.2">
      <c r="B26" s="2491" t="s">
        <v>2166</v>
      </c>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6" t="s">
        <v>2167</v>
      </c>
      <c r="C29" s="2496"/>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t="s">
        <v>2184</v>
      </c>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7" sqref="B2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Ridgeview CUSD 19</v>
      </c>
      <c r="C1" s="2469"/>
      <c r="D1" s="2469"/>
      <c r="E1" s="2469"/>
      <c r="F1" s="2469"/>
      <c r="G1" s="2469"/>
      <c r="H1" s="2469"/>
      <c r="I1" s="2469"/>
      <c r="J1" s="2469"/>
      <c r="K1" s="2469"/>
      <c r="L1" s="1372"/>
      <c r="M1" s="1372"/>
    </row>
    <row r="2" spans="1:13" ht="12" customHeight="1" x14ac:dyDescent="0.2">
      <c r="B2" s="2471">
        <f>'Single Audit Cover'!E7</f>
        <v>17064019026</v>
      </c>
      <c r="C2" s="2471"/>
      <c r="D2" s="2471"/>
      <c r="E2" s="2471"/>
      <c r="F2" s="2471"/>
      <c r="G2" s="2471"/>
      <c r="H2" s="2471"/>
      <c r="I2" s="2471"/>
      <c r="J2" s="2471"/>
      <c r="K2" s="2471"/>
      <c r="L2" s="1373"/>
      <c r="M2" s="1374"/>
    </row>
    <row r="3" spans="1:13" ht="10.35" customHeight="1" x14ac:dyDescent="0.2">
      <c r="B3" s="2492" t="s">
        <v>1347</v>
      </c>
      <c r="C3" s="2492"/>
      <c r="D3" s="2492"/>
      <c r="E3" s="2492"/>
      <c r="F3" s="2492"/>
      <c r="G3" s="2492"/>
      <c r="H3" s="2492"/>
      <c r="I3" s="2492"/>
      <c r="J3" s="2492"/>
      <c r="K3" s="2492"/>
      <c r="L3" s="1953"/>
      <c r="M3" s="1953"/>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1951</v>
      </c>
      <c r="D10" s="1384">
        <v>4</v>
      </c>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t="s">
        <v>2168</v>
      </c>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t="s">
        <v>2185</v>
      </c>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t="s">
        <v>2186</v>
      </c>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t="s">
        <v>2187</v>
      </c>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t="s">
        <v>2188</v>
      </c>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6" t="s">
        <v>2169</v>
      </c>
      <c r="C29" s="2496"/>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t="s">
        <v>2170</v>
      </c>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Ridgeview CUSD 19</v>
      </c>
      <c r="C1" s="2469"/>
      <c r="D1" s="2469"/>
      <c r="E1" s="2469"/>
      <c r="F1" s="2469"/>
      <c r="G1" s="2469"/>
      <c r="H1" s="2469"/>
      <c r="I1" s="2469"/>
      <c r="J1" s="2469"/>
      <c r="K1" s="2469"/>
      <c r="L1" s="1372"/>
      <c r="M1" s="1372"/>
    </row>
    <row r="2" spans="1:13" ht="12" customHeight="1" x14ac:dyDescent="0.2">
      <c r="B2" s="2471">
        <f>'Single Audit Cover'!E7</f>
        <v>17064019026</v>
      </c>
      <c r="C2" s="2471"/>
      <c r="D2" s="2471"/>
      <c r="E2" s="2471"/>
      <c r="F2" s="2471"/>
      <c r="G2" s="2471"/>
      <c r="H2" s="2471"/>
      <c r="I2" s="2471"/>
      <c r="J2" s="2471"/>
      <c r="K2" s="2471"/>
      <c r="L2" s="1373"/>
      <c r="M2" s="1374"/>
    </row>
    <row r="3" spans="1:13" ht="10.35" customHeight="1" x14ac:dyDescent="0.2">
      <c r="B3" s="2492" t="s">
        <v>1347</v>
      </c>
      <c r="C3" s="2492"/>
      <c r="D3" s="2492"/>
      <c r="E3" s="2492"/>
      <c r="F3" s="2492"/>
      <c r="G3" s="2492"/>
      <c r="H3" s="2492"/>
      <c r="I3" s="2492"/>
      <c r="J3" s="2492"/>
      <c r="K3" s="2492"/>
      <c r="L3" s="1953"/>
      <c r="M3" s="1953"/>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1951</v>
      </c>
      <c r="D10" s="1384">
        <v>5</v>
      </c>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t="s">
        <v>2171</v>
      </c>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t="s">
        <v>2172</v>
      </c>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t="s">
        <v>2173</v>
      </c>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t="s">
        <v>2174</v>
      </c>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t="s">
        <v>2175</v>
      </c>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6" t="s">
        <v>2176</v>
      </c>
      <c r="C29" s="2496"/>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t="s">
        <v>2177</v>
      </c>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Ridgeview CUSD 19</v>
      </c>
      <c r="C1" s="2497"/>
      <c r="D1" s="2497"/>
      <c r="E1" s="2497"/>
      <c r="F1" s="2497"/>
      <c r="G1" s="2497"/>
      <c r="H1" s="2497"/>
      <c r="I1" s="2497"/>
      <c r="J1" s="2497"/>
      <c r="K1" s="2497"/>
      <c r="L1" s="1463"/>
    </row>
    <row r="2" spans="1:12" ht="12.75" customHeight="1" x14ac:dyDescent="0.2">
      <c r="B2" s="2498">
        <f>'Single Audit Cover'!E7</f>
        <v>17064019026</v>
      </c>
      <c r="C2" s="2498"/>
      <c r="D2" s="2498"/>
      <c r="E2" s="2498"/>
      <c r="F2" s="2498"/>
      <c r="G2" s="2498"/>
      <c r="H2" s="2498"/>
      <c r="I2" s="2498"/>
      <c r="J2" s="2498"/>
      <c r="K2" s="2498"/>
      <c r="L2" s="1464"/>
    </row>
    <row r="3" spans="1:12" ht="12.75" customHeight="1" x14ac:dyDescent="0.2">
      <c r="B3" s="2492" t="s">
        <v>1347</v>
      </c>
      <c r="C3" s="2492"/>
      <c r="D3" s="2492"/>
      <c r="E3" s="2492"/>
      <c r="F3" s="2492"/>
      <c r="G3" s="2492"/>
      <c r="H3" s="2492"/>
      <c r="I3" s="2492"/>
      <c r="J3" s="2492"/>
      <c r="K3" s="2492"/>
      <c r="L3" s="1375"/>
    </row>
    <row r="4" spans="1:12" ht="12.75" customHeight="1" x14ac:dyDescent="0.2">
      <c r="B4" s="2492" t="str">
        <f>'Single Audit Cover'!A4</f>
        <v>Year Ending June 30, 2018</v>
      </c>
      <c r="C4" s="2492"/>
      <c r="D4" s="2492"/>
      <c r="E4" s="2492"/>
      <c r="F4" s="2492"/>
      <c r="G4" s="2492"/>
      <c r="H4" s="2492"/>
      <c r="I4" s="2492"/>
      <c r="J4" s="2492"/>
      <c r="K4" s="2492"/>
      <c r="L4" s="1375"/>
    </row>
    <row r="5" spans="1:12" ht="5.25" customHeight="1" x14ac:dyDescent="0.2">
      <c r="B5" s="1258" t="s">
        <v>1231</v>
      </c>
      <c r="C5" s="1258"/>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1951</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6"/>
      <c r="G12" s="2476"/>
      <c r="H12" s="2476"/>
      <c r="I12" s="2476"/>
      <c r="J12" s="2476"/>
      <c r="K12" s="2476"/>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01"/>
      <c r="E14" s="2501"/>
      <c r="F14" s="2501"/>
      <c r="H14" s="1473" t="s">
        <v>1370</v>
      </c>
      <c r="I14" s="2502"/>
      <c r="J14" s="2502"/>
      <c r="K14" s="2502"/>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2"/>
      <c r="E16" s="2502"/>
      <c r="F16" s="2502"/>
      <c r="G16" s="2502"/>
      <c r="H16" s="2502"/>
      <c r="I16" s="2502"/>
      <c r="J16" s="2502"/>
      <c r="K16" s="2502"/>
      <c r="L16" s="322"/>
    </row>
    <row r="17" spans="2:12" ht="13.5" customHeight="1" x14ac:dyDescent="0.2">
      <c r="B17" s="1385" t="s">
        <v>1368</v>
      </c>
      <c r="C17" s="1385"/>
      <c r="D17" s="2503"/>
      <c r="E17" s="2503"/>
      <c r="F17" s="2503"/>
      <c r="G17" s="2503"/>
      <c r="H17" s="2503"/>
      <c r="I17" s="2503"/>
      <c r="J17" s="2503"/>
      <c r="K17" s="2503"/>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00"/>
      <c r="C20" s="2500"/>
      <c r="D20" s="2500"/>
      <c r="E20" s="2500"/>
      <c r="F20" s="2500"/>
      <c r="G20" s="2500"/>
      <c r="H20" s="2500"/>
      <c r="I20" s="2500"/>
      <c r="J20" s="2500"/>
      <c r="K20" s="2500"/>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9" t="str">
        <f>'Single Audit Cover'!A7</f>
        <v>Ridgeview CUSD 19</v>
      </c>
      <c r="C1" s="2469"/>
      <c r="D1" s="2469"/>
      <c r="E1" s="1489"/>
    </row>
    <row r="2" spans="2:5" s="1280" customFormat="1" ht="12.75" customHeight="1" x14ac:dyDescent="0.2">
      <c r="B2" s="2471">
        <f>'Single Audit Cover'!E7</f>
        <v>17064019026</v>
      </c>
      <c r="C2" s="2471"/>
      <c r="D2" s="2471"/>
      <c r="E2" s="1490"/>
    </row>
    <row r="3" spans="2:5" ht="12.75" customHeight="1" x14ac:dyDescent="0.2">
      <c r="B3" s="2492" t="s">
        <v>1869</v>
      </c>
      <c r="C3" s="2492"/>
      <c r="D3" s="2492"/>
      <c r="E3" s="1272"/>
    </row>
    <row r="4" spans="2:5" s="1280" customFormat="1" ht="12.75" customHeight="1" x14ac:dyDescent="0.2">
      <c r="B4" s="2504" t="str">
        <f>'Single Audit Cover'!A4</f>
        <v>Year Ending June 30, 2018</v>
      </c>
      <c r="C4" s="2504"/>
      <c r="D4" s="2504"/>
      <c r="E4" s="1491"/>
    </row>
    <row r="5" spans="2:5" s="1280" customFormat="1" ht="40.15"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http://purl.org/dc/elements/1.1/"/>
    <ds:schemaRef ds:uri="http://schemas.microsoft.com/sharepoint/v3"/>
    <ds:schemaRef ds:uri="6ce3111e-7420-4802-b50a-75d4e9a0b980"/>
    <ds:schemaRef ds:uri="d21dc803-237d-4c68-8692-8d731fd29118"/>
    <ds:schemaRef ds:uri="4d435f69-8686-490b-bd6d-b153bf22ab50"/>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17</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Sec-2 (3)</vt:lpstr>
      <vt:lpstr>SF&amp;QC Sec-2 (4)</vt:lpstr>
      <vt:lpstr>SF&amp;QC Sec-2 (5)</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2018-10-16T14:10:59Z</cp:lastPrinted>
  <dcterms:created xsi:type="dcterms:W3CDTF">2003-10-29T19:06:34Z</dcterms:created>
  <dcterms:modified xsi:type="dcterms:W3CDTF">2018-10-25T19:07:38Z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