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770" windowHeight="120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18" sheetId="183" r:id="rId29"/>
    <sheet name=" SEFA" sheetId="179"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9">' SEFA'!$B$1:$M$46</definedName>
    <definedName name="_xlnm.Print_Area" localSheetId="28">'SEFA 18'!$A$12:$S$89</definedName>
    <definedName name="_xlnm.Print_Area" localSheetId="27">'SEFA NOTES'!$A$1:$F$57</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 18'!$B$20:$S$67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18'!$1:$11</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7" i="169" l="1"/>
  <c r="O80" i="183" l="1"/>
  <c r="G80" i="183"/>
  <c r="O71" i="183"/>
  <c r="M71" i="183"/>
  <c r="I71" i="183"/>
  <c r="G71" i="183"/>
  <c r="Q69" i="183"/>
  <c r="K68" i="183"/>
  <c r="K80" i="183" s="1"/>
  <c r="O63" i="183"/>
  <c r="K63" i="183"/>
  <c r="Q59" i="183"/>
  <c r="Q55" i="183"/>
  <c r="M54" i="183"/>
  <c r="I54" i="183"/>
  <c r="Q52" i="183"/>
  <c r="M51" i="183"/>
  <c r="Q51" i="183" s="1"/>
  <c r="I51" i="183"/>
  <c r="Q45" i="183"/>
  <c r="M44" i="183"/>
  <c r="Q44" i="183" s="1"/>
  <c r="Q42" i="183"/>
  <c r="M41" i="183"/>
  <c r="I41" i="183"/>
  <c r="Q39" i="183"/>
  <c r="M38" i="183"/>
  <c r="I38" i="183"/>
  <c r="G38" i="183"/>
  <c r="O32" i="183"/>
  <c r="M32" i="183"/>
  <c r="K32" i="183"/>
  <c r="K78" i="183" s="1"/>
  <c r="I32" i="183"/>
  <c r="G32" i="183"/>
  <c r="Q29" i="183"/>
  <c r="Q28" i="183"/>
  <c r="Q26" i="183"/>
  <c r="Q24" i="183"/>
  <c r="Q23" i="183"/>
  <c r="Q20" i="183"/>
  <c r="Q19" i="183"/>
  <c r="Q17" i="183"/>
  <c r="Q16" i="183"/>
  <c r="M9" i="183"/>
  <c r="K9" i="183"/>
  <c r="M8" i="183"/>
  <c r="K82" i="183" l="1"/>
  <c r="O74" i="183"/>
  <c r="G63" i="183"/>
  <c r="G74" i="183" s="1"/>
  <c r="Q41" i="183"/>
  <c r="Q32" i="183"/>
  <c r="M63" i="183"/>
  <c r="M74" i="183" s="1"/>
  <c r="G78" i="183"/>
  <c r="G82" i="183" s="1"/>
  <c r="O78" i="183"/>
  <c r="O82" i="183" s="1"/>
  <c r="I63" i="183"/>
  <c r="I74" i="183" s="1"/>
  <c r="Q38" i="183"/>
  <c r="I78" i="183"/>
  <c r="I80" i="183"/>
  <c r="K71" i="183"/>
  <c r="K74" i="183" s="1"/>
  <c r="M78" i="183"/>
  <c r="Q68" i="183"/>
  <c r="Q54" i="183"/>
  <c r="M80" i="183"/>
  <c r="J32" i="8"/>
  <c r="I82" i="183" l="1"/>
  <c r="Q78" i="183"/>
  <c r="Q63" i="183"/>
  <c r="Q71" i="183"/>
  <c r="Q80" i="183"/>
  <c r="M82" i="183"/>
  <c r="Q82" i="183"/>
  <c r="A7" i="169"/>
  <c r="Q7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J22" i="37"/>
  <c r="D24" i="37"/>
  <c r="B4270" i="106" s="1"/>
  <c r="D4270" i="106" s="1"/>
  <c r="D36" i="108" l="1"/>
  <c r="F36" i="108"/>
  <c r="H33" i="118"/>
  <c r="F42" i="34"/>
  <c r="F49" i="34"/>
  <c r="B1746" i="106"/>
  <c r="D1746" i="106" s="1"/>
  <c r="J49" i="8"/>
  <c r="B4172" i="106" s="1"/>
  <c r="D4172" i="106" s="1"/>
  <c r="D31" i="36"/>
  <c r="H29" i="118"/>
  <c r="D22" i="37"/>
  <c r="D11" i="37"/>
  <c r="F72" i="34"/>
  <c r="F41" i="34"/>
  <c r="I210" i="29"/>
  <c r="B7071" i="106" s="1"/>
  <c r="D7071" i="106" s="1"/>
  <c r="F45" i="34"/>
  <c r="F31" i="108"/>
  <c r="B1126" i="106"/>
  <c r="D1126" i="106" s="1"/>
  <c r="F27" i="108"/>
  <c r="F26" i="108"/>
  <c r="D26" i="108"/>
  <c r="F35" i="34"/>
  <c r="G172" i="5"/>
  <c r="G173" i="5" s="1"/>
  <c r="B5778" i="106" s="1"/>
  <c r="D5778" i="106" s="1"/>
  <c r="F46" i="34"/>
  <c r="L15" i="11"/>
  <c r="B3459" i="106" s="1"/>
  <c r="D3459" i="106" s="1"/>
  <c r="I24" i="12"/>
  <c r="I26" i="12" s="1"/>
  <c r="B7741" i="106" s="1"/>
  <c r="D7741" i="106" s="1"/>
  <c r="H28" i="118"/>
  <c r="D5" i="4"/>
  <c r="B3406" i="106" s="1"/>
  <c r="D3406" i="106" s="1"/>
  <c r="F131" i="34"/>
  <c r="F38" i="34"/>
  <c r="D13" i="7"/>
  <c r="B3726" i="106" s="1"/>
  <c r="D3726" i="106" s="1"/>
  <c r="F50" i="34"/>
  <c r="F21" i="8"/>
  <c r="B1879" i="106" s="1"/>
  <c r="D1879" i="106" s="1"/>
  <c r="L5" i="11"/>
  <c r="B2056" i="106" s="1"/>
  <c r="D2056" i="106" s="1"/>
  <c r="F68" i="34"/>
  <c r="J210" i="29"/>
  <c r="B7072" i="106" s="1"/>
  <c r="D7072" i="106" s="1"/>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F66" i="34" l="1"/>
  <c r="D7251" i="106"/>
  <c r="B5770" i="106"/>
  <c r="D5770" i="106" s="1"/>
  <c r="B1996" i="106"/>
  <c r="D1996" i="106" s="1"/>
  <c r="D7253" i="106"/>
  <c r="D7256" i="106"/>
  <c r="N22" i="3"/>
  <c r="B283" i="106" s="1"/>
  <c r="D283" i="106" s="1"/>
  <c r="K28" i="118"/>
  <c r="O27" i="118" s="1"/>
  <c r="O29" i="118" s="1"/>
  <c r="D7250" i="106"/>
  <c r="J24" i="12"/>
  <c r="H77" i="4"/>
  <c r="B3299" i="106" s="1"/>
  <c r="D3299" i="106" s="1"/>
  <c r="J151" i="29"/>
  <c r="B7052" i="106" s="1"/>
  <c r="D7052" i="106" s="1"/>
  <c r="D41" i="108"/>
  <c r="E43" i="108" s="1"/>
  <c r="I7" i="4"/>
  <c r="B4444" i="106" s="1"/>
  <c r="D4444" i="106" s="1"/>
  <c r="I6" i="4"/>
  <c r="B5011" i="106" s="1"/>
  <c r="D5011" i="106" s="1"/>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B3411" i="106"/>
  <c r="D3411" i="106" s="1"/>
  <c r="H24" i="118"/>
  <c r="K24" i="118" s="1"/>
  <c r="O23" i="118" s="1"/>
  <c r="O25" i="118" s="1"/>
  <c r="O35" i="118" s="1"/>
  <c r="O37" i="118" s="1"/>
  <c r="C13" i="3"/>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<sst xmlns="http://schemas.openxmlformats.org/spreadsheetml/2006/main" count="5258" uniqueCount="2217">
  <si>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</si>
  <si>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</si>
  <si>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</si>
  <si>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</si>
  <si>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</si>
  <si>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</si>
  <si>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</si>
  <si>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</si>
  <si>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</si>
  <si>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</si>
  <si>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</si>
  <si>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</si>
  <si>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</si>
  <si>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</si>
  <si>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</si>
  <si>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</si>
  <si>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</si>
  <si>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</si>
  <si>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</si>
  <si>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</si>
  <si>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</si>
  <si>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</si>
  <si>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</si>
  <si>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</si>
  <si>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</si>
  <si>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</si>
  <si>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</si>
  <si>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</si>
  <si>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</si>
  <si>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</si>
  <si>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</si>
  <si>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</si>
  <si>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</si>
  <si>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</si>
  <si>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</si>
  <si>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</si>
  <si>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</si>
  <si>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</si>
  <si>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</si>
  <si>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</si>
  <si>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</si>
  <si>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</si>
  <si>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</si>
  <si>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</si>
  <si>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</si>
  <si>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</si>
  <si>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</si>
  <si>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</si>
  <si>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</si>
  <si>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</si>
  <si>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</si>
  <si>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</si>
  <si>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</si>
  <si>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</si>
  <si>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</si>
  <si>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</si>
  <si>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</si>
  <si>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</si>
  <si>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</si>
  <si>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</si>
  <si>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</si>
  <si>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</si>
  <si>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</si>
  <si>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</si>
  <si>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</si>
  <si>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</si>
  <si>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</si>
  <si>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</si>
  <si>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</si>
  <si>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</si>
  <si>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</si>
  <si>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</si>
  <si>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</si>
  <si>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</si>
  <si>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</si>
  <si>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</si>
  <si>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</si>
  <si>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</si>
  <si>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</si>
  <si>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</si>
  <si>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</si>
  <si>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</si>
  <si>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</si>
  <si>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</si>
  <si>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</si>
  <si>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</si>
  <si>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</si>
  <si>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</si>
  <si>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</si>
  <si>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</si>
  <si>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</si>
  <si>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</si>
  <si>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</si>
  <si>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</si>
  <si>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</si>
  <si>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</si>
  <si>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</si>
  <si>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</si>
  <si>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</si>
  <si>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</si>
  <si>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</si>
  <si>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</si>
  <si>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</si>
  <si>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</si>
  <si>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</si>
  <si>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</si>
  <si>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</si>
  <si>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</si>
  <si>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</si>
  <si>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</si>
  <si>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</si>
  <si>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</si>
  <si>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</si>
  <si>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</si>
  <si>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</si>
  <si>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</si>
  <si>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</si>
  <si>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</si>
  <si>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</si>
  <si>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</si>
  <si>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</si>
  <si>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</si>
  <si>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</si>
  <si>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</si>
  <si>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</si>
  <si>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</si>
  <si>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</si>
  <si>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</si>
  <si>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</si>
  <si>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</si>
  <si>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</si>
  <si>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</si>
  <si>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</si>
  <si>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</si>
  <si>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</si>
  <si>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</si>
  <si>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</si>
  <si>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</si>
  <si>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</si>
  <si>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</si>
  <si>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</si>
  <si>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</si>
  <si>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</si>
  <si>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</si>
  <si>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</si>
  <si>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</si>
  <si>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</si>
  <si>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</si>
  <si>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</si>
  <si>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</si>
  <si>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</si>
  <si>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</si>
  <si>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</si>
  <si>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</si>
  <si>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</si>
  <si>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</si>
  <si>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</si>
  <si>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</si>
  <si>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</si>
  <si>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</si>
  <si>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</si>
  <si>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</si>
  <si>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</si>
  <si>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</si>
  <si>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</si>
  <si>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</si>
  <si>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</si>
  <si>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</si>
  <si>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</si>
  <si>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</si>
  <si>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</si>
  <si>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</si>
  <si>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</si>
  <si>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</si>
  <si>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</si>
  <si>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</si>
  <si>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</si>
  <si>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</si>
  <si>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</si>
  <si>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</si>
  <si>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</si>
  <si>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</si>
  <si>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</si>
  <si>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</si>
  <si>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</si>
  <si>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</si>
  <si>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</si>
  <si>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</si>
  <si>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</si>
  <si>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</si>
  <si>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</si>
  <si>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</si>
  <si>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</si>
  <si>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</si>
  <si>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</si>
  <si>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</si>
  <si>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</si>
  <si>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</si>
  <si>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</si>
  <si>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</si>
  <si>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</si>
  <si>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</si>
  <si>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</si>
  <si>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</si>
  <si>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</si>
  <si>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</si>
  <si>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</si>
  <si>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</si>
  <si>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</si>
  <si>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</si>
  <si>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</si>
  <si>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</si>
  <si>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</si>
  <si>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</si>
  <si>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</si>
  <si>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</si>
  <si>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</si>
  <si>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</si>
  <si>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</si>
  <si>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</si>
  <si>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</si>
  <si>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</si>
  <si>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</si>
  <si>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</si>
  <si>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</si>
  <si>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</si>
  <si>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</si>
  <si>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</si>
  <si>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</si>
  <si>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</si>
  <si>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</si>
  <si>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</si>
  <si>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</si>
  <si>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</si>
  <si>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</si>
  <si>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</si>
  <si>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</si>
  <si>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</si>
  <si>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</si>
  <si>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</si>
  <si>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</si>
  <si>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</si>
  <si>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</si>
  <si>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</si>
  <si>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</si>
  <si>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</si>
  <si>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</si>
  <si>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</si>
  <si>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</si>
  <si>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</si>
  <si>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</si>
  <si>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</si>
  <si>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</si>
  <si>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</si>
  <si>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</si>
  <si>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</si>
  <si>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</si>
  <si>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</si>
  <si>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</si>
  <si>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</si>
  <si>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</si>
  <si>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</si>
  <si>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</si>
  <si>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</si>
  <si>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</si>
  <si>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</si>
  <si>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</si>
  <si>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</si>
  <si>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</si>
  <si>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</si>
  <si>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</si>
  <si>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</si>
  <si>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</si>
  <si>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</si>
  <si>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</si>
  <si>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</si>
  <si>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</si>
  <si>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</si>
  <si>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</si>
  <si>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</si>
  <si>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</si>
  <si>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</si>
  <si>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</si>
  <si>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</si>
  <si>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</si>
  <si>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</si>
  <si>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</si>
  <si>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</si>
  <si>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</si>
  <si>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</si>
  <si>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</si>
  <si>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</si>
  <si>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</si>
  <si>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</si>
  <si>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</si>
  <si>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</si>
  <si>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</si>
  <si>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</si>
  <si>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</si>
  <si>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</si>
  <si>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</si>
  <si>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</si>
  <si>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</si>
  <si>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</si>
  <si>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</si>
  <si>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</si>
  <si>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</si>
  <si>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</si>
  <si>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</si>
  <si>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</si>
  <si>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</si>
  <si>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</si>
  <si>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</si>
  <si>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</si>
  <si>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</si>
  <si>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</si>
  <si>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</si>
  <si>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</si>
  <si>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</si>
  <si>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</si>
  <si>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</si>
  <si>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</si>
  <si>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</si>
  <si>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</si>
  <si>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</si>
  <si>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</si>
  <si>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</si>
  <si>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</si>
  <si>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</si>
  <si>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</si>
  <si>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</si>
  <si>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</si>
  <si>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</si>
  <si>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</si>
  <si>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</si>
  <si>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</si>
  <si>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</si>
  <si>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</si>
  <si>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</si>
  <si>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</si>
  <si>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</si>
  <si>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</si>
  <si>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</si>
  <si>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</si>
  <si>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</si>
  <si>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</si>
  <si>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</si>
  <si>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</si>
  <si>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</si>
  <si>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</si>
  <si>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</si>
  <si>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</si>
  <si>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</si>
  <si>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</si>
  <si>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</si>
  <si>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</si>
  <si>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</si>
  <si>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</si>
  <si>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</si>
  <si>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</si>
  <si>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</si>
  <si>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</si>
  <si>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</si>
  <si>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</si>
  <si>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</si>
  <si>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</si>
  <si>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</si>
  <si>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</si>
  <si>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</si>
  <si>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</si>
  <si>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</si>
  <si>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</si>
  <si>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</si>
  <si>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</si>
  <si>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</si>
  <si>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</si>
  <si>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</si>
  <si>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</si>
  <si>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</si>
  <si>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</si>
  <si>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</si>
  <si>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</si>
  <si>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</si>
  <si>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</si>
  <si>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</si>
  <si>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</si>
  <si>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</si>
  <si>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</si>
  <si>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</si>
  <si>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</si>
  <si>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</si>
  <si>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</si>
  <si>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</si>
  <si>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</si>
  <si>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</si>
  <si>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</si>
  <si>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</si>
  <si>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</si>
  <si>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</si>
  <si>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</si>
  <si>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</si>
  <si>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</si>
  <si>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</si>
  <si>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</si>
  <si>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</si>
  <si>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</si>
  <si>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</si>
  <si>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</si>
  <si>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</si>
  <si>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</si>
  <si>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</si>
  <si>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</si>
  <si>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</si>
  <si>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</si>
  <si>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</si>
  <si>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</si>
  <si>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</si>
  <si>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</si>
  <si>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</si>
  <si>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</si>
  <si>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</si>
  <si>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</si>
  <si>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</si>
  <si>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</si>
  <si>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</si>
  <si>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</si>
  <si>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</si>
  <si>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</si>
  <si>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</si>
  <si>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</si>
  <si>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</si>
  <si>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</si>
  <si>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</si>
  <si>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</si>
  <si>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</si>
  <si>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</si>
  <si>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</si>
  <si>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</si>
  <si>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</si>
  <si>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</si>
  <si>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</si>
  <si>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</si>
  <si>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</si>
  <si>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</si>
  <si>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</si>
  <si>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</si>
  <si>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</si>
  <si>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</si>
  <si>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</si>
  <si>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</si>
  <si>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</si>
  <si>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</si>
  <si>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</si>
  <si>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</si>
  <si>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</si>
  <si>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</si>
  <si>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</si>
  <si>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</si>
  <si>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</si>
  <si>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</si>
  <si>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</si>
  <si>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</si>
  <si>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</si>
  <si>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</si>
  <si>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</si>
  <si>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</si>
  <si>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</si>
  <si>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</si>
  <si>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</si>
  <si>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</si>
  <si>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</si>
  <si>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</si>
  <si>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</si>
  <si>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</si>
  <si>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</si>
  <si>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</si>
  <si>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</si>
  <si>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</si>
  <si>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</si>
  <si>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</si>
  <si>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</si>
  <si>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</si>
  <si>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</si>
  <si>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</si>
  <si>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</si>
  <si>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</si>
  <si>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</si>
  <si>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</si>
  <si>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</si>
  <si>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</si>
  <si>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</si>
  <si>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</si>
  <si>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</si>
  <si>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</si>
  <si>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</si>
  <si>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</si>
  <si>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</si>
  <si>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</si>
  <si>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</si>
  <si>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</si>
  <si>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</si>
  <si>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</si>
  <si>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</si>
  <si>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</si>
  <si>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</si>
  <si>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</si>
  <si>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</si>
  <si>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</si>
  <si>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</si>
  <si>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</si>
  <si>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</si>
  <si>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</si>
  <si>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</si>
  <si>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</si>
  <si>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</si>
  <si>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</si>
  <si>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</si>
  <si>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</si>
  <si>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</si>
  <si>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</si>
  <si>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</si>
  <si>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</si>
  <si>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</si>
  <si>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</si>
  <si>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</si>
  <si>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</si>
  <si>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</si>
  <si>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</si>
  <si>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</si>
  <si>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</si>
  <si>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</si>
  <si>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</si>
  <si>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</si>
  <si>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</si>
  <si>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</si>
  <si>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</si>
  <si>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</si>
  <si>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</si>
  <si>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</si>
  <si>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</si>
  <si>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</si>
  <si>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</si>
  <si>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</si>
  <si>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</si>
  <si>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</si>
  <si>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</si>
  <si>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</si>
  <si>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</si>
  <si>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</si>
  <si>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</si>
  <si>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</si>
  <si>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</si>
  <si>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</si>
  <si>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</si>
  <si>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</si>
  <si>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</si>
  <si>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</si>
  <si>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</si>
  <si>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</si>
  <si>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</si>
  <si>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</si>
  <si>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</si>
  <si>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</si>
  <si>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</si>
  <si>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</si>
  <si>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</si>
  <si>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</si>
  <si>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</si>
  <si>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</si>
  <si>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</si>
  <si>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</si>
  <si>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</si>
  <si>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</si>
  <si>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</si>
  <si>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</si>
  <si>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</si>
  <si>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</si>
  <si>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</si>
  <si>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</si>
  <si>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</si>
  <si>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</si>
  <si>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</si>
  <si>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</si>
  <si>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</si>
  <si>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</si>
  <si>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</si>
  <si>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</si>
  <si>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</si>
  <si>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</si>
  <si>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</si>
  <si>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</si>
  <si>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</si>
  <si>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</si>
  <si>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</si>
  <si>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</si>
  <si>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</si>
  <si>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</si>
  <si>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</si>
  <si>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</si>
  <si>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</si>
  <si>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</si>
  <si>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</si>
  <si>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</si>
  <si>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</si>
  <si>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</si>
  <si>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</si>
  <si>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</si>
  <si>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</si>
  <si>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</si>
  <si>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</si>
  <si>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</si>
  <si>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</si>
  <si>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</si>
  <si>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</si>
  <si>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</si>
  <si>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</si>
  <si>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</si>
  <si>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</si>
  <si>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</si>
  <si>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</si>
  <si>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</si>
  <si>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</si>
  <si>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</si>
  <si>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</si>
  <si>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</si>
  <si>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</si>
  <si>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</si>
  <si>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</si>
  <si>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</si>
  <si>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</si>
  <si>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</si>
  <si>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</si>
  <si>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</si>
  <si>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</si>
  <si>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</si>
  <si>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</si>
  <si>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</si>
  <si>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</si>
  <si>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</si>
  <si>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</si>
  <si>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</si>
  <si>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</si>
  <si>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</si>
  <si>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</si>
  <si>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</si>
  <si>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</si>
  <si>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</si>
  <si>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</si>
  <si>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</si>
  <si>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</si>
  <si>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</si>
  <si>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</si>
  <si>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</si>
  <si>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</si>
  <si>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</si>
  <si>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</si>
  <si>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</si>
  <si>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</si>
  <si>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</si>
  <si>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</si>
  <si>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</si>
  <si>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</si>
  <si>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</si>
  <si>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</si>
  <si>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</si>
  <si>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</si>
  <si>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</si>
  <si>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</si>
  <si>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</si>
  <si>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</si>
  <si>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</si>
  <si>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</si>
  <si>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</si>
  <si>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</si>
  <si>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</si>
  <si>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</si>
  <si>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</si>
  <si>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</si>
  <si>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</si>
  <si>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</si>
  <si>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</si>
  <si>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</si>
  <si>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</si>
  <si>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</si>
  <si>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</si>
  <si>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</si>
  <si>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</si>
  <si>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</si>
  <si>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</si>
  <si>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</si>
  <si>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</si>
  <si>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</si>
  <si>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</si>
  <si>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</si>
  <si>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</si>
  <si>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</si>
  <si>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</si>
  <si>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</si>
  <si>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</si>
  <si>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</si>
  <si>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</si>
  <si>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</si>
  <si>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</si>
  <si>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</si>
  <si>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</si>
  <si>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</si>
  <si>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</si>
  <si>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</si>
  <si>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</si>
  <si>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</si>
  <si>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</si>
  <si>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</si>
  <si>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</si>
  <si>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</si>
  <si>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</si>
  <si>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</si>
  <si>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</si>
  <si>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</si>
  <si>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</si>
  <si>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</si>
  <si>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</si>
  <si>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</si>
  <si>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</si>
  <si>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</si>
  <si>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</si>
  <si>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</si>
  <si>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</si>
  <si>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</si>
  <si>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</si>
  <si>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</si>
  <si>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</si>
  <si>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</si>
  <si>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</si>
  <si>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</si>
  <si>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</si>
  <si>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</si>
  <si>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</si>
  <si>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</si>
  <si>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</si>
  <si>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</si>
  <si>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</si>
  <si>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</si>
  <si>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</si>
  <si>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</si>
  <si>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</si>
  <si>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</si>
  <si>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</si>
  <si>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</si>
  <si>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</si>
  <si>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</si>
  <si>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</si>
  <si>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</si>
  <si>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</si>
  <si>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</si>
  <si>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</si>
  <si>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</si>
  <si>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</si>
  <si>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</si>
  <si>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</si>
  <si>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</si>
  <si>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</si>
  <si>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</si>
  <si>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</si>
  <si>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</si>
  <si>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</si>
  <si>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</si>
  <si>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</si>
  <si>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</si>
  <si>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</si>
  <si>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</si>
  <si>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</si>
  <si>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</si>
  <si>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</si>
  <si>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</si>
  <si>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</si>
  <si>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</si>
  <si>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</si>
  <si>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</si>
  <si>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</si>
  <si>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</si>
  <si>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</si>
  <si>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</si>
  <si>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</si>
  <si>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</si>
  <si>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</si>
  <si>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</si>
  <si>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</si>
  <si>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</si>
  <si>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</si>
  <si>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</si>
  <si>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</si>
  <si>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</si>
  <si>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</si>
  <si>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</si>
  <si>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</si>
  <si>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</si>
  <si>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</si>
  <si>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</si>
  <si>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</si>
  <si>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</si>
  <si>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</si>
  <si>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</si>
  <si>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</si>
  <si>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</si>
  <si>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</si>
  <si>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</si>
  <si>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</si>
  <si>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</si>
  <si>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</si>
  <si>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</si>
  <si>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</si>
  <si>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</si>
  <si>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</si>
  <si>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</si>
  <si>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</si>
  <si>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</si>
  <si>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</si>
  <si>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</si>
  <si>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</si>
  <si>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</si>
  <si>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</si>
  <si>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</si>
  <si>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</si>
  <si>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</si>
  <si>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</si>
  <si>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</si>
  <si>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</si>
  <si>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</si>
  <si>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</si>
  <si>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</si>
  <si>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</si>
  <si>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</si>
  <si>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</si>
  <si>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</si>
  <si>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</si>
  <si>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</si>
  <si>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</si>
  <si>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</si>
  <si>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</si>
  <si>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</si>
  <si>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</si>
  <si>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</si>
  <si>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</si>
  <si>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</si>
  <si>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</si>
  <si>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</si>
  <si>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</si>
  <si>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</si>
  <si>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</si>
  <si>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</si>
  <si>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</si>
  <si>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</si>
  <si>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</si>
  <si>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</si>
  <si>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</si>
  <si>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</si>
  <si>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</si>
  <si>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</si>
  <si>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</si>
  <si>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</si>
  <si>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</si>
  <si>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</si>
  <si>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</si>
  <si>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</si>
  <si>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</si>
  <si>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</si>
  <si>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</si>
  <si>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</si>
  <si>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</si>
  <si>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</si>
  <si>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</si>
  <si>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</si>
  <si>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</si>
  <si>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</si>
  <si>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</si>
  <si>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</si>
  <si>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</si>
  <si>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</si>
  <si>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</si>
  <si>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</si>
  <si>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</si>
  <si>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</si>
  <si>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</si>
  <si>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</si>
  <si>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</si>
  <si>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</si>
  <si>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</si>
  <si>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</si>
  <si>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</si>
  <si>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</si>
  <si>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</si>
  <si>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</si>
  <si>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</si>
  <si>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</si>
  <si>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</si>
  <si>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</si>
  <si>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</si>
  <si>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</si>
  <si>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</si>
  <si>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</si>
  <si>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</si>
  <si>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</si>
  <si>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</si>
  <si>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</si>
  <si>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</si>
  <si>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</si>
  <si>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</si>
  <si>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</si>
  <si>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</si>
  <si>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</si>
  <si>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</si>
  <si>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</si>
  <si>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</si>
  <si>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</si>
  <si>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</si>
  <si>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</si>
  <si>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</si>
  <si>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</si>
  <si>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</si>
  <si>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</si>
  <si>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</si>
  <si>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</si>
  <si>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</si>
  <si>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</si>
  <si>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</si>
  <si>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</si>
  <si>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</si>
  <si>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</si>
  <si>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</si>
  <si>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</si>
  <si>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</si>
  <si>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</si>
  <si>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</si>
  <si>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</si>
  <si>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</si>
  <si>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</si>
  <si>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</si>
  <si>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</si>
  <si>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</si>
  <si>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</si>
  <si>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</si>
  <si>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</si>
  <si>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</si>
  <si>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</si>
  <si>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</si>
  <si>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</si>
  <si>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</si>
  <si>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</si>
  <si>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</si>
  <si>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</si>
  <si>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</si>
  <si>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</si>
  <si>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</si>
  <si>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</si>
  <si>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</si>
  <si>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</si>
  <si>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</si>
  <si>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</si>
  <si>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</si>
  <si>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</si>
  <si>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</si>
  <si>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</si>
  <si>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</si>
  <si>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</si>
  <si>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</si>
  <si>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</si>
  <si>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</si>
  <si>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</si>
  <si>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</si>
  <si>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</si>
  <si>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</si>
  <si>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</si>
  <si>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</si>
  <si>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</si>
  <si>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</si>
  <si>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</si>
  <si>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</si>
  <si>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</si>
  <si>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</si>
  <si>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</si>
  <si>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</si>
  <si>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</si>
  <si>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</si>
  <si>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</si>
  <si>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</si>
  <si>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</si>
  <si>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</si>
  <si>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</si>
  <si>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</si>
  <si>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</si>
  <si>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</si>
  <si>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</si>
  <si>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</si>
  <si>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</si>
  <si>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</si>
  <si>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</si>
  <si>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</si>
  <si>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</si>
  <si>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</si>
  <si>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</si>
  <si>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</si>
  <si>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</si>
  <si>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</si>
  <si>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</si>
  <si>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</si>
  <si>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</si>
  <si>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</si>
  <si>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</si>
  <si>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</si>
  <si>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</si>
  <si>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</si>
  <si>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</si>
  <si>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</si>
  <si>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</si>
  <si>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</si>
  <si>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</si>
  <si>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</si>
  <si>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</si>
  <si>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</si>
  <si>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</si>
  <si>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</si>
  <si>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</si>
  <si>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</si>
  <si>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</si>
  <si>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</si>
  <si>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</si>
  <si>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</si>
  <si>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</si>
  <si>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</si>
  <si>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</si>
  <si>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</si>
  <si>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</si>
  <si>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</si>
  <si>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</si>
  <si>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</si>
  <si>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</si>
  <si>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</si>
  <si>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</si>
  <si>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</si>
  <si>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</si>
  <si>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</si>
  <si>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</si>
  <si>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</si>
  <si>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</si>
  <si>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</si>
  <si>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</si>
  <si>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</si>
  <si>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</si>
  <si>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</si>
  <si>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</si>
  <si>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</si>
  <si>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</si>
  <si>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</si>
  <si>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</si>
  <si>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</si>
  <si>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</si>
  <si>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</si>
  <si>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</si>
  <si>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</si>
  <si>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</si>
  <si>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</si>
  <si>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</si>
  <si>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</si>
  <si>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</si>
  <si>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</si>
  <si>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</si>
  <si>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</si>
  <si>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</si>
  <si>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</si>
  <si>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</si>
  <si>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</si>
  <si>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</si>
  <si>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</si>
  <si>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</si>
  <si>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</si>
  <si>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</si>
  <si>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</si>
  <si>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</si>
  <si>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</si>
  <si>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</si>
  <si>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</si>
  <si>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</si>
  <si>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</si>
  <si>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</si>
  <si>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</si>
  <si>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</si>
  <si>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</si>
  <si>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</si>
  <si>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</si>
  <si>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</si>
  <si>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</si>
  <si>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</si>
  <si>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</si>
  <si>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</si>
  <si>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</si>
  <si>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</si>
  <si>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</si>
  <si>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</si>
  <si>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</si>
  <si>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</si>
  <si>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</si>
  <si>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</si>
  <si>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</si>
  <si>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</si>
  <si>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</si>
  <si>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</si>
  <si>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</si>
  <si>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</si>
  <si>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</si>
  <si>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</si>
  <si>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</si>
  <si>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</si>
  <si>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</si>
  <si>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</si>
  <si>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</si>
  <si>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</si>
  <si>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</si>
  <si>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</si>
  <si>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</si>
  <si>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</si>
  <si>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</si>
  <si>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</si>
  <si>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</si>
  <si>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</si>
  <si>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</si>
  <si>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</si>
  <si>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</si>
  <si>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</si>
  <si>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</si>
  <si>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</si>
  <si>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</si>
  <si>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</si>
  <si>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</si>
  <si>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</si>
  <si>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</si>
  <si>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</si>
  <si>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</si>
  <si>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</si>
  <si>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</si>
  <si>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</si>
  <si>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</si>
  <si>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</si>
  <si>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</si>
  <si>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</si>
  <si>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</si>
  <si>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</si>
  <si>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</si>
  <si>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</si>
  <si>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</si>
  <si>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</si>
  <si>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</si>
  <si>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</si>
  <si>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</si>
  <si>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</si>
  <si>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</si>
  <si>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</si>
  <si>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</si>
  <si>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</si>
  <si>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</si>
  <si>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</si>
  <si>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</si>
  <si>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</si>
  <si>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</si>
  <si>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</si>
  <si>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</si>
  <si>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</si>
  <si>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</si>
  <si>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</si>
  <si>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</si>
  <si>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</si>
  <si>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</si>
  <si>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</si>
  <si>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</si>
  <si>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</si>
  <si>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</si>
  <si>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</si>
  <si>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</si>
  <si>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</si>
  <si>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</si>
  <si>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</si>
  <si>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</si>
  <si>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</si>
  <si>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</si>
  <si>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</si>
  <si>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</si>
  <si>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</si>
  <si>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</si>
  <si>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</si>
  <si>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</si>
  <si>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</si>
  <si>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</si>
  <si>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</si>
  <si>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</si>
  <si>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</si>
  <si>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</si>
  <si>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</si>
  <si>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</si>
  <si>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</si>
  <si>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</si>
  <si>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</si>
  <si>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</si>
  <si>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</si>
  <si>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</si>
  <si>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</si>
  <si>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</si>
  <si>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</si>
  <si>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</si>
  <si>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</si>
  <si>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</si>
  <si>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</si>
  <si>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</si>
  <si>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</si>
  <si>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</si>
  <si>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</si>
  <si>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</si>
  <si>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</si>
  <si>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</si>
  <si>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</si>
  <si>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</si>
  <si>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</si>
  <si>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</si>
  <si>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</si>
  <si>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</si>
  <si>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</si>
  <si>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</si>
  <si>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</si>
  <si>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</si>
  <si>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</si>
  <si>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</si>
  <si>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</si>
  <si>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</si>
  <si>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</si>
  <si>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</si>
  <si>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</si>
  <si>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</si>
  <si>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</si>
  <si>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</si>
  <si>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</si>
  <si>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</si>
  <si>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</si>
  <si>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</si>
  <si>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</si>
  <si>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</si>
  <si>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</si>
  <si>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</si>
  <si>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</si>
  <si>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</si>
  <si>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</si>
  <si>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</si>
  <si>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</si>
  <si>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</si>
  <si>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</si>
  <si>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</si>
  <si>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</si>
  <si>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</si>
  <si>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</si>
  <si>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</si>
  <si>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</si>
  <si>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</si>
  <si>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</si>
  <si>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</si>
  <si>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</si>
  <si>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</si>
  <si>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</si>
  <si>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</si>
  <si>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</si>
  <si>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</si>
  <si>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</si>
  <si>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</si>
  <si>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</si>
  <si>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</si>
  <si>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</si>
  <si>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</si>
  <si>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</si>
  <si>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</si>
  <si>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</si>
  <si>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</si>
  <si>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</si>
  <si>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</si>
  <si>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</si>
  <si>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</si>
  <si>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</si>
  <si>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</si>
  <si>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</si>
  <si>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</si>
  <si>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</si>
  <si>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</si>
  <si>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</si>
  <si>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</si>
  <si>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</si>
  <si>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</si>
  <si>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</si>
  <si>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</si>
  <si>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</si>
  <si>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</si>
  <si>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</si>
  <si>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</si>
  <si>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</si>
  <si>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</si>
  <si>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</si>
  <si>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</si>
  <si>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</si>
  <si>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</si>
  <si>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</si>
  <si>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</si>
  <si>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</si>
  <si>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</si>
  <si>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</si>
  <si>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</si>
  <si>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</si>
  <si>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</si>
  <si>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</si>
  <si>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</si>
  <si>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</si>
  <si>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</si>
  <si>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</si>
  <si>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</si>
  <si>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</si>
  <si>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</si>
  <si>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</si>
  <si>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</si>
  <si>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</si>
  <si>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</si>
  <si>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</si>
  <si>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</si>
  <si>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</si>
  <si>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</si>
  <si>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</si>
  <si>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</si>
  <si>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</si>
  <si>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</si>
  <si>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</si>
  <si>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</si>
  <si>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</si>
  <si>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</si>
  <si>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</si>
  <si>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</si>
  <si>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</si>
  <si>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</si>
  <si>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</si>
  <si>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</si>
  <si>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</si>
  <si>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</si>
  <si>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</si>
  <si>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</si>
  <si>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</si>
  <si>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</si>
  <si>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</si>
  <si>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</si>
  <si>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</si>
  <si>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</si>
  <si>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</si>
  <si>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</si>
  <si>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</si>
  <si>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</si>
  <si>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</si>
  <si>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</si>
  <si>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</si>
  <si>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</si>
  <si>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</si>
  <si>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</si>
  <si>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</si>
  <si>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</si>
  <si>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</si>
  <si>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</si>
  <si>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</si>
  <si>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</si>
  <si>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</si>
  <si>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</si>
  <si>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</si>
  <si>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</si>
  <si>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</si>
  <si>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</si>
  <si>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</si>
  <si>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</si>
  <si>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</si>
  <si>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</si>
  <si>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</si>
  <si>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</si>
  <si>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</si>
  <si>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</si>
  <si>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</si>
  <si>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</si>
  <si>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</si>
  <si>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</si>
  <si>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</si>
  <si>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</si>
  <si>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</si>
  <si>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</si>
  <si>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</si>
  <si>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</si>
  <si>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</si>
  <si>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</si>
  <si>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</si>
  <si>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</si>
  <si>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</si>
  <si>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</si>
  <si>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</si>
  <si>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</si>
  <si>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</si>
  <si>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</si>
  <si>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</si>
  <si>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</si>
  <si>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</si>
  <si>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</si>
  <si>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</si>
  <si>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</si>
  <si>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</si>
  <si>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</si>
  <si>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</si>
  <si>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</si>
  <si>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</si>
  <si>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</si>
  <si>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</si>
  <si>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</si>
  <si>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</si>
  <si>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</si>
  <si>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</si>
  <si>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</si>
  <si>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</si>
  <si>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</si>
  <si>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</si>
  <si>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</si>
  <si>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</si>
  <si>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</si>
  <si>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</si>
  <si>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</si>
  <si>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</si>
  <si>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</si>
  <si>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</si>
  <si>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</si>
  <si>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</si>
  <si>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</si>
  <si>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</si>
  <si>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</si>
  <si>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</si>
  <si>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</si>
  <si>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</si>
  <si>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</si>
  <si>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</si>
  <si>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</si>
  <si>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</si>
  <si>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</si>
  <si>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</si>
  <si>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</si>
  <si>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</si>
  <si>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</si>
  <si>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</si>
  <si>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</si>
  <si>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</si>
  <si>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</si>
  <si>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</si>
  <si>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</si>
  <si>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</si>
  <si>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</si>
  <si>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</si>
  <si>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</si>
  <si>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</si>
  <si>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</si>
  <si>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</si>
  <si>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</si>
  <si>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</si>
  <si>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</si>
  <si>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</si>
  <si>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</si>
  <si>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</si>
  <si>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</si>
  <si>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</si>
  <si>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</si>
  <si>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</si>
  <si>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</si>
  <si>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</si>
  <si>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</si>
  <si>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</si>
  <si>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</si>
  <si>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</si>
  <si>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</si>
  <si>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</si>
  <si>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</si>
  <si>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</si>
  <si>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</si>
  <si>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</si>
  <si>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</si>
  <si>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</si>
  <si>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</si>
  <si>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</si>
  <si>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</si>
  <si>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</si>
  <si>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</si>
  <si>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</si>
  <si>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</si>
  <si>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</si>
  <si>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</si>
  <si>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</si>
  <si>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</si>
  <si>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</si>
  <si>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</si>
  <si>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</si>
  <si>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</si>
  <si>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</si>
  <si>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</si>
  <si>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</si>
  <si>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</si>
  <si>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</si>
  <si>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</si>
  <si>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</si>
  <si>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</si>
  <si>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</si>
  <si>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</si>
  <si>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</si>
  <si>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</si>
  <si>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</si>
  <si>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</si>
  <si>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</si>
  <si>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</si>
  <si>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</si>
  <si>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</si>
  <si>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</si>
  <si>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</si>
  <si>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</si>
  <si>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</si>
  <si>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</si>
  <si>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</si>
  <si>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</si>
  <si>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</si>
  <si>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</si>
  <si>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</si>
  <si>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</si>
  <si>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</si>
  <si>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</si>
  <si>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</si>
  <si>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</si>
  <si>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</si>
  <si>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</si>
  <si>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</si>
  <si>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</si>
  <si>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</si>
  <si>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</si>
  <si>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</si>
  <si>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</si>
  <si>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</si>
  <si>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</si>
  <si>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</si>
  <si>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</si>
  <si>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</si>
  <si>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</si>
  <si>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</si>
  <si>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</si>
  <si>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</si>
  <si>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</si>
  <si>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</si>
  <si>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</si>
  <si>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</si>
  <si>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</si>
  <si>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</si>
  <si>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</si>
  <si>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</si>
  <si>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</si>
  <si>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</si>
  <si>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</si>
  <si>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</si>
  <si>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</si>
  <si>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</si>
  <si>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</si>
  <si>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</si>
  <si>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</si>
  <si>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</si>
  <si>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</si>
  <si>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</si>
  <si>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</si>
  <si>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</si>
  <si>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</si>
  <si>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</si>
  <si>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</si>
  <si>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</si>
  <si>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</si>
  <si>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</si>
  <si>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</si>
  <si>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</si>
  <si>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</si>
  <si>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</si>
  <si>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</si>
  <si>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</si>
  <si>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</si>
  <si>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</si>
  <si>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</si>
  <si>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</si>
  <si>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</si>
  <si>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</si>
  <si>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</si>
  <si>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</si>
  <si>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</si>
  <si>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</si>
  <si>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</si>
  <si>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</si>
  <si>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</si>
  <si>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</si>
  <si>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</si>
  <si>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</si>
  <si>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</si>
  <si>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</si>
  <si>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</si>
  <si>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</si>
  <si>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</si>
  <si>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</si>
  <si>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</si>
  <si>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</si>
  <si>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</si>
  <si>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</si>
  <si>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</si>
  <si>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</si>
  <si>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</si>
  <si>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</si>
  <si>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</si>
  <si>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</si>
  <si>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</si>
  <si>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</si>
  <si>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</si>
  <si>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</si>
  <si>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</si>
  <si>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</si>
  <si>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</si>
  <si>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</si>
  <si>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</si>
  <si>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</si>
  <si>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</si>
  <si>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</si>
  <si>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</si>
  <si>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</si>
  <si>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</si>
  <si>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</si>
  <si>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</si>
  <si>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</si>
  <si>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</si>
  <si>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</si>
  <si>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</si>
  <si>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</si>
  <si>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</si>
  <si>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</si>
  <si>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</si>
  <si>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</si>
  <si>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</si>
  <si>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</si>
  <si>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</si>
  <si>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</si>
  <si>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</si>
  <si>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</si>
  <si>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</si>
  <si>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</si>
  <si>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</si>
  <si>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</si>
  <si>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</si>
  <si>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</si>
  <si>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</si>
  <si>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</si>
  <si>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</si>
  <si>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</si>
  <si>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</si>
  <si>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</si>
  <si>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</si>
  <si>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</si>
  <si>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</si>
  <si>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</si>
  <si>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</si>
  <si>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</si>
  <si>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</si>
  <si>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</si>
  <si>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</si>
  <si>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</si>
  <si>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</si>
  <si>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</si>
  <si>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</si>
  <si>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</si>
  <si>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</si>
  <si>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</si>
  <si>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</si>
  <si>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</si>
  <si>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</si>
  <si>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</si>
  <si>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</si>
  <si>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</si>
  <si>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</si>
  <si>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</si>
  <si>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</si>
  <si>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</si>
  <si>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</si>
  <si>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</si>
  <si>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</si>
  <si>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</si>
  <si>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</si>
  <si>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</si>
  <si>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</si>
  <si>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</si>
  <si>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</si>
  <si>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</si>
  <si>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</si>
  <si>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</si>
  <si>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</si>
  <si>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</si>
  <si>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</si>
  <si>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</si>
  <si>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</si>
  <si>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</si>
  <si>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</si>
  <si>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</si>
  <si>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</si>
  <si>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</si>
  <si>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</si>
  <si>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</si>
  <si>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</si>
  <si>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</si>
  <si>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</si>
  <si>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</si>
  <si>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</si>
  <si>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</si>
  <si>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</si>
  <si>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</si>
  <si>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</si>
  <si>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</si>
  <si>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</si>
  <si>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</si>
  <si>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</si>
  <si>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</si>
  <si>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</si>
  <si>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</si>
  <si>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</si>
  <si>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</si>
  <si>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</si>
  <si>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</si>
  <si>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</si>
  <si>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</si>
  <si>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</si>
  <si>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</si>
  <si>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</si>
  <si>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</si>
  <si>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</si>
  <si>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</si>
  <si>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</si>
  <si>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</si>
  <si>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</si>
  <si>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</si>
  <si>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</si>
  <si>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</si>
  <si>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</si>
  <si>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</si>
  <si>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</si>
  <si>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</si>
  <si>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</si>
  <si>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</si>
  <si>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</si>
  <si>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</si>
  <si>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</si>
  <si>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</si>
  <si>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</si>
  <si>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</si>
  <si>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</si>
  <si>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</si>
  <si>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</si>
  <si>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</si>
  <si>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</si>
  <si>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</si>
  <si>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</si>
  <si>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</si>
  <si>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</si>
  <si>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</si>
  <si>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</si>
  <si>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</si>
  <si>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</si>
  <si>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</si>
  <si>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</si>
  <si>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</si>
  <si>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</si>
  <si>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</si>
  <si>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</si>
  <si>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</si>
  <si>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</si>
  <si>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</si>
  <si>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</si>
  <si>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</si>
  <si>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</si>
  <si>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</si>
  <si>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</si>
  <si>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</si>
  <si>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</si>
  <si>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</si>
  <si>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</si>
  <si>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</si>
  <si>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</si>
  <si>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</si>
  <si>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</si>
  <si>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</si>
  <si>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</si>
  <si>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</si>
  <si>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</si>
  <si>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</si>
  <si>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</si>
  <si>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</si>
  <si>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</si>
  <si>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</si>
  <si>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</si>
  <si>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</si>
  <si>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</si>
  <si>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</si>
  <si>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</si>
  <si>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</si>
  <si>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</si>
  <si>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</si>
  <si>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</si>
  <si>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</si>
  <si>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</si>
  <si>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</si>
  <si>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</si>
  <si>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</si>
  <si>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</si>
  <si>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</si>
  <si>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</si>
  <si>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</si>
  <si>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</si>
  <si>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</si>
  <si>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</si>
  <si>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</si>
  <si>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</si>
  <si>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</si>
  <si>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</si>
  <si>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</si>
  <si>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</si>
  <si>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</si>
  <si>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</si>
  <si>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</si>
  <si>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</si>
  <si>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</si>
  <si>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</si>
  <si>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</si>
  <si>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</si>
  <si>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</si>
  <si>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</si>
  <si>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</si>
  <si>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</si>
  <si>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</si>
  <si>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</si>
  <si>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</si>
  <si>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</si>
  <si>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</si>
  <si>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</si>
  <si>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</si>
  <si>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</si>
  <si>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</si>
  <si>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</si>
  <si>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</si>
  <si>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</si>
  <si>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</si>
  <si>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</si>
  <si>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</si>
  <si>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</si>
  <si>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</si>
  <si>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</si>
  <si>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</si>
  <si>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</si>
  <si>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</si>
  <si>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</si>
  <si>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</si>
  <si>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</si>
  <si>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</si>
  <si>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</si>
  <si>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</si>
  <si>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</si>
  <si>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</si>
  <si>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</si>
  <si>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</si>
  <si>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</si>
  <si>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</si>
  <si>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</si>
  <si>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</si>
  <si>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</si>
  <si>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</si>
  <si>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</si>
  <si>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</si>
  <si>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</si>
  <si>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</si>
  <si>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</si>
  <si>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</si>
  <si>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</si>
  <si>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</si>
  <si>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</si>
  <si>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</si>
  <si>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</si>
  <si>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</si>
  <si>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</si>
  <si>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</si>
  <si>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</si>
  <si>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</si>
  <si>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</si>
  <si>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</si>
  <si>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</si>
  <si>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</si>
  <si>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</si>
  <si>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</si>
  <si>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</si>
  <si>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</si>
  <si>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</si>
  <si>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</si>
  <si>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</si>
  <si>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</si>
  <si>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</si>
  <si>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</si>
  <si>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</si>
  <si>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</si>
  <si>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</si>
  <si>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</si>
  <si>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</si>
  <si>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</si>
  <si>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</si>
  <si>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</si>
  <si>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</si>
  <si>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</si>
  <si>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</si>
  <si>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</si>
  <si>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</si>
  <si>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</si>
  <si>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</si>
  <si>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</si>
  <si>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</si>
  <si>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</si>
  <si>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</si>
  <si>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</si>
  <si>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</si>
  <si>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</si>
  <si>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</si>
  <si>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</si>
  <si>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</si>
  <si>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</si>
  <si>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</si>
  <si>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</si>
  <si>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</si>
  <si>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</si>
  <si>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</si>
  <si>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</si>
  <si>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</si>
  <si>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</si>
  <si>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</si>
  <si>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</si>
  <si>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</si>
  <si>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</si>
  <si>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</si>
  <si>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</si>
  <si>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</si>
  <si>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</si>
  <si>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</si>
  <si>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</si>
  <si>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</si>
  <si>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</si>
  <si>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</si>
  <si>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</si>
  <si>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</si>
  <si>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</si>
  <si>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</si>
  <si>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</si>
  <si>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</si>
  <si>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</si>
  <si>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</si>
  <si>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</si>
  <si>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</si>
  <si>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</si>
  <si>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</si>
  <si>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</si>
  <si>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</si>
  <si>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</si>
  <si>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</si>
  <si>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</si>
  <si>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</si>
  <si>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</si>
  <si>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</si>
  <si>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</si>
  <si>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</si>
  <si>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</si>
  <si>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</si>
  <si>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</si>
  <si>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</si>
  <si>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</si>
  <si>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</si>
  <si>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</si>
  <si>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</si>
  <si>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</si>
  <si>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</si>
  <si>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</si>
  <si>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</si>
  <si>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</si>
  <si>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</si>
  <si>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</si>
  <si>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</si>
  <si>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</si>
  <si>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</si>
  <si>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</si>
  <si>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</si>
  <si>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</si>
  <si>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</si>
  <si>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</si>
  <si>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</si>
  <si>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</si>
  <si>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</si>
  <si>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</si>
  <si>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</si>
  <si>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</si>
  <si>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</si>
  <si>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</si>
  <si>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</si>
  <si>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</si>
  <si>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</si>
  <si>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</si>
  <si>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</si>
  <si>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</si>
  <si>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</si>
  <si>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</si>
  <si>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</si>
  <si>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</si>
  <si>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</si>
  <si>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</si>
  <si>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</si>
  <si>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</si>
  <si>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</si>
  <si>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</si>
  <si>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</si>
  <si>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</si>
  <si>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</si>
  <si>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</si>
  <si>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</si>
  <si>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</si>
  <si>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</si>
  <si>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</si>
  <si>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</si>
  <si>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</si>
  <si>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</si>
  <si>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</si>
  <si>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</si>
  <si>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</si>
  <si>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</si>
  <si>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</si>
  <si>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</si>
  <si>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</si>
  <si>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</si>
  <si>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</si>
  <si>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</si>
  <si>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</si>
  <si>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</si>
  <si>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</si>
  <si>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</si>
  <si>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</si>
  <si>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</si>
  <si>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</si>
  <si>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</si>
  <si>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</si>
  <si>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</si>
  <si>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</si>
  <si>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</si>
  <si>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</si>
  <si>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</si>
  <si>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</si>
  <si>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</si>
  <si>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</si>
  <si>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</si>
  <si>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</si>
  <si>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</si>
  <si>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</si>
  <si>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</si>
  <si>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</si>
  <si>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</si>
  <si>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</si>
  <si>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</si>
  <si>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</si>
  <si>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</si>
  <si>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</si>
  <si>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</si>
  <si>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</si>
  <si>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</si>
  <si>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</si>
  <si>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</si>
  <si>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</si>
  <si>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</si>
  <si>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</si>
  <si>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</si>
  <si>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</si>
  <si>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</si>
  <si>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x</t>
  </si>
  <si>
    <t>McLean</t>
  </si>
  <si>
    <t>Olympia Community Unit School District No. 16</t>
  </si>
  <si>
    <t>903 E. 800 North Rd.</t>
  </si>
  <si>
    <t>Stanford</t>
  </si>
  <si>
    <t>Andrew Wise</t>
  </si>
  <si>
    <t>General Obligation Bonds</t>
  </si>
  <si>
    <t>3 &amp; 6</t>
  </si>
  <si>
    <t>1 &amp; 4</t>
  </si>
  <si>
    <t>BPC, OMNI</t>
  </si>
  <si>
    <t>Northern Illinois Food Service Coop</t>
  </si>
  <si>
    <t>Blue Cross, Delta Dental</t>
  </si>
  <si>
    <t>ISDLAF</t>
  </si>
  <si>
    <t>Tri-County Special Ed., Hope School</t>
  </si>
  <si>
    <t>ROE Paper Co-op</t>
  </si>
  <si>
    <t>Illini Cloud, Central IL Broadband, Network Data</t>
  </si>
  <si>
    <t>Tazewell-Mason Special Ed, Bloomington Area Voc. Ed.</t>
  </si>
  <si>
    <t>Thomas R. Peffer, CPA</t>
  </si>
  <si>
    <t>tpeffer@gorenzcpa.com</t>
  </si>
  <si>
    <t>andrew.wise@olympia.org</t>
  </si>
  <si>
    <t>2017-001</t>
  </si>
  <si>
    <t>2017-002</t>
  </si>
  <si>
    <t>2017-003</t>
  </si>
  <si>
    <t>Restricted Social Security/Medicare tax levy</t>
  </si>
  <si>
    <t>spent for IMRF purposes</t>
  </si>
  <si>
    <t>Improper recording of salaries and benefits</t>
  </si>
  <si>
    <t>The opinion is adverse due to the use of the Regulatory Basis of Accounting.</t>
  </si>
  <si>
    <t>The accompanying Schedule of Expenditures of Federal Awards includes the federal grant activity of Olympia Community Unit School District No. 16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</si>
  <si>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Olympia Community Unit School District No. 16 provided federal awards to subrecipients as follows:</t>
  </si>
  <si>
    <t>Not Applicable</t>
  </si>
  <si>
    <r>
      <t xml:space="preserve">The following amounts were expended in the form of non-cash assistance by Olympia Community Unit School District No. 16 and </t>
    </r>
    <r>
      <rPr>
        <b/>
        <sz val="9"/>
        <rFont val="Calibri"/>
        <family val="2"/>
        <scheme val="minor"/>
      </rPr>
      <t>should be</t>
    </r>
    <r>
      <rPr>
        <sz val="9"/>
        <rFont val="Calibri"/>
        <family val="2"/>
        <scheme val="minor"/>
      </rPr>
      <t xml:space="preserve"> included in the Schedule of Expenditures of Federal Awards:</t>
    </r>
  </si>
  <si>
    <t>Note 6:  Relationship to Basic Financial Reports and Program Financial Reports</t>
  </si>
  <si>
    <t>Federal awards received are reflected in the District's financial statements within the Educational and IMRF funds as receipts from federal sources. Amounts reported in the accompanying Schedule of Expenditures of Federal Awards agree with amounts reported in the Program Financial Report for programs which have filed final reports as of June 30, 2018 with ISBE.</t>
  </si>
  <si>
    <t>Unmodified</t>
  </si>
  <si>
    <t>10.555, 10.556, 10.553</t>
  </si>
  <si>
    <t>School Lunch, Commodities, Food Donation, Special Milk, School Breakfast (cluster)</t>
  </si>
  <si>
    <t>None</t>
  </si>
  <si>
    <t>Noted</t>
  </si>
  <si>
    <t>Resolved</t>
  </si>
  <si>
    <t>Expenditures paid from grant were not allowable</t>
  </si>
  <si>
    <t>Debt Certificates</t>
  </si>
  <si>
    <t>Ed-Technology-Contract Services</t>
  </si>
  <si>
    <t>Network Data</t>
  </si>
  <si>
    <t>Commodties</t>
  </si>
  <si>
    <t>RCDT No. 17-064-0160-26</t>
  </si>
  <si>
    <t xml:space="preserve">                                    Year Ended June 30, 2018                                    </t>
  </si>
  <si>
    <t>ISBE</t>
  </si>
  <si>
    <t xml:space="preserve">          Receipts/Revenues          </t>
  </si>
  <si>
    <t xml:space="preserve">  Expenditures/Disbursements  </t>
  </si>
  <si>
    <t>Project</t>
  </si>
  <si>
    <t>Prior To</t>
  </si>
  <si>
    <t>7/01/17 -</t>
  </si>
  <si>
    <t>Final</t>
  </si>
  <si>
    <t>Federal Grantor/Pass-Through Grantor,</t>
  </si>
  <si>
    <t>Number</t>
  </si>
  <si>
    <t>6/30/17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</si>
  <si>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</si>
  <si>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</si>
  <si>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</si>
  <si>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</si>
  <si>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</si>
  <si>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</si>
  <si>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</si>
  <si>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</si>
  <si>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</si>
  <si>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</si>
  <si>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</si>
  <si>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</si>
  <si>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</si>
  <si>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</si>
  <si>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</si>
  <si>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</si>
  <si>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</si>
  <si>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17-4210-00</t>
  </si>
  <si>
    <t>N/A</t>
  </si>
  <si>
    <t>18-4210-00</t>
  </si>
  <si>
    <t>School Lunch - Federal Commodities (3)</t>
  </si>
  <si>
    <t>FY17</t>
  </si>
  <si>
    <t>FY18</t>
  </si>
  <si>
    <t xml:space="preserve">   Dept. of Defense</t>
  </si>
  <si>
    <t>Food Donation- Fresh Fruits and Vegetables (3)</t>
  </si>
  <si>
    <t>16-4215-00</t>
  </si>
  <si>
    <t>17-4220-00</t>
  </si>
  <si>
    <t>18-4220-00</t>
  </si>
  <si>
    <t>Total U.S. Department of Agriculture - Pass-through programs</t>
  </si>
  <si>
    <t>U.S. Department of Education -</t>
  </si>
  <si>
    <t>17-4932-00</t>
  </si>
  <si>
    <t>18-4932-00</t>
  </si>
  <si>
    <t>(2)</t>
  </si>
  <si>
    <t>17-4300-00</t>
  </si>
  <si>
    <t>18-4300-00</t>
  </si>
  <si>
    <t>P.L. 94-142 - IDEA Room &amp; Board</t>
  </si>
  <si>
    <t>17-4625-00</t>
  </si>
  <si>
    <t>18-4625-00</t>
  </si>
  <si>
    <t xml:space="preserve">   Tri-County Special Education Association</t>
  </si>
  <si>
    <t>P.L. 94-142 - IDEA Flow-Through</t>
  </si>
  <si>
    <t>17-4620-00</t>
  </si>
  <si>
    <t>18-4620-00</t>
  </si>
  <si>
    <t>.</t>
  </si>
  <si>
    <t>P.L. 94-142 - IDEA Flow-Through - Pre-School</t>
  </si>
  <si>
    <t>17-4600-00</t>
  </si>
  <si>
    <t>18-4600-00</t>
  </si>
  <si>
    <t xml:space="preserve">   DeWitt/Livingston/McLean Regional Office of Education</t>
  </si>
  <si>
    <t>S.T.E.P.</t>
  </si>
  <si>
    <t>09-4940-00</t>
  </si>
  <si>
    <t>Total U.S. Department of Education - Pass-through programs</t>
  </si>
  <si>
    <t>U. S. Department of Health &amp; Human Services -</t>
  </si>
  <si>
    <t xml:space="preserve">  Pass-through program from</t>
  </si>
  <si>
    <t xml:space="preserve"> Illinois Department of Healthcare and Family Services</t>
  </si>
  <si>
    <t xml:space="preserve">  Medicaid Administrative Outreach</t>
  </si>
  <si>
    <t>17-4991-00</t>
  </si>
  <si>
    <t>18-4991-00</t>
  </si>
  <si>
    <t>Total U.S. Department of Health &amp; Human Serices - Pass-through programs</t>
  </si>
  <si>
    <t>Total Federal Awards</t>
  </si>
  <si>
    <t>Total Federal Awards Passed Through Illinois State Board of Education</t>
  </si>
  <si>
    <t>Total Federal Awards Passed Through Other Entities</t>
  </si>
  <si>
    <t>(M) Indicates Major Federal Financial Assistance Program.</t>
  </si>
  <si>
    <t>(1) Funds carried over from prior year.</t>
  </si>
  <si>
    <t>(2) Project not complete as of June 30, 2018.</t>
  </si>
  <si>
    <t>(3) Nonmonetary assistance is reported in the schedule at the fair value of the commodities received and disbursed.</t>
  </si>
  <si>
    <t>Page 10, Line 74 - Other Food Service - Food Sales</t>
  </si>
  <si>
    <t>Page 11, Line 107 - Other Local Revenue</t>
  </si>
  <si>
    <t xml:space="preserve">     Operations and Maintenance Fund - Utility Refund $40,631, Misc. Refunds $410</t>
  </si>
  <si>
    <t xml:space="preserve">     Transportation Fund - Fuel Excise Tax Refund $66,771, Misc. Refunds $591</t>
  </si>
  <si>
    <t>Page 10, Line 81 - Other District/School Activity Revenue - Pop Sales</t>
  </si>
  <si>
    <t xml:space="preserve">     Education Fund - Refunds and Reimbursements $19,019</t>
  </si>
  <si>
    <t>Page 12, Line 171 - Other Restricted Revenue from State Sources - Library Grant</t>
  </si>
  <si>
    <t>10-2200-300</t>
  </si>
  <si>
    <t>Dual Coalition with Heartland Community College</t>
  </si>
  <si>
    <t>Regional Office Save, McLean County Sheriff</t>
  </si>
  <si>
    <t>Page 18, Line 171 - Debt Service Other - Bond service charges</t>
  </si>
  <si>
    <t>Page 24, Line 36 -  Debt Certificates - Debt Certificate Proceeds</t>
  </si>
  <si>
    <t>066-005027</t>
  </si>
  <si>
    <t>see embedded PDF version</t>
  </si>
  <si>
    <t>Olympia CUSD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</si>
</sst>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000_);\(#,##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7.5"/>
      <name val="Calibri"/>
      <family val="2"/>
      <scheme val="minor"/>
    </font>
    <font>
      <sz val="6"/>
      <name val="Calibri"/>
      <family val="2"/>
      <scheme val="minor"/>
    </font>
    <font>
      <sz val="10"/>
      <name val="Courier"/>
    </font>
    <font>
      <b/>
      <sz val="12"/>
      <name val="Times New Roman"/>
      <family val="1"/>
    </font>
    <font>
      <b/>
      <u/>
      <sz val="11"/>
      <name val="Times New Roman"/>
      <family val="1"/>
    </font>
    <font>
      <sz val="11"/>
      <name val="Times New Roman"/>
      <family val="1"/>
    </font>
    <font>
      <u/>
      <sz val="11"/>
      <name val="Times New Roman"/>
      <family val="1"/>
    </font>
    <font>
      <u val="singleAccounting"/>
      <sz val="11"/>
      <name val="Times New Roman"/>
      <family val="1"/>
    </font>
    <font>
      <sz val="11"/>
      <name val="Courier"/>
      <family val="3"/>
    </font>
    <font>
      <b/>
      <sz val="11"/>
      <name val="Times New Roman"/>
      <family val="1"/>
    </font>
    <font>
      <u val="doubleAccounting"/>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9" fillId="0" borderId="0"/>
    <xf numFmtId="43" fontId="44" fillId="0" borderId="0" applyFont="0" applyFill="0" applyBorder="0" applyAlignment="0" applyProtection="0"/>
    <xf numFmtId="9" fontId="44" fillId="0" borderId="0" applyFont="0" applyFill="0" applyBorder="0" applyAlignment="0" applyProtection="0"/>
  </cellStyleXfs>
  <cellXfs count="26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4" fillId="0" borderId="148" xfId="3" applyFont="1" applyBorder="1" applyAlignment="1" applyProtection="1">
      <alignment horizontal="center"/>
      <protection locked="0"/>
    </xf>
    <xf numFmtId="0" fontId="56" fillId="0" borderId="0" xfId="3" applyFont="1" applyBorder="1" applyAlignment="1" applyProtection="1">
      <alignment horizontal="center"/>
      <protection locked="0"/>
    </xf>
    <xf numFmtId="0" fontId="56" fillId="0" borderId="0" xfId="3" applyFont="1" applyAlignment="1" applyProtection="1">
      <alignment horizontal="center"/>
      <protection locked="0"/>
    </xf>
    <xf numFmtId="179" fontId="56" fillId="0" borderId="0" xfId="3" applyNumberFormat="1"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37" fontId="139" fillId="0" borderId="0" xfId="19" applyFill="1" applyAlignment="1">
      <alignment vertical="center"/>
    </xf>
    <xf numFmtId="37" fontId="44" fillId="0" borderId="0" xfId="19" applyFont="1" applyFill="1" applyBorder="1" applyAlignment="1">
      <alignment horizontal="centerContinuous"/>
    </xf>
    <xf numFmtId="37" fontId="44" fillId="0" borderId="0" xfId="19" applyFont="1" applyFill="1" applyBorder="1" applyAlignment="1">
      <alignment horizontal="left"/>
    </xf>
    <xf numFmtId="37" fontId="44" fillId="0" borderId="0" xfId="19" applyFont="1" applyFill="1" applyBorder="1"/>
    <xf numFmtId="37" fontId="44" fillId="0" borderId="0" xfId="19" applyFont="1" applyFill="1" applyBorder="1" applyAlignment="1">
      <alignment horizontal="center"/>
    </xf>
    <xf numFmtId="37" fontId="142" fillId="0" borderId="0" xfId="19" applyFont="1" applyFill="1" applyBorder="1" applyAlignment="1">
      <alignment horizontal="center" vertical="center"/>
    </xf>
    <xf numFmtId="37" fontId="142" fillId="0" borderId="0" xfId="19" applyFont="1" applyFill="1" applyBorder="1" applyAlignment="1">
      <alignment horizontal="left" vertical="center"/>
    </xf>
    <xf numFmtId="37" fontId="142" fillId="0" borderId="0" xfId="19" applyFont="1" applyFill="1" applyBorder="1" applyAlignment="1">
      <alignment vertical="center"/>
    </xf>
    <xf numFmtId="37" fontId="143" fillId="0" borderId="0" xfId="19" applyFont="1" applyFill="1" applyBorder="1" applyAlignment="1">
      <alignment horizontal="centerContinuous" vertical="center"/>
    </xf>
    <xf numFmtId="37" fontId="145" fillId="0" borderId="0" xfId="19" applyFont="1" applyFill="1" applyAlignment="1">
      <alignment vertical="center"/>
    </xf>
    <xf numFmtId="37" fontId="142" fillId="0" borderId="0" xfId="19" applyFont="1" applyFill="1" applyAlignment="1">
      <alignment horizontal="center" vertical="center"/>
    </xf>
    <xf numFmtId="37" fontId="142" fillId="0" borderId="0" xfId="19" applyFont="1" applyFill="1" applyAlignment="1">
      <alignment horizontal="left" vertical="center"/>
    </xf>
    <xf numFmtId="37" fontId="142" fillId="0" borderId="0" xfId="19" applyFont="1" applyFill="1" applyAlignment="1">
      <alignment vertical="center"/>
    </xf>
    <xf numFmtId="37" fontId="142" fillId="0" borderId="0" xfId="19" quotePrefix="1" applyFont="1" applyFill="1" applyAlignment="1">
      <alignment horizontal="center" vertical="center"/>
    </xf>
    <xf numFmtId="37" fontId="142" fillId="0" borderId="0" xfId="19" applyFont="1" applyFill="1" applyAlignment="1">
      <alignment horizontal="left"/>
    </xf>
    <xf numFmtId="37" fontId="142" fillId="0" borderId="0" xfId="19" applyFont="1" applyFill="1" applyAlignment="1">
      <alignment horizontal="center"/>
    </xf>
    <xf numFmtId="37" fontId="142" fillId="0" borderId="0" xfId="19" applyFont="1" applyFill="1"/>
    <xf numFmtId="14" fontId="142" fillId="0" borderId="0" xfId="19" quotePrefix="1" applyNumberFormat="1" applyFont="1" applyFill="1" applyAlignment="1">
      <alignment horizontal="center"/>
    </xf>
    <xf numFmtId="14" fontId="142" fillId="0" borderId="0" xfId="19" applyNumberFormat="1" applyFont="1" applyFill="1" applyAlignment="1">
      <alignment horizontal="center"/>
    </xf>
    <xf numFmtId="37" fontId="143" fillId="0" borderId="0" xfId="19" applyFont="1" applyFill="1" applyAlignment="1">
      <alignment horizontal="left" vertical="center"/>
    </xf>
    <xf numFmtId="37" fontId="143" fillId="0" borderId="0" xfId="19" applyFont="1" applyFill="1" applyAlignment="1">
      <alignment horizontal="center" vertical="center"/>
    </xf>
    <xf numFmtId="37" fontId="143" fillId="0" borderId="0" xfId="19" applyNumberFormat="1" applyFont="1" applyFill="1" applyAlignment="1" applyProtection="1">
      <alignment horizontal="center" vertical="center"/>
    </xf>
    <xf numFmtId="37" fontId="142" fillId="0" borderId="0" xfId="19" applyNumberFormat="1" applyFont="1" applyFill="1" applyAlignment="1" applyProtection="1">
      <alignment vertical="center"/>
    </xf>
    <xf numFmtId="37" fontId="142" fillId="0" borderId="0" xfId="19" applyNumberFormat="1" applyFont="1" applyFill="1" applyAlignment="1" applyProtection="1">
      <alignment horizontal="center" vertical="center"/>
    </xf>
    <xf numFmtId="37" fontId="143" fillId="0" borderId="0" xfId="19" applyFont="1" applyFill="1" applyAlignment="1">
      <alignment horizontal="left"/>
    </xf>
    <xf numFmtId="37" fontId="143" fillId="0" borderId="0" xfId="19" applyFont="1" applyFill="1" applyAlignment="1">
      <alignment horizontal="center"/>
    </xf>
    <xf numFmtId="37" fontId="143" fillId="0" borderId="0" xfId="19" applyNumberFormat="1" applyFont="1" applyFill="1" applyAlignment="1" applyProtection="1">
      <alignment horizontal="center"/>
    </xf>
    <xf numFmtId="37" fontId="142" fillId="0" borderId="0" xfId="19" applyNumberFormat="1" applyFont="1" applyFill="1" applyProtection="1"/>
    <xf numFmtId="37" fontId="142" fillId="0" borderId="0" xfId="19" applyNumberFormat="1" applyFont="1" applyFill="1" applyAlignment="1" applyProtection="1">
      <alignment horizontal="center"/>
    </xf>
    <xf numFmtId="37" fontId="146" fillId="0" borderId="0" xfId="19" applyFont="1" applyFill="1" applyAlignment="1">
      <alignment horizontal="left"/>
    </xf>
    <xf numFmtId="37" fontId="146" fillId="0" borderId="0" xfId="19" applyFont="1" applyFill="1"/>
    <xf numFmtId="37" fontId="146" fillId="0" borderId="0" xfId="19" applyFont="1" applyFill="1" applyAlignment="1"/>
    <xf numFmtId="37" fontId="142" fillId="0" borderId="0" xfId="19" applyFont="1" applyFill="1" applyAlignment="1">
      <alignment horizontal="right" vertical="center"/>
    </xf>
    <xf numFmtId="181" fontId="142" fillId="0" borderId="0" xfId="19" applyNumberFormat="1" applyFont="1" applyFill="1" applyAlignment="1" applyProtection="1">
      <alignment horizontal="center"/>
    </xf>
    <xf numFmtId="182" fontId="142" fillId="0" borderId="0" xfId="19" applyNumberFormat="1" applyFont="1" applyFill="1" applyProtection="1"/>
    <xf numFmtId="182" fontId="142" fillId="0" borderId="0" xfId="19" applyNumberFormat="1" applyFont="1" applyFill="1" applyAlignment="1" applyProtection="1">
      <alignment horizontal="center"/>
    </xf>
    <xf numFmtId="183" fontId="142" fillId="0" borderId="0" xfId="19" applyNumberFormat="1" applyFont="1" applyFill="1" applyProtection="1"/>
    <xf numFmtId="182" fontId="142" fillId="0" borderId="0" xfId="19" applyNumberFormat="1" applyFont="1" applyFill="1" applyAlignment="1" applyProtection="1">
      <alignment horizontal="right"/>
    </xf>
    <xf numFmtId="182" fontId="142" fillId="0" borderId="0" xfId="19" applyNumberFormat="1" applyFont="1" applyFill="1"/>
    <xf numFmtId="37" fontId="142" fillId="0" borderId="0" xfId="19" applyFont="1" applyFill="1" applyAlignment="1">
      <alignment horizontal="right"/>
    </xf>
    <xf numFmtId="182" fontId="142" fillId="0" borderId="0" xfId="19" applyNumberFormat="1" applyFont="1" applyFill="1" applyAlignment="1">
      <alignment horizontal="center"/>
    </xf>
    <xf numFmtId="182" fontId="144" fillId="0" borderId="0" xfId="19" applyNumberFormat="1" applyFont="1" applyFill="1" applyProtection="1"/>
    <xf numFmtId="183" fontId="144" fillId="0" borderId="0" xfId="19" applyNumberFormat="1" applyFont="1" applyFill="1" applyProtection="1"/>
    <xf numFmtId="37" fontId="146" fillId="0" borderId="0" xfId="19" applyFont="1" applyFill="1" applyAlignment="1">
      <alignment horizontal="left" vertical="center"/>
    </xf>
    <xf numFmtId="183" fontId="144" fillId="0" borderId="0" xfId="19" applyNumberFormat="1" applyFont="1" applyFill="1" applyAlignment="1" applyProtection="1">
      <alignment vertical="center"/>
    </xf>
    <xf numFmtId="182" fontId="142" fillId="0" borderId="0" xfId="19" applyNumberFormat="1" applyFont="1" applyFill="1" applyAlignment="1">
      <alignment vertical="center"/>
    </xf>
    <xf numFmtId="182" fontId="142" fillId="0" borderId="0" xfId="19" quotePrefix="1" applyNumberFormat="1" applyFont="1" applyFill="1" applyAlignment="1"/>
    <xf numFmtId="182" fontId="142" fillId="0" borderId="0" xfId="19" quotePrefix="1" applyNumberFormat="1" applyFont="1" applyFill="1" applyAlignment="1" applyProtection="1">
      <alignment horizontal="center"/>
    </xf>
    <xf numFmtId="181" fontId="142" fillId="0" borderId="0" xfId="19" applyNumberFormat="1" applyFont="1" applyFill="1" applyAlignment="1" applyProtection="1">
      <alignment horizontal="center" vertical="center"/>
    </xf>
    <xf numFmtId="182" fontId="144" fillId="0" borderId="0" xfId="19" applyNumberFormat="1" applyFont="1" applyFill="1" applyAlignment="1">
      <alignment vertical="center"/>
    </xf>
    <xf numFmtId="183" fontId="142" fillId="0" borderId="0" xfId="19" applyNumberFormat="1" applyFont="1" applyFill="1" applyAlignment="1" applyProtection="1">
      <alignment vertical="center"/>
    </xf>
    <xf numFmtId="182" fontId="142" fillId="0" borderId="0" xfId="19" applyNumberFormat="1" applyFont="1" applyFill="1" applyAlignment="1">
      <alignment horizontal="right" vertical="center"/>
    </xf>
    <xf numFmtId="182" fontId="142" fillId="0" borderId="0" xfId="19" applyNumberFormat="1" applyFont="1" applyFill="1" applyAlignment="1">
      <alignment horizontal="right"/>
    </xf>
    <xf numFmtId="182" fontId="144" fillId="0" borderId="0" xfId="19" applyNumberFormat="1" applyFont="1" applyFill="1"/>
    <xf numFmtId="37" fontId="146" fillId="0" borderId="0" xfId="19" applyFont="1" applyFill="1" applyAlignment="1">
      <alignment vertical="center"/>
    </xf>
    <xf numFmtId="37" fontId="142" fillId="0" borderId="0" xfId="19" applyFont="1" applyFill="1" applyAlignment="1"/>
    <xf numFmtId="37" fontId="142" fillId="0" borderId="0" xfId="19" quotePrefix="1" applyFont="1" applyFill="1" applyAlignment="1">
      <alignment horizontal="center"/>
    </xf>
    <xf numFmtId="181" fontId="142" fillId="0" borderId="0" xfId="19" applyNumberFormat="1" applyFont="1" applyFill="1" applyProtection="1"/>
    <xf numFmtId="182" fontId="142" fillId="0" borderId="0" xfId="19" applyNumberFormat="1" applyFont="1" applyFill="1" applyAlignment="1">
      <alignment horizontal="fill"/>
    </xf>
    <xf numFmtId="182" fontId="142" fillId="0" borderId="0" xfId="19" applyNumberFormat="1" applyFont="1" applyFill="1" applyAlignment="1">
      <alignment horizontal="left"/>
    </xf>
    <xf numFmtId="181" fontId="142" fillId="0" borderId="0" xfId="19" applyNumberFormat="1" applyFont="1" applyFill="1" applyAlignment="1" applyProtection="1">
      <alignment vertical="center"/>
    </xf>
    <xf numFmtId="184" fontId="142" fillId="0" borderId="0" xfId="19" applyNumberFormat="1" applyFont="1" applyFill="1"/>
    <xf numFmtId="182" fontId="142" fillId="0" borderId="0" xfId="19" applyNumberFormat="1" applyFont="1" applyFill="1" applyBorder="1"/>
    <xf numFmtId="184" fontId="142" fillId="0" borderId="0" xfId="19" applyNumberFormat="1" applyFont="1" applyFill="1" applyAlignment="1">
      <alignment vertical="center"/>
    </xf>
    <xf numFmtId="182" fontId="144" fillId="0" borderId="78" xfId="19" applyNumberFormat="1" applyFont="1" applyFill="1" applyBorder="1"/>
    <xf numFmtId="182" fontId="142" fillId="0" borderId="78" xfId="19" applyNumberFormat="1" applyFont="1" applyFill="1" applyBorder="1" applyAlignment="1">
      <alignment vertical="center"/>
    </xf>
    <xf numFmtId="182" fontId="142" fillId="0" borderId="0" xfId="19" applyNumberFormat="1" applyFont="1" applyFill="1" applyAlignment="1">
      <alignment horizontal="center" vertical="center"/>
    </xf>
    <xf numFmtId="183" fontId="147" fillId="0" borderId="0" xfId="19" applyNumberFormat="1" applyFont="1" applyFill="1" applyAlignment="1" applyProtection="1">
      <alignment vertical="center"/>
    </xf>
    <xf numFmtId="182" fontId="142" fillId="0" borderId="0" xfId="19" applyNumberFormat="1" applyFont="1" applyFill="1" applyAlignment="1">
      <alignment horizontal="left" vertical="center"/>
    </xf>
    <xf numFmtId="182" fontId="147" fillId="0" borderId="0" xfId="19" applyNumberFormat="1" applyFont="1" applyFill="1"/>
    <xf numFmtId="37" fontId="145" fillId="0" borderId="0" xfId="19" applyFont="1" applyFill="1" applyBorder="1" applyAlignment="1">
      <alignment vertical="center"/>
    </xf>
    <xf numFmtId="37" fontId="145" fillId="0" borderId="78" xfId="19" applyFont="1" applyFill="1" applyBorder="1" applyAlignment="1">
      <alignment vertical="center"/>
    </xf>
    <xf numFmtId="37" fontId="145" fillId="0" borderId="0" xfId="19" applyFont="1" applyFill="1" applyAlignment="1" applyProtection="1">
      <alignment horizontal="left" vertical="center"/>
    </xf>
    <xf numFmtId="37" fontId="145" fillId="0" borderId="0" xfId="19" applyFont="1" applyFill="1" applyAlignment="1" applyProtection="1">
      <alignment horizontal="left"/>
    </xf>
    <xf numFmtId="182" fontId="147" fillId="0" borderId="0" xfId="19" applyNumberFormat="1" applyFont="1" applyFill="1" applyAlignment="1">
      <alignment vertical="center"/>
    </xf>
    <xf numFmtId="37" fontId="142" fillId="0" borderId="0" xfId="19" quotePrefix="1" applyFont="1" applyFill="1" applyAlignment="1">
      <alignment horizontal="left"/>
    </xf>
    <xf numFmtId="43" fontId="142" fillId="0" borderId="0" xfId="19" applyNumberFormat="1" applyFont="1" applyFill="1"/>
    <xf numFmtId="37" fontId="142" fillId="0" borderId="0" xfId="19" applyFont="1" applyFill="1" applyAlignment="1" applyProtection="1">
      <alignment horizontal="left"/>
    </xf>
    <xf numFmtId="169" fontId="142" fillId="0" borderId="0" xfId="19" applyNumberFormat="1" applyFont="1" applyFill="1" applyAlignment="1" applyProtection="1">
      <alignment horizontal="left"/>
    </xf>
    <xf numFmtId="1" fontId="145" fillId="0" borderId="0" xfId="19" applyNumberFormat="1" applyFont="1" applyFill="1" applyAlignment="1" applyProtection="1">
      <alignment horizontal="left"/>
    </xf>
    <xf numFmtId="169" fontId="145" fillId="0" borderId="0" xfId="19" applyNumberFormat="1" applyFont="1" applyFill="1" applyAlignment="1" applyProtection="1">
      <alignment horizontal="left"/>
    </xf>
    <xf numFmtId="37" fontId="139" fillId="0" borderId="0" xfId="19" applyFill="1" applyProtection="1">
      <protection locked="0"/>
    </xf>
    <xf numFmtId="169" fontId="139" fillId="0" borderId="0" xfId="19" applyNumberFormat="1" applyFill="1" applyProtection="1">
      <protection locked="0"/>
    </xf>
    <xf numFmtId="1" fontId="139" fillId="0" borderId="0" xfId="19" applyNumberFormat="1" applyFill="1" applyProtection="1">
      <protection locked="0"/>
    </xf>
    <xf numFmtId="37" fontId="139" fillId="0" borderId="0" xfId="19" applyFill="1" applyAlignment="1" applyProtection="1">
      <alignment horizontal="center"/>
      <protection locked="0"/>
    </xf>
    <xf numFmtId="37" fontId="12" fillId="0" borderId="0" xfId="19" applyFont="1" applyFill="1" applyAlignment="1">
      <alignment vertical="center"/>
    </xf>
    <xf numFmtId="37" fontId="139" fillId="0" borderId="0" xfId="19" applyFill="1" applyAlignment="1">
      <alignment horizontal="center" vertical="center"/>
    </xf>
    <xf numFmtId="37" fontId="44" fillId="0" borderId="0" xfId="19" applyFont="1" applyFill="1" applyAlignment="1">
      <alignment horizontal="center" vertical="center"/>
    </xf>
    <xf numFmtId="37" fontId="44" fillId="0" borderId="0" xfId="19" applyFont="1" applyFill="1" applyAlignment="1">
      <alignment horizontal="left" vertical="center"/>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137" fillId="0" borderId="50" xfId="3" applyNumberFormat="1" applyFont="1" applyBorder="1" applyAlignment="1" applyProtection="1">
      <alignment horizontal="left" indent="1"/>
    </xf>
    <xf numFmtId="0" fontId="137" fillId="0" borderId="9" xfId="3" applyFont="1" applyBorder="1" applyAlignment="1" applyProtection="1">
      <alignment horizontal="left" indent="1"/>
    </xf>
    <xf numFmtId="0" fontId="137"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Border="1" applyAlignment="1" applyProtection="1">
      <alignment wrapText="1"/>
    </xf>
    <xf numFmtId="0" fontId="0" fillId="0" borderId="0" xfId="0" applyAlignment="1">
      <alignment wrapText="1"/>
    </xf>
    <xf numFmtId="37" fontId="140" fillId="0" borderId="0" xfId="19" applyFont="1" applyFill="1" applyAlignment="1">
      <alignment horizontal="center"/>
    </xf>
    <xf numFmtId="37" fontId="140" fillId="0" borderId="0" xfId="19" applyFont="1" applyFill="1" applyAlignment="1">
      <alignment horizontal="center" vertical="center"/>
    </xf>
    <xf numFmtId="0" fontId="141" fillId="0" borderId="0" xfId="19" applyNumberFormat="1" applyFont="1" applyFill="1" applyAlignment="1">
      <alignment horizont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0" fontId="138" fillId="0" borderId="150" xfId="3" applyFont="1" applyBorder="1" applyAlignment="1" applyProtection="1">
      <alignment horizontal="left" vertical="center"/>
      <protection locked="0"/>
    </xf>
    <xf numFmtId="0" fontId="138" fillId="0" borderId="76" xfId="3" applyFont="1" applyBorder="1" applyAlignment="1" applyProtection="1">
      <alignment horizontal="left" vertical="center"/>
      <protection locked="0"/>
    </xf>
    <xf numFmtId="0" fontId="138" fillId="0" borderId="151" xfId="3" applyFont="1" applyBorder="1" applyAlignment="1" applyProtection="1">
      <alignment horizontal="left" vertical="center"/>
      <protection locked="0"/>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93" t="s">
        <v>425</v>
      </c>
      <c r="J1" s="2094"/>
      <c r="K1" s="2094"/>
      <c r="L1" s="2094"/>
      <c r="M1" s="2094"/>
      <c r="N1" s="2094"/>
      <c r="O1" s="2094"/>
      <c r="P1" s="2094"/>
      <c r="Q1" s="2094"/>
      <c r="R1" s="2094"/>
      <c r="S1" s="2094"/>
    </row>
    <row r="2" spans="1:28" ht="12" customHeight="1" x14ac:dyDescent="0.2">
      <c r="A2" s="47" t="s">
        <v>1684</v>
      </c>
      <c r="D2" s="48"/>
      <c r="I2" s="2095" t="s">
        <v>1036</v>
      </c>
      <c r="J2" s="2094"/>
      <c r="K2" s="2094"/>
      <c r="L2" s="2094"/>
      <c r="M2" s="2094"/>
      <c r="N2" s="2094"/>
      <c r="O2" s="2094"/>
      <c r="P2" s="2094"/>
      <c r="Q2" s="2094"/>
      <c r="R2" s="2094"/>
      <c r="S2" s="2094"/>
    </row>
    <row r="3" spans="1:28" ht="12" customHeight="1" x14ac:dyDescent="0.2">
      <c r="A3" s="155" t="s">
        <v>1685</v>
      </c>
      <c r="B3" s="156"/>
      <c r="C3" s="156"/>
      <c r="D3" s="157"/>
      <c r="I3" s="2095" t="s">
        <v>54</v>
      </c>
      <c r="J3" s="2094"/>
      <c r="K3" s="2094"/>
      <c r="L3" s="2094"/>
      <c r="M3" s="2094"/>
      <c r="N3" s="2094"/>
      <c r="O3" s="2094"/>
      <c r="P3" s="2094"/>
      <c r="Q3" s="2094"/>
      <c r="R3" s="2094"/>
      <c r="S3" s="2094"/>
    </row>
    <row r="4" spans="1:28" ht="12" customHeight="1" x14ac:dyDescent="0.2">
      <c r="A4" s="37"/>
      <c r="I4" s="2095" t="s">
        <v>545</v>
      </c>
      <c r="J4" s="2094"/>
      <c r="K4" s="2094"/>
      <c r="L4" s="2094"/>
      <c r="M4" s="2094"/>
      <c r="N4" s="2094"/>
      <c r="O4" s="2094"/>
      <c r="P4" s="2094"/>
      <c r="Q4" s="2094"/>
      <c r="R4" s="2094"/>
      <c r="S4" s="2094"/>
    </row>
    <row r="5" spans="1:28" ht="14.1" customHeight="1" x14ac:dyDescent="0.2">
      <c r="B5" s="104" t="s">
        <v>2082</v>
      </c>
      <c r="C5" s="26" t="s">
        <v>966</v>
      </c>
      <c r="D5" s="84"/>
      <c r="E5" s="84"/>
      <c r="H5" s="38"/>
      <c r="I5" s="2103" t="s">
        <v>701</v>
      </c>
      <c r="J5" s="2102"/>
      <c r="K5" s="2102"/>
      <c r="L5" s="2102"/>
      <c r="M5" s="2102"/>
      <c r="N5" s="2102"/>
      <c r="O5" s="2102"/>
      <c r="P5" s="2102"/>
      <c r="Q5" s="2102"/>
      <c r="R5" s="2102"/>
      <c r="S5" s="2102"/>
    </row>
    <row r="6" spans="1:28" ht="14.1" customHeight="1" x14ac:dyDescent="0.2">
      <c r="B6" s="104"/>
      <c r="C6" s="26" t="s">
        <v>967</v>
      </c>
      <c r="D6" s="84"/>
      <c r="E6" s="84"/>
      <c r="I6" s="2101" t="s">
        <v>938</v>
      </c>
      <c r="J6" s="2102"/>
      <c r="K6" s="2102"/>
      <c r="L6" s="2102"/>
      <c r="M6" s="2102"/>
      <c r="N6" s="2102"/>
      <c r="O6" s="2102"/>
      <c r="P6" s="2102"/>
      <c r="Q6" s="2102"/>
      <c r="R6" s="2102"/>
      <c r="S6" s="2102"/>
    </row>
    <row r="7" spans="1:28" ht="12.2" customHeight="1" x14ac:dyDescent="0.2">
      <c r="I7" s="2096">
        <v>43281</v>
      </c>
      <c r="J7" s="2097"/>
      <c r="K7" s="2097"/>
      <c r="L7" s="2097"/>
      <c r="M7" s="2097"/>
      <c r="N7" s="2097"/>
      <c r="O7" s="2097"/>
      <c r="P7" s="2097"/>
      <c r="Q7" s="2097"/>
      <c r="R7" s="2097"/>
      <c r="S7" s="20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8" t="s">
        <v>695</v>
      </c>
      <c r="J9" s="2099"/>
      <c r="K9" s="2099"/>
      <c r="L9" s="2099"/>
      <c r="M9" s="2099"/>
      <c r="N9" s="2099"/>
      <c r="O9" s="2099"/>
      <c r="P9" s="2099"/>
      <c r="Q9" s="2099"/>
      <c r="R9" s="2099"/>
      <c r="S9" s="2100"/>
      <c r="T9" s="2114" t="s">
        <v>554</v>
      </c>
      <c r="U9" s="2115"/>
      <c r="V9" s="2115"/>
      <c r="W9" s="2115"/>
      <c r="X9" s="2115"/>
      <c r="Y9" s="2115"/>
      <c r="Z9" s="2115"/>
      <c r="AA9" s="2116"/>
    </row>
    <row r="10" spans="1:28" ht="13.5" customHeight="1" x14ac:dyDescent="0.2">
      <c r="A10" s="2121" t="s">
        <v>696</v>
      </c>
      <c r="B10" s="2122"/>
      <c r="C10" s="2122"/>
      <c r="D10" s="2122"/>
      <c r="E10" s="2122"/>
      <c r="F10" s="2122"/>
      <c r="G10" s="2122"/>
      <c r="H10" s="2123"/>
      <c r="I10" s="29"/>
      <c r="J10" s="30"/>
      <c r="K10" s="28"/>
      <c r="R10" s="30"/>
      <c r="S10" s="30"/>
      <c r="T10" s="2117"/>
      <c r="U10" s="2102"/>
      <c r="V10" s="2102"/>
      <c r="W10" s="2102"/>
      <c r="X10" s="2102"/>
      <c r="Y10" s="2102"/>
      <c r="Z10" s="2102"/>
      <c r="AA10" s="2108"/>
    </row>
    <row r="11" spans="1:28" ht="14.25" customHeight="1" x14ac:dyDescent="0.2">
      <c r="A11" s="2124" t="s">
        <v>1012</v>
      </c>
      <c r="B11" s="2125"/>
      <c r="C11" s="2125"/>
      <c r="D11" s="2125"/>
      <c r="E11" s="2125"/>
      <c r="F11" s="2125"/>
      <c r="G11" s="2125"/>
      <c r="H11" s="2126"/>
      <c r="I11" s="27"/>
      <c r="J11" s="74"/>
      <c r="K11" s="27"/>
      <c r="O11" s="148" t="s">
        <v>2073</v>
      </c>
      <c r="P11" s="100" t="s">
        <v>210</v>
      </c>
      <c r="Q11" s="30"/>
      <c r="R11" s="28"/>
      <c r="S11" s="27"/>
      <c r="T11" s="2118"/>
      <c r="U11" s="2119"/>
      <c r="V11" s="2119"/>
      <c r="W11" s="2119"/>
      <c r="X11" s="2119"/>
      <c r="Y11" s="2119"/>
      <c r="Z11" s="2119"/>
      <c r="AA11" s="212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28">
        <v>17064016026</v>
      </c>
      <c r="B13" s="2129"/>
      <c r="C13" s="2129"/>
      <c r="D13" s="2129"/>
      <c r="E13" s="2129"/>
      <c r="F13" s="2129"/>
      <c r="G13" s="2129"/>
      <c r="H13" s="2130"/>
      <c r="I13" s="31"/>
      <c r="J13" s="30"/>
      <c r="K13" s="28"/>
      <c r="L13" s="30"/>
      <c r="M13" s="30"/>
      <c r="N13" s="30"/>
      <c r="O13" s="30"/>
      <c r="P13" s="30"/>
      <c r="Q13" s="30"/>
      <c r="R13" s="30"/>
      <c r="S13" s="30"/>
      <c r="T13" s="2133" t="s">
        <v>2074</v>
      </c>
      <c r="U13" s="2134"/>
      <c r="V13" s="2134"/>
      <c r="W13" s="2134"/>
      <c r="X13" s="2134"/>
      <c r="Y13" s="2135"/>
      <c r="Z13" s="2135"/>
      <c r="AA13" s="213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27" t="s">
        <v>2083</v>
      </c>
      <c r="B15" s="2131"/>
      <c r="C15" s="2131"/>
      <c r="D15" s="2131"/>
      <c r="E15" s="2131"/>
      <c r="F15" s="2131"/>
      <c r="G15" s="2131"/>
      <c r="H15" s="2132"/>
      <c r="T15" s="2137" t="s">
        <v>2099</v>
      </c>
      <c r="U15" s="2081"/>
      <c r="V15" s="2081"/>
      <c r="W15" s="2081"/>
      <c r="X15" s="2081"/>
      <c r="Y15" s="2138"/>
      <c r="Z15" s="2138"/>
      <c r="AA15" s="213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87" t="s">
        <v>2216</v>
      </c>
      <c r="B17" s="2088"/>
      <c r="C17" s="2088"/>
      <c r="D17" s="2088"/>
      <c r="E17" s="2088"/>
      <c r="F17" s="2088"/>
      <c r="G17" s="2088"/>
      <c r="H17" s="2113"/>
      <c r="T17" s="2144" t="s">
        <v>2075</v>
      </c>
      <c r="U17" s="2145"/>
      <c r="V17" s="2145"/>
      <c r="W17" s="2145"/>
      <c r="X17" s="2145"/>
      <c r="Y17" s="2145"/>
      <c r="Z17" s="2145"/>
      <c r="AA17" s="2146"/>
    </row>
    <row r="18" spans="1:27" ht="13.5" customHeight="1" x14ac:dyDescent="0.2">
      <c r="A18" s="85" t="s">
        <v>551</v>
      </c>
      <c r="B18" s="76"/>
      <c r="C18" s="72"/>
      <c r="D18" s="76"/>
      <c r="E18" s="76"/>
      <c r="F18" s="76"/>
      <c r="G18" s="76"/>
      <c r="H18" s="56"/>
      <c r="I18" s="2112" t="s">
        <v>697</v>
      </c>
      <c r="J18" s="2063"/>
      <c r="K18" s="2063"/>
      <c r="L18" s="2063"/>
      <c r="M18" s="2063"/>
      <c r="N18" s="2063"/>
      <c r="O18" s="2063"/>
      <c r="P18" s="2063"/>
      <c r="Q18" s="2063"/>
      <c r="R18" s="2063"/>
      <c r="S18" s="2064"/>
      <c r="T18" s="85" t="s">
        <v>735</v>
      </c>
      <c r="U18" s="51"/>
      <c r="V18" s="72"/>
      <c r="W18" s="50"/>
      <c r="X18" s="85" t="s">
        <v>284</v>
      </c>
      <c r="Y18" s="81"/>
      <c r="Z18" s="159" t="s">
        <v>698</v>
      </c>
      <c r="AA18" s="46"/>
    </row>
    <row r="19" spans="1:27" ht="13.5" customHeight="1" x14ac:dyDescent="0.2">
      <c r="A19" s="2127" t="s">
        <v>2085</v>
      </c>
      <c r="B19" s="2073"/>
      <c r="C19" s="2073"/>
      <c r="D19" s="2073"/>
      <c r="E19" s="2073"/>
      <c r="F19" s="2073"/>
      <c r="G19" s="2073"/>
      <c r="H19" s="2053"/>
      <c r="I19" s="30"/>
      <c r="J19" s="99"/>
      <c r="K19" s="40"/>
      <c r="L19" s="38"/>
      <c r="M19" s="112" t="s">
        <v>333</v>
      </c>
      <c r="P19" s="27"/>
      <c r="Q19" s="27"/>
      <c r="R19" s="27"/>
      <c r="S19" s="31"/>
      <c r="T19" s="2127" t="s">
        <v>2076</v>
      </c>
      <c r="U19" s="2052"/>
      <c r="V19" s="2052"/>
      <c r="W19" s="2053"/>
      <c r="X19" s="2142" t="s">
        <v>2077</v>
      </c>
      <c r="Y19" s="2143"/>
      <c r="Z19" s="2140">
        <v>61614</v>
      </c>
      <c r="AA19" s="214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51" t="s">
        <v>2086</v>
      </c>
      <c r="B21" s="2052"/>
      <c r="C21" s="2052"/>
      <c r="D21" s="2052"/>
      <c r="E21" s="2052"/>
      <c r="F21" s="2052"/>
      <c r="G21" s="2052"/>
      <c r="H21" s="2053"/>
      <c r="I21" s="2107" t="s">
        <v>699</v>
      </c>
      <c r="J21" s="2102"/>
      <c r="K21" s="2102"/>
      <c r="L21" s="2102"/>
      <c r="M21" s="2102"/>
      <c r="N21" s="2102"/>
      <c r="O21" s="2102"/>
      <c r="P21" s="2102"/>
      <c r="Q21" s="2102"/>
      <c r="R21" s="2102"/>
      <c r="S21" s="2108"/>
      <c r="T21" s="2151" t="s">
        <v>2078</v>
      </c>
      <c r="U21" s="2152"/>
      <c r="V21" s="2152"/>
      <c r="W21" s="2152"/>
      <c r="X21" s="2157" t="s">
        <v>2079</v>
      </c>
      <c r="Y21" s="2158"/>
      <c r="Z21" s="2158"/>
      <c r="AA21" s="2159"/>
    </row>
    <row r="22" spans="1:27" ht="13.5" customHeight="1" x14ac:dyDescent="0.2">
      <c r="A22" s="87" t="s">
        <v>552</v>
      </c>
      <c r="B22" s="59"/>
      <c r="C22" s="59"/>
      <c r="D22" s="59"/>
      <c r="E22" s="59"/>
      <c r="F22" s="59"/>
      <c r="G22" s="59"/>
      <c r="H22" s="60"/>
      <c r="I22" s="2109" t="s">
        <v>1504</v>
      </c>
      <c r="J22" s="2110"/>
      <c r="K22" s="2110"/>
      <c r="L22" s="2110"/>
      <c r="M22" s="2110"/>
      <c r="N22" s="2110"/>
      <c r="O22" s="2110"/>
      <c r="P22" s="2110"/>
      <c r="Q22" s="2110"/>
      <c r="R22" s="2110"/>
      <c r="S22" s="2111"/>
      <c r="T22" s="85" t="s">
        <v>1596</v>
      </c>
      <c r="U22" s="51"/>
      <c r="V22" s="72"/>
      <c r="W22" s="51"/>
      <c r="X22" s="160" t="s">
        <v>1385</v>
      </c>
      <c r="Z22" s="45"/>
      <c r="AA22" s="46"/>
    </row>
    <row r="23" spans="1:27" ht="13.5" customHeight="1" x14ac:dyDescent="0.2">
      <c r="A23" s="2104" t="s">
        <v>2101</v>
      </c>
      <c r="B23" s="2105"/>
      <c r="C23" s="2105"/>
      <c r="D23" s="2105"/>
      <c r="E23" s="2105"/>
      <c r="F23" s="2105"/>
      <c r="G23" s="2105"/>
      <c r="H23" s="2106"/>
      <c r="T23" s="2087" t="s">
        <v>2214</v>
      </c>
      <c r="U23" s="2150"/>
      <c r="V23" s="2150"/>
      <c r="W23" s="2150"/>
      <c r="X23" s="2154">
        <v>44530</v>
      </c>
      <c r="Y23" s="2155"/>
      <c r="Z23" s="2155"/>
      <c r="AA23" s="2156"/>
    </row>
    <row r="24" spans="1:27" ht="14.1" customHeight="1" x14ac:dyDescent="0.2">
      <c r="A24" s="88" t="s">
        <v>698</v>
      </c>
      <c r="B24" s="49"/>
      <c r="C24" s="49"/>
      <c r="D24" s="49"/>
      <c r="E24" s="49"/>
      <c r="F24" s="49"/>
      <c r="G24" s="49"/>
      <c r="H24" s="61"/>
      <c r="J24" s="2074">
        <f>IF(B5="x",IF(AUDITCHECK!D29="AFR form Incomplete.","",IF(AUDITCHECK!D29="Deficit reduction plan is required.","School District must complete a deficit reduction plan in the 2018-2019 Budget",)),"")</f>
        <v>0</v>
      </c>
      <c r="K24" s="2074"/>
      <c r="L24" s="2074"/>
      <c r="M24" s="2074"/>
      <c r="N24" s="2074"/>
      <c r="O24" s="2074"/>
      <c r="P24" s="2074"/>
      <c r="Q24" s="2074"/>
      <c r="R24" s="2074"/>
      <c r="S24" s="2075"/>
      <c r="T24" s="105" t="s">
        <v>552</v>
      </c>
      <c r="U24" s="106"/>
      <c r="V24" s="106"/>
      <c r="W24" s="106"/>
      <c r="X24" s="107"/>
      <c r="Y24" s="107"/>
      <c r="Z24" s="107"/>
      <c r="AA24" s="108"/>
    </row>
    <row r="25" spans="1:27" ht="14.1" customHeight="1" x14ac:dyDescent="0.2">
      <c r="A25" s="2051">
        <v>61774</v>
      </c>
      <c r="B25" s="2052"/>
      <c r="C25" s="2052"/>
      <c r="D25" s="2052"/>
      <c r="E25" s="2052"/>
      <c r="F25" s="2052"/>
      <c r="G25" s="2052"/>
      <c r="H25" s="2053"/>
      <c r="I25" s="113"/>
      <c r="J25" s="2076"/>
      <c r="K25" s="2076"/>
      <c r="L25" s="2076"/>
      <c r="M25" s="2076"/>
      <c r="N25" s="2076"/>
      <c r="O25" s="2076"/>
      <c r="P25" s="2076"/>
      <c r="Q25" s="2076"/>
      <c r="R25" s="2076"/>
      <c r="S25" s="2077"/>
      <c r="T25" s="2147" t="s">
        <v>2100</v>
      </c>
      <c r="U25" s="2148"/>
      <c r="V25" s="2148"/>
      <c r="W25" s="2148"/>
      <c r="X25" s="2148"/>
      <c r="Y25" s="2148"/>
      <c r="Z25" s="2148"/>
      <c r="AA25" s="21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2" t="s">
        <v>1591</v>
      </c>
      <c r="J27" s="2063"/>
      <c r="K27" s="2063"/>
      <c r="L27" s="2063"/>
      <c r="M27" s="2063"/>
      <c r="N27" s="2063"/>
      <c r="O27" s="2063"/>
      <c r="P27" s="2063"/>
      <c r="Q27" s="2063"/>
      <c r="R27" s="2063"/>
      <c r="S27" s="206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73"/>
      <c r="Q35" s="2052"/>
      <c r="R35" s="20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87" t="s">
        <v>2087</v>
      </c>
      <c r="B38" s="2088"/>
      <c r="C38" s="2088"/>
      <c r="D38" s="2088"/>
      <c r="E38" s="2088"/>
      <c r="F38" s="2052"/>
      <c r="G38" s="2052"/>
      <c r="H38" s="2053"/>
      <c r="I38" s="2080"/>
      <c r="J38" s="2081"/>
      <c r="K38" s="2081"/>
      <c r="L38" s="2081"/>
      <c r="M38" s="2081"/>
      <c r="N38" s="2081"/>
      <c r="O38" s="2081"/>
      <c r="P38" s="2082"/>
      <c r="Q38" s="2082"/>
      <c r="R38" s="2082"/>
      <c r="S38" s="2083"/>
      <c r="T38" s="2137"/>
      <c r="U38" s="2081"/>
      <c r="V38" s="2081"/>
      <c r="W38" s="2081"/>
      <c r="X38" s="2082"/>
      <c r="Y38" s="2082"/>
      <c r="Z38" s="2082"/>
      <c r="AA38" s="2083"/>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5" t="s">
        <v>2101</v>
      </c>
      <c r="B40" s="2066"/>
      <c r="C40" s="2067"/>
      <c r="D40" s="2067"/>
      <c r="E40" s="2067"/>
      <c r="F40" s="2068"/>
      <c r="G40" s="2068"/>
      <c r="H40" s="2069"/>
      <c r="I40" s="2090"/>
      <c r="J40" s="2091"/>
      <c r="K40" s="2091"/>
      <c r="L40" s="2091"/>
      <c r="M40" s="2091"/>
      <c r="N40" s="2091"/>
      <c r="O40" s="2091"/>
      <c r="P40" s="2091"/>
      <c r="Q40" s="2091"/>
      <c r="R40" s="2091"/>
      <c r="S40" s="2092"/>
      <c r="T40" s="2090"/>
      <c r="U40" s="2153"/>
      <c r="V40" s="2091"/>
      <c r="W40" s="2091"/>
      <c r="X40" s="2091"/>
      <c r="Y40" s="2091"/>
      <c r="Z40" s="2091"/>
      <c r="AA40" s="209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9">
        <v>3093796011</v>
      </c>
      <c r="B42" s="2071"/>
      <c r="C42" s="2072"/>
      <c r="D42" s="2070">
        <v>3093792328</v>
      </c>
      <c r="E42" s="2071"/>
      <c r="F42" s="2071"/>
      <c r="G42" s="2071"/>
      <c r="H42" s="2072"/>
      <c r="I42" s="2054"/>
      <c r="J42" s="2055"/>
      <c r="K42" s="2055"/>
      <c r="L42" s="2055"/>
      <c r="M42" s="2055"/>
      <c r="N42" s="2055"/>
      <c r="O42" s="2056"/>
      <c r="P42" s="2089"/>
      <c r="Q42" s="2055"/>
      <c r="R42" s="2055"/>
      <c r="S42" s="2056"/>
      <c r="T42" s="2054"/>
      <c r="U42" s="2055"/>
      <c r="V42" s="2055"/>
      <c r="W42" s="2056"/>
      <c r="X42" s="2089"/>
      <c r="Y42" s="2055"/>
      <c r="Z42" s="2055"/>
      <c r="AA42" s="205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4"/>
      <c r="B44" s="2085"/>
      <c r="C44" s="2085"/>
      <c r="D44" s="2085"/>
      <c r="E44" s="2085"/>
      <c r="F44" s="2085"/>
      <c r="G44" s="2085"/>
      <c r="H44" s="2086"/>
      <c r="I44" s="2059"/>
      <c r="J44" s="2060"/>
      <c r="K44" s="2060"/>
      <c r="L44" s="2060"/>
      <c r="M44" s="2060"/>
      <c r="N44" s="2060"/>
      <c r="O44" s="2060"/>
      <c r="P44" s="2060"/>
      <c r="Q44" s="2060"/>
      <c r="R44" s="2060"/>
      <c r="S44" s="2061"/>
      <c r="T44" s="2059"/>
      <c r="U44" s="2078"/>
      <c r="V44" s="2078"/>
      <c r="W44" s="2078"/>
      <c r="X44" s="2078"/>
      <c r="Y44" s="2078"/>
      <c r="Z44" s="2060"/>
      <c r="AA44" s="206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293" t="s">
        <v>1901</v>
      </c>
      <c r="B2" s="1548" t="s">
        <v>2033</v>
      </c>
      <c r="C2" s="713" t="s">
        <v>1906</v>
      </c>
      <c r="D2" s="713" t="s">
        <v>1907</v>
      </c>
      <c r="E2" s="713" t="s">
        <v>1908</v>
      </c>
      <c r="F2" s="713" t="s">
        <v>1909</v>
      </c>
    </row>
    <row r="3" spans="1:6" ht="12" customHeight="1" x14ac:dyDescent="0.2">
      <c r="A3" s="2294"/>
      <c r="B3" s="1545"/>
      <c r="C3" s="1546"/>
      <c r="D3" s="1547" t="s">
        <v>274</v>
      </c>
      <c r="E3" s="1546"/>
      <c r="F3" s="1547" t="s">
        <v>275</v>
      </c>
    </row>
    <row r="4" spans="1:6" ht="13.9" customHeight="1" x14ac:dyDescent="0.2">
      <c r="A4" s="714" t="s">
        <v>1217</v>
      </c>
      <c r="B4" s="1769">
        <f>'Revenues 9-14'!C5</f>
        <v>8358891</v>
      </c>
      <c r="C4" s="1544">
        <v>2304944</v>
      </c>
      <c r="D4" s="1772">
        <f>B4-C4</f>
        <v>6053947</v>
      </c>
      <c r="E4" s="1544">
        <v>8409174</v>
      </c>
      <c r="F4" s="1772">
        <f>E4-C4</f>
        <v>6104230</v>
      </c>
    </row>
    <row r="5" spans="1:6" ht="13.9" customHeight="1" x14ac:dyDescent="0.2">
      <c r="A5" s="714" t="s">
        <v>925</v>
      </c>
      <c r="B5" s="1770">
        <f>'Revenues 9-14'!D5</f>
        <v>1448684</v>
      </c>
      <c r="C5" s="583">
        <v>397992</v>
      </c>
      <c r="D5" s="1773">
        <f t="shared" ref="D5:D18" si="0">B5-C5</f>
        <v>1050692</v>
      </c>
      <c r="E5" s="583">
        <v>1452001</v>
      </c>
      <c r="F5" s="1773">
        <f>E5-C5</f>
        <v>1054009</v>
      </c>
    </row>
    <row r="6" spans="1:6" ht="13.9" customHeight="1" x14ac:dyDescent="0.2">
      <c r="A6" s="714" t="s">
        <v>431</v>
      </c>
      <c r="B6" s="1770">
        <f>'Revenues 9-14'!E5</f>
        <v>2937440</v>
      </c>
      <c r="C6" s="583">
        <v>756295</v>
      </c>
      <c r="D6" s="1773">
        <f t="shared" si="0"/>
        <v>2181145</v>
      </c>
      <c r="E6" s="583">
        <v>2759208</v>
      </c>
      <c r="F6" s="1773">
        <f t="shared" ref="F6:F18" si="1">E6-C6</f>
        <v>2002913</v>
      </c>
    </row>
    <row r="7" spans="1:6" ht="13.9" customHeight="1" x14ac:dyDescent="0.2">
      <c r="A7" s="714" t="s">
        <v>157</v>
      </c>
      <c r="B7" s="1770">
        <f>'Revenues 9-14'!F5</f>
        <v>579474</v>
      </c>
      <c r="C7" s="583">
        <v>159197</v>
      </c>
      <c r="D7" s="1773">
        <f t="shared" si="0"/>
        <v>420277</v>
      </c>
      <c r="E7" s="583">
        <v>580800</v>
      </c>
      <c r="F7" s="1773">
        <f t="shared" si="1"/>
        <v>421603</v>
      </c>
    </row>
    <row r="8" spans="1:6" ht="13.9" customHeight="1" x14ac:dyDescent="0.2">
      <c r="A8" s="714" t="s">
        <v>1241</v>
      </c>
      <c r="B8" s="1770">
        <f>'Revenues 9-14'!G5</f>
        <v>467297</v>
      </c>
      <c r="C8" s="583">
        <v>147687</v>
      </c>
      <c r="D8" s="1773">
        <f t="shared" si="0"/>
        <v>319610</v>
      </c>
      <c r="E8" s="583">
        <v>538808</v>
      </c>
      <c r="F8" s="1773">
        <f t="shared" si="1"/>
        <v>391121</v>
      </c>
    </row>
    <row r="9" spans="1:6" ht="13.9" customHeight="1" x14ac:dyDescent="0.2">
      <c r="A9" s="714" t="s">
        <v>428</v>
      </c>
      <c r="B9" s="1770">
        <f>'Revenues 9-14'!H5</f>
        <v>0</v>
      </c>
      <c r="C9" s="583"/>
      <c r="D9" s="1773">
        <f t="shared" si="0"/>
        <v>0</v>
      </c>
      <c r="E9" s="583"/>
      <c r="F9" s="1773">
        <f t="shared" si="1"/>
        <v>0</v>
      </c>
    </row>
    <row r="10" spans="1:6" ht="13.9" customHeight="1" x14ac:dyDescent="0.2">
      <c r="A10" s="714" t="s">
        <v>427</v>
      </c>
      <c r="B10" s="1770">
        <f>'Revenues 9-14'!I5</f>
        <v>144868</v>
      </c>
      <c r="C10" s="583">
        <v>39799</v>
      </c>
      <c r="D10" s="1773">
        <f t="shared" si="0"/>
        <v>105069</v>
      </c>
      <c r="E10" s="583">
        <v>145200</v>
      </c>
      <c r="F10" s="1773">
        <f t="shared" si="1"/>
        <v>105401</v>
      </c>
    </row>
    <row r="11" spans="1:6" x14ac:dyDescent="0.2">
      <c r="A11" s="714" t="s">
        <v>429</v>
      </c>
      <c r="B11" s="1770">
        <f>'Revenues 9-14'!J5</f>
        <v>1093034</v>
      </c>
      <c r="C11" s="583">
        <v>379095</v>
      </c>
      <c r="D11" s="1773">
        <f t="shared" si="0"/>
        <v>713939</v>
      </c>
      <c r="E11" s="583">
        <v>1383060</v>
      </c>
      <c r="F11" s="1773">
        <f t="shared" si="1"/>
        <v>1003965</v>
      </c>
    </row>
    <row r="12" spans="1:6" ht="13.9" customHeight="1" x14ac:dyDescent="0.2">
      <c r="A12" s="714" t="s">
        <v>159</v>
      </c>
      <c r="B12" s="1770">
        <f>'Revenues 9-14'!K5</f>
        <v>144868</v>
      </c>
      <c r="C12" s="583">
        <v>39799</v>
      </c>
      <c r="D12" s="1773">
        <f t="shared" si="0"/>
        <v>105069</v>
      </c>
      <c r="E12" s="583">
        <v>145200</v>
      </c>
      <c r="F12" s="1773">
        <f t="shared" si="1"/>
        <v>105401</v>
      </c>
    </row>
    <row r="13" spans="1:6" ht="13.9" customHeight="1" x14ac:dyDescent="0.2">
      <c r="A13" s="714" t="s">
        <v>993</v>
      </c>
      <c r="B13" s="1770">
        <f>SUM('Revenues 9-14'!C6:D6)</f>
        <v>144868</v>
      </c>
      <c r="C13" s="583">
        <v>39799</v>
      </c>
      <c r="D13" s="1773">
        <f t="shared" si="0"/>
        <v>105069</v>
      </c>
      <c r="E13" s="583">
        <v>145200</v>
      </c>
      <c r="F13" s="1773">
        <f t="shared" si="1"/>
        <v>105401</v>
      </c>
    </row>
    <row r="14" spans="1:6" ht="13.9" customHeight="1" x14ac:dyDescent="0.2">
      <c r="A14" s="714" t="s">
        <v>430</v>
      </c>
      <c r="B14" s="1770">
        <f>SUM('Revenues 9-14'!C7:D7,'Revenues 9-14'!F7:H7)</f>
        <v>115894</v>
      </c>
      <c r="C14" s="583">
        <v>31839</v>
      </c>
      <c r="D14" s="1773">
        <f t="shared" si="0"/>
        <v>84055</v>
      </c>
      <c r="E14" s="583">
        <v>116160</v>
      </c>
      <c r="F14" s="1773">
        <f t="shared" si="1"/>
        <v>84321</v>
      </c>
    </row>
    <row r="15" spans="1:6" ht="13.9" customHeight="1" x14ac:dyDescent="0.2">
      <c r="A15" s="714" t="s">
        <v>1220</v>
      </c>
      <c r="B15" s="1770">
        <f>'Revenues 9-14'!E9</f>
        <v>0</v>
      </c>
      <c r="C15" s="583"/>
      <c r="D15" s="1773">
        <f t="shared" si="0"/>
        <v>0</v>
      </c>
      <c r="E15" s="583"/>
      <c r="F15" s="1773">
        <f t="shared" si="1"/>
        <v>0</v>
      </c>
    </row>
    <row r="16" spans="1:6" ht="13.9" customHeight="1" x14ac:dyDescent="0.2">
      <c r="A16" s="714" t="s">
        <v>1221</v>
      </c>
      <c r="B16" s="1770">
        <f>'Revenues 9-14'!G8</f>
        <v>290719</v>
      </c>
      <c r="C16" s="583">
        <v>55989</v>
      </c>
      <c r="D16" s="1773">
        <f t="shared" si="0"/>
        <v>234730</v>
      </c>
      <c r="E16" s="583">
        <v>204267</v>
      </c>
      <c r="F16" s="1773">
        <f t="shared" si="1"/>
        <v>148278</v>
      </c>
    </row>
    <row r="17" spans="1:6" ht="13.9" customHeight="1" x14ac:dyDescent="0.2">
      <c r="A17" s="714" t="s">
        <v>1222</v>
      </c>
      <c r="B17" s="1770">
        <f>'Revenues 9-14'!C10</f>
        <v>0</v>
      </c>
      <c r="C17" s="583"/>
      <c r="D17" s="1773">
        <f t="shared" si="0"/>
        <v>0</v>
      </c>
      <c r="E17" s="583"/>
      <c r="F17" s="1773">
        <f t="shared" si="1"/>
        <v>0</v>
      </c>
    </row>
    <row r="18" spans="1:6" ht="13.9" customHeight="1" x14ac:dyDescent="0.2">
      <c r="A18" s="714" t="s">
        <v>786</v>
      </c>
      <c r="B18" s="1770">
        <f>SUM('Revenues 9-14'!C11:K11)</f>
        <v>0</v>
      </c>
      <c r="C18" s="583"/>
      <c r="D18" s="1773">
        <f t="shared" si="0"/>
        <v>0</v>
      </c>
      <c r="E18" s="583"/>
      <c r="F18" s="1773">
        <f t="shared" si="1"/>
        <v>0</v>
      </c>
    </row>
    <row r="19" spans="1:6" ht="13.9" customHeight="1" thickBot="1" x14ac:dyDescent="0.25">
      <c r="A19" s="1774" t="s">
        <v>1223</v>
      </c>
      <c r="B19" s="1771">
        <f>SUM(B4:B18)</f>
        <v>15726037</v>
      </c>
      <c r="C19" s="1771">
        <f>SUM(C4:C18)</f>
        <v>4352435</v>
      </c>
      <c r="D19" s="1771">
        <f>SUM(D4:D18)</f>
        <v>11373602</v>
      </c>
      <c r="E19" s="1771">
        <f>SUM(E4:E18)</f>
        <v>15879078</v>
      </c>
      <c r="F19" s="1771">
        <f>SUM(F4:F18)</f>
        <v>11526643</v>
      </c>
    </row>
    <row r="20" spans="1:6" ht="13.5" thickTop="1" x14ac:dyDescent="0.2">
      <c r="B20" s="712"/>
      <c r="F20" s="715"/>
    </row>
    <row r="21" spans="1:6" x14ac:dyDescent="0.2">
      <c r="A21" s="716" t="s">
        <v>1911</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315" t="s">
        <v>650</v>
      </c>
      <c r="B1" s="2313"/>
      <c r="C1" s="720"/>
    </row>
    <row r="2" spans="1:7" ht="33.75" x14ac:dyDescent="0.2">
      <c r="A2" s="2320" t="s">
        <v>1901</v>
      </c>
      <c r="B2" s="2321"/>
      <c r="C2" s="1907" t="s">
        <v>2034</v>
      </c>
      <c r="D2" s="722" t="s">
        <v>2041</v>
      </c>
      <c r="E2" s="722" t="s">
        <v>2042</v>
      </c>
      <c r="F2" s="1907" t="s">
        <v>2035</v>
      </c>
    </row>
    <row r="3" spans="1:7" ht="15.95" customHeight="1" x14ac:dyDescent="0.2">
      <c r="A3" s="2322" t="s">
        <v>1176</v>
      </c>
      <c r="B3" s="2323"/>
      <c r="C3" s="2316"/>
      <c r="D3" s="2317"/>
      <c r="E3" s="2317"/>
      <c r="F3" s="2318"/>
    </row>
    <row r="4" spans="1:7" ht="12.75" customHeight="1" thickBot="1" x14ac:dyDescent="0.25">
      <c r="A4" s="2310" t="s">
        <v>651</v>
      </c>
      <c r="B4" s="2311"/>
      <c r="C4" s="579"/>
      <c r="D4" s="579"/>
      <c r="E4" s="579"/>
      <c r="F4" s="1775">
        <f>SUM(C4+D4)-E4</f>
        <v>0</v>
      </c>
    </row>
    <row r="5" spans="1:7" ht="15.95" customHeight="1" thickTop="1" x14ac:dyDescent="0.2">
      <c r="A5" s="2314" t="s">
        <v>1172</v>
      </c>
      <c r="B5" s="2309"/>
      <c r="C5" s="2303"/>
      <c r="D5" s="2304"/>
      <c r="E5" s="2304"/>
      <c r="F5" s="230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306" t="s">
        <v>652</v>
      </c>
      <c r="B15" s="2307"/>
      <c r="C15" s="1775">
        <f>SUM(C6:C14)</f>
        <v>0</v>
      </c>
      <c r="D15" s="1775">
        <f>SUM(D6:D14)</f>
        <v>0</v>
      </c>
      <c r="E15" s="1775">
        <f>SUM(E6:E14)</f>
        <v>0</v>
      </c>
      <c r="F15" s="1775">
        <f>SUM(F6:F14)</f>
        <v>0</v>
      </c>
      <c r="G15" s="550"/>
    </row>
    <row r="16" spans="1:7" s="202" customFormat="1" ht="15.95" customHeight="1" thickTop="1" x14ac:dyDescent="0.2">
      <c r="A16" s="2319" t="s">
        <v>1173</v>
      </c>
      <c r="B16" s="2309"/>
      <c r="C16" s="2303"/>
      <c r="D16" s="2304"/>
      <c r="E16" s="2304"/>
      <c r="F16" s="2305"/>
    </row>
    <row r="17" spans="1:11" ht="12.75" customHeight="1" thickBot="1" x14ac:dyDescent="0.25">
      <c r="A17" s="2301" t="s">
        <v>66</v>
      </c>
      <c r="B17" s="2302"/>
      <c r="C17" s="725"/>
      <c r="D17" s="583"/>
      <c r="E17" s="725"/>
      <c r="F17" s="1775">
        <f>SUM(C17+D17)-E17</f>
        <v>0</v>
      </c>
    </row>
    <row r="18" spans="1:11" ht="12.75" customHeight="1" thickTop="1" thickBot="1" x14ac:dyDescent="0.25">
      <c r="A18" s="2301" t="s">
        <v>6</v>
      </c>
      <c r="B18" s="2302"/>
      <c r="C18" s="725"/>
      <c r="D18" s="583"/>
      <c r="E18" s="725"/>
      <c r="F18" s="1775">
        <f>SUM(C18+D18)-E18</f>
        <v>0</v>
      </c>
    </row>
    <row r="19" spans="1:11" ht="12.75" customHeight="1" thickTop="1" thickBot="1" x14ac:dyDescent="0.25">
      <c r="A19" s="2301" t="s">
        <v>406</v>
      </c>
      <c r="B19" s="2302"/>
      <c r="C19" s="725"/>
      <c r="D19" s="583"/>
      <c r="E19" s="725"/>
      <c r="F19" s="1775">
        <f>SUM(C19+D19)-E19</f>
        <v>0</v>
      </c>
    </row>
    <row r="20" spans="1:11" ht="12.75" customHeight="1" thickTop="1" thickBot="1" x14ac:dyDescent="0.25">
      <c r="A20" s="2301" t="s">
        <v>468</v>
      </c>
      <c r="B20" s="2302"/>
      <c r="C20" s="725"/>
      <c r="D20" s="583"/>
      <c r="E20" s="725"/>
      <c r="F20" s="1775">
        <f>SUM(C20+D20)-E20</f>
        <v>0</v>
      </c>
    </row>
    <row r="21" spans="1:11" ht="14.25" thickTop="1" thickBot="1" x14ac:dyDescent="0.25">
      <c r="A21" s="2306" t="s">
        <v>653</v>
      </c>
      <c r="B21" s="2307"/>
      <c r="C21" s="1775">
        <f>SUM(C17:C20)</f>
        <v>0</v>
      </c>
      <c r="D21" s="1775">
        <f>SUM(D17:D20)</f>
        <v>0</v>
      </c>
      <c r="E21" s="1775">
        <f>SUM(E17:E20)</f>
        <v>0</v>
      </c>
      <c r="F21" s="1775">
        <f>SUM(F17:F20)</f>
        <v>0</v>
      </c>
      <c r="G21" s="550"/>
    </row>
    <row r="22" spans="1:11" ht="15.95" customHeight="1" thickTop="1" x14ac:dyDescent="0.2">
      <c r="A22" s="2308" t="s">
        <v>1174</v>
      </c>
      <c r="B22" s="2309"/>
      <c r="C22" s="2303"/>
      <c r="D22" s="2304"/>
      <c r="E22" s="2304"/>
      <c r="F22" s="2305"/>
    </row>
    <row r="23" spans="1:11" ht="13.5" thickBot="1" x14ac:dyDescent="0.25">
      <c r="A23" s="2310" t="s">
        <v>654</v>
      </c>
      <c r="B23" s="2311"/>
      <c r="C23" s="579"/>
      <c r="D23" s="579"/>
      <c r="E23" s="579"/>
      <c r="F23" s="1775">
        <f>SUM(C23+D23)-E23</f>
        <v>0</v>
      </c>
      <c r="G23" s="550"/>
    </row>
    <row r="24" spans="1:11" ht="15.95" customHeight="1" thickTop="1" x14ac:dyDescent="0.2">
      <c r="A24" s="2308" t="s">
        <v>1175</v>
      </c>
      <c r="B24" s="2309"/>
      <c r="C24" s="2303"/>
      <c r="D24" s="2304"/>
      <c r="E24" s="2304"/>
      <c r="F24" s="2305"/>
    </row>
    <row r="25" spans="1:11" ht="13.5" thickBot="1" x14ac:dyDescent="0.25">
      <c r="A25" s="2310" t="s">
        <v>655</v>
      </c>
      <c r="B25" s="2311"/>
      <c r="C25" s="579"/>
      <c r="D25" s="579"/>
      <c r="E25" s="579"/>
      <c r="F25" s="1775">
        <f>SUM(C25+D25)-E25</f>
        <v>0</v>
      </c>
      <c r="G25" s="550"/>
    </row>
    <row r="26" spans="1:11" ht="15.95" customHeight="1" thickTop="1" x14ac:dyDescent="0.2">
      <c r="A26" s="2314" t="s">
        <v>678</v>
      </c>
      <c r="B26" s="2309"/>
      <c r="C26" s="726"/>
      <c r="D26" s="726"/>
      <c r="E26" s="726"/>
      <c r="F26" s="727"/>
    </row>
    <row r="27" spans="1:11" ht="13.5" thickBot="1" x14ac:dyDescent="0.25">
      <c r="A27" s="2306" t="s">
        <v>1130</v>
      </c>
      <c r="B27" s="2307"/>
      <c r="C27" s="583"/>
      <c r="D27" s="583"/>
      <c r="E27" s="583"/>
      <c r="F27" s="1775">
        <f>SUM(C27+D27)-E27</f>
        <v>0</v>
      </c>
      <c r="G27" s="550"/>
    </row>
    <row r="28" spans="1:11" ht="7.5" customHeight="1" thickTop="1" x14ac:dyDescent="0.2">
      <c r="A28" s="592"/>
    </row>
    <row r="29" spans="1:11" ht="23.45" customHeight="1" x14ac:dyDescent="0.2">
      <c r="A29" s="2312" t="s">
        <v>603</v>
      </c>
      <c r="B29" s="2313"/>
      <c r="C29" s="728"/>
      <c r="D29" s="728"/>
      <c r="E29" s="728"/>
      <c r="F29" s="728"/>
      <c r="G29" s="728"/>
      <c r="H29" s="728"/>
      <c r="I29" s="728"/>
      <c r="J29" s="728"/>
    </row>
    <row r="30" spans="1:11" ht="33.75" x14ac:dyDescent="0.2">
      <c r="A30" s="1549" t="s">
        <v>1131</v>
      </c>
      <c r="B30" s="729" t="s">
        <v>1186</v>
      </c>
      <c r="C30" s="1908" t="s">
        <v>604</v>
      </c>
      <c r="D30" s="1908" t="s">
        <v>1772</v>
      </c>
      <c r="E30" s="1908" t="s">
        <v>2036</v>
      </c>
      <c r="F30" s="1908" t="s">
        <v>2037</v>
      </c>
      <c r="G30" s="1908" t="s">
        <v>2040</v>
      </c>
      <c r="H30" s="1908" t="s">
        <v>2038</v>
      </c>
      <c r="I30" s="1908" t="s">
        <v>2039</v>
      </c>
      <c r="J30" s="1909" t="s">
        <v>2</v>
      </c>
      <c r="K30" s="730"/>
    </row>
    <row r="31" spans="1:11" ht="12" customHeight="1" x14ac:dyDescent="0.2">
      <c r="A31" s="731" t="s">
        <v>2088</v>
      </c>
      <c r="B31" s="732">
        <v>39295</v>
      </c>
      <c r="C31" s="733">
        <v>13990000</v>
      </c>
      <c r="D31" s="734" t="s">
        <v>2089</v>
      </c>
      <c r="E31" s="733">
        <v>815000</v>
      </c>
      <c r="F31" s="733"/>
      <c r="G31" s="733"/>
      <c r="H31" s="733">
        <v>815000</v>
      </c>
      <c r="I31" s="1776">
        <f>((E31+F31)-H31)+G31</f>
        <v>0</v>
      </c>
      <c r="J31" s="733">
        <v>-26853</v>
      </c>
      <c r="K31" s="735"/>
    </row>
    <row r="32" spans="1:11" ht="12" customHeight="1" x14ac:dyDescent="0.2">
      <c r="A32" s="731" t="s">
        <v>2088</v>
      </c>
      <c r="B32" s="732">
        <v>41306</v>
      </c>
      <c r="C32" s="733">
        <v>1250000</v>
      </c>
      <c r="D32" s="734" t="s">
        <v>2090</v>
      </c>
      <c r="E32" s="733">
        <v>455000</v>
      </c>
      <c r="F32" s="733"/>
      <c r="G32" s="733"/>
      <c r="H32" s="733"/>
      <c r="I32" s="1776">
        <f>((E32+F32)-H32)+G32</f>
        <v>455000</v>
      </c>
      <c r="J32" s="733">
        <f>E32-13756</f>
        <v>441244</v>
      </c>
      <c r="K32" s="735"/>
    </row>
    <row r="33" spans="1:11" ht="12" customHeight="1" x14ac:dyDescent="0.2">
      <c r="A33" s="731" t="s">
        <v>2088</v>
      </c>
      <c r="B33" s="732">
        <v>42186</v>
      </c>
      <c r="C33" s="733">
        <v>5400000</v>
      </c>
      <c r="D33" s="734">
        <v>1</v>
      </c>
      <c r="E33" s="733">
        <v>3260000</v>
      </c>
      <c r="F33" s="733"/>
      <c r="G33" s="733"/>
      <c r="H33" s="733">
        <v>1725000</v>
      </c>
      <c r="I33" s="1776">
        <f t="shared" ref="I33:I48" si="1">((E33+F33)-H33)+G33</f>
        <v>1535000</v>
      </c>
      <c r="J33" s="733">
        <f>I33-302017</f>
        <v>1232983</v>
      </c>
      <c r="K33" s="735"/>
    </row>
    <row r="34" spans="1:11" ht="12" customHeight="1" x14ac:dyDescent="0.2">
      <c r="A34" s="731" t="s">
        <v>2088</v>
      </c>
      <c r="B34" s="732">
        <v>42486</v>
      </c>
      <c r="C34" s="733">
        <v>9375000</v>
      </c>
      <c r="D34" s="734">
        <v>3</v>
      </c>
      <c r="E34" s="733">
        <v>9260000</v>
      </c>
      <c r="F34" s="733"/>
      <c r="G34" s="733"/>
      <c r="H34" s="733">
        <v>300000</v>
      </c>
      <c r="I34" s="1776">
        <f t="shared" si="1"/>
        <v>8960000</v>
      </c>
      <c r="J34" s="733">
        <f>I34-263552</f>
        <v>8696448</v>
      </c>
      <c r="K34" s="736"/>
    </row>
    <row r="35" spans="1:11" ht="12" customHeight="1" x14ac:dyDescent="0.2">
      <c r="A35" s="731" t="s">
        <v>2088</v>
      </c>
      <c r="B35" s="732">
        <v>43199</v>
      </c>
      <c r="C35" s="737">
        <v>5400000</v>
      </c>
      <c r="D35" s="734">
        <v>1</v>
      </c>
      <c r="E35" s="737"/>
      <c r="F35" s="737">
        <v>5400000</v>
      </c>
      <c r="G35" s="737"/>
      <c r="H35" s="737"/>
      <c r="I35" s="1776">
        <f t="shared" si="1"/>
        <v>5400000</v>
      </c>
      <c r="J35" s="737">
        <f>I35-37552</f>
        <v>5362448</v>
      </c>
      <c r="K35" s="736"/>
    </row>
    <row r="36" spans="1:11" ht="12" customHeight="1" x14ac:dyDescent="0.2">
      <c r="A36" s="731" t="s">
        <v>2122</v>
      </c>
      <c r="B36" s="732">
        <v>43007</v>
      </c>
      <c r="C36" s="733">
        <v>3959049</v>
      </c>
      <c r="D36" s="734">
        <v>7</v>
      </c>
      <c r="E36" s="733"/>
      <c r="F36" s="733"/>
      <c r="G36" s="733">
        <v>3959049</v>
      </c>
      <c r="H36" s="733"/>
      <c r="I36" s="1776">
        <f t="shared" si="1"/>
        <v>3959049</v>
      </c>
      <c r="J36" s="733">
        <f>I36-35955</f>
        <v>3923094</v>
      </c>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39374049</v>
      </c>
      <c r="D49" s="744"/>
      <c r="E49" s="1776">
        <f t="shared" ref="E49:J49" si="2">SUM(E31:E48)</f>
        <v>13790000</v>
      </c>
      <c r="F49" s="1776">
        <f t="shared" si="2"/>
        <v>5400000</v>
      </c>
      <c r="G49" s="1776">
        <f t="shared" si="2"/>
        <v>3959049</v>
      </c>
      <c r="H49" s="1776">
        <f t="shared" si="2"/>
        <v>2840000</v>
      </c>
      <c r="I49" s="1776">
        <f t="shared" si="2"/>
        <v>20309049</v>
      </c>
      <c r="J49" s="1776">
        <f t="shared" si="2"/>
        <v>19629364</v>
      </c>
      <c r="K49" s="736"/>
    </row>
    <row r="50" spans="1:11" ht="6" customHeight="1" x14ac:dyDescent="0.2">
      <c r="A50" s="745"/>
      <c r="B50" s="735"/>
      <c r="C50" s="735"/>
      <c r="D50" s="735"/>
      <c r="E50" s="735"/>
      <c r="F50" s="735"/>
      <c r="G50" s="735"/>
      <c r="H50" s="735"/>
      <c r="I50" s="735"/>
      <c r="J50" s="745"/>
    </row>
    <row r="51" spans="1:11" x14ac:dyDescent="0.2">
      <c r="A51" s="746" t="s">
        <v>1910</v>
      </c>
      <c r="B51" s="745"/>
      <c r="C51" s="736"/>
      <c r="D51" s="736"/>
      <c r="E51" s="736"/>
      <c r="F51" s="736"/>
      <c r="G51" s="736"/>
      <c r="H51" s="735"/>
      <c r="I51" s="735"/>
      <c r="J51" s="745"/>
    </row>
    <row r="52" spans="1:11" ht="11.25" customHeight="1" x14ac:dyDescent="0.2">
      <c r="A52" s="747" t="s">
        <v>968</v>
      </c>
      <c r="B52" s="2295" t="s">
        <v>605</v>
      </c>
      <c r="C52" s="2296"/>
      <c r="D52" s="2296"/>
      <c r="E52" s="748" t="s">
        <v>900</v>
      </c>
      <c r="F52" s="2297" t="s">
        <v>2122</v>
      </c>
      <c r="G52" s="2298"/>
      <c r="H52" s="735"/>
      <c r="I52" s="735"/>
      <c r="J52" s="745"/>
    </row>
    <row r="53" spans="1:11" ht="11.25" customHeight="1" x14ac:dyDescent="0.2">
      <c r="A53" s="749" t="s">
        <v>969</v>
      </c>
      <c r="B53" s="750" t="s">
        <v>1008</v>
      </c>
      <c r="C53" s="745"/>
      <c r="D53" s="736"/>
      <c r="E53" s="748" t="s">
        <v>518</v>
      </c>
      <c r="F53" s="2299"/>
      <c r="G53" s="2300"/>
      <c r="H53" s="735"/>
      <c r="I53" s="735"/>
      <c r="J53" s="745"/>
    </row>
    <row r="54" spans="1:11" ht="11.25" customHeight="1" x14ac:dyDescent="0.2">
      <c r="A54" s="751" t="s">
        <v>970</v>
      </c>
      <c r="B54" s="746" t="s">
        <v>1009</v>
      </c>
      <c r="C54" s="745"/>
      <c r="D54" s="736"/>
      <c r="E54" s="748" t="s">
        <v>519</v>
      </c>
      <c r="F54" s="2299"/>
      <c r="G54" s="230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4" t="s">
        <v>911</v>
      </c>
      <c r="B1" s="2325"/>
      <c r="C1" s="2325"/>
      <c r="D1" s="2325"/>
      <c r="E1" s="2325"/>
      <c r="F1" s="2325"/>
      <c r="G1" s="2326"/>
      <c r="H1" s="1550"/>
      <c r="I1" s="759"/>
      <c r="J1" s="433"/>
    </row>
    <row r="2" spans="1:11" ht="26.25" x14ac:dyDescent="0.2">
      <c r="A2" s="2343" t="s">
        <v>1776</v>
      </c>
      <c r="B2" s="2344"/>
      <c r="C2" s="2344"/>
      <c r="D2" s="2344"/>
      <c r="E2" s="2345"/>
      <c r="F2" s="760" t="s">
        <v>960</v>
      </c>
      <c r="G2" s="761" t="s">
        <v>1773</v>
      </c>
      <c r="H2" s="761" t="s">
        <v>430</v>
      </c>
      <c r="I2" s="761" t="s">
        <v>1220</v>
      </c>
      <c r="J2" s="761" t="s">
        <v>1915</v>
      </c>
      <c r="K2" s="761" t="s">
        <v>140</v>
      </c>
    </row>
    <row r="3" spans="1:11" x14ac:dyDescent="0.2">
      <c r="A3" s="2346" t="s">
        <v>1698</v>
      </c>
      <c r="B3" s="2347"/>
      <c r="C3" s="2347"/>
      <c r="D3" s="2347"/>
      <c r="E3" s="2348"/>
      <c r="F3" s="762"/>
      <c r="G3" s="763"/>
      <c r="H3" s="763"/>
      <c r="I3" s="763"/>
      <c r="J3" s="764">
        <v>126389</v>
      </c>
      <c r="K3" s="764"/>
    </row>
    <row r="4" spans="1:11" x14ac:dyDescent="0.2">
      <c r="A4" s="2349" t="s">
        <v>387</v>
      </c>
      <c r="B4" s="2350"/>
      <c r="C4" s="2350"/>
      <c r="D4" s="2350"/>
      <c r="E4" s="2296"/>
      <c r="F4" s="765"/>
      <c r="G4" s="766"/>
      <c r="H4" s="767"/>
      <c r="I4" s="766"/>
      <c r="J4" s="768"/>
      <c r="K4" s="768"/>
    </row>
    <row r="5" spans="1:11" x14ac:dyDescent="0.2">
      <c r="A5" s="2327" t="s">
        <v>1129</v>
      </c>
      <c r="B5" s="2328"/>
      <c r="C5" s="2328"/>
      <c r="D5" s="2328"/>
      <c r="E5" s="2329"/>
      <c r="F5" s="769" t="s">
        <v>903</v>
      </c>
      <c r="G5" s="770"/>
      <c r="H5" s="763">
        <v>115894</v>
      </c>
      <c r="I5" s="771"/>
      <c r="J5" s="772"/>
      <c r="K5" s="772"/>
    </row>
    <row r="6" spans="1:11" x14ac:dyDescent="0.2">
      <c r="A6" s="773" t="s">
        <v>744</v>
      </c>
      <c r="B6" s="774"/>
      <c r="C6" s="774"/>
      <c r="D6" s="774"/>
      <c r="E6" s="775"/>
      <c r="F6" s="776" t="s">
        <v>904</v>
      </c>
      <c r="G6" s="763"/>
      <c r="H6" s="763">
        <v>30</v>
      </c>
      <c r="I6" s="763"/>
      <c r="J6" s="764">
        <v>1438</v>
      </c>
      <c r="K6" s="764"/>
    </row>
    <row r="7" spans="1:11" x14ac:dyDescent="0.2">
      <c r="A7" s="777" t="s">
        <v>264</v>
      </c>
      <c r="B7" s="778"/>
      <c r="C7" s="778"/>
      <c r="D7" s="778"/>
      <c r="E7" s="779"/>
      <c r="F7" s="769" t="s">
        <v>905</v>
      </c>
      <c r="G7" s="766"/>
      <c r="H7" s="766"/>
      <c r="I7" s="766"/>
      <c r="J7" s="780"/>
      <c r="K7" s="764">
        <v>11878.46</v>
      </c>
    </row>
    <row r="8" spans="1:11" x14ac:dyDescent="0.2">
      <c r="A8" s="777" t="s">
        <v>363</v>
      </c>
      <c r="B8" s="778"/>
      <c r="C8" s="778"/>
      <c r="D8" s="778"/>
      <c r="E8" s="779"/>
      <c r="F8" s="769" t="s">
        <v>906</v>
      </c>
      <c r="G8" s="781"/>
      <c r="H8" s="781"/>
      <c r="I8" s="781"/>
      <c r="J8" s="764">
        <v>203740.17</v>
      </c>
      <c r="K8" s="768"/>
    </row>
    <row r="9" spans="1:11" x14ac:dyDescent="0.2">
      <c r="A9" s="777" t="s">
        <v>140</v>
      </c>
      <c r="B9" s="778"/>
      <c r="C9" s="778"/>
      <c r="D9" s="778"/>
      <c r="E9" s="779"/>
      <c r="F9" s="776" t="s">
        <v>908</v>
      </c>
      <c r="G9" s="781"/>
      <c r="H9" s="770"/>
      <c r="I9" s="770"/>
      <c r="J9" s="780"/>
      <c r="K9" s="764">
        <v>13649.78</v>
      </c>
    </row>
    <row r="10" spans="1:11" x14ac:dyDescent="0.2">
      <c r="A10" s="2327" t="s">
        <v>1916</v>
      </c>
      <c r="B10" s="2328"/>
      <c r="C10" s="2328"/>
      <c r="D10" s="2328"/>
      <c r="E10" s="2330"/>
      <c r="F10" s="782" t="s">
        <v>917</v>
      </c>
      <c r="G10" s="781"/>
      <c r="H10" s="783"/>
      <c r="I10" s="763"/>
      <c r="J10" s="764"/>
      <c r="K10" s="764"/>
    </row>
    <row r="11" spans="1:11" x14ac:dyDescent="0.2">
      <c r="A11" s="2327" t="s">
        <v>162</v>
      </c>
      <c r="B11" s="2328"/>
      <c r="C11" s="2328"/>
      <c r="D11" s="2328"/>
      <c r="E11" s="2329"/>
      <c r="F11" s="769" t="s">
        <v>907</v>
      </c>
      <c r="G11" s="770"/>
      <c r="H11" s="763"/>
      <c r="I11" s="763"/>
      <c r="J11" s="764"/>
      <c r="K11" s="772"/>
    </row>
    <row r="12" spans="1:11" ht="13.5" thickBot="1" x14ac:dyDescent="0.25">
      <c r="A12" s="2354" t="s">
        <v>961</v>
      </c>
      <c r="B12" s="2355"/>
      <c r="C12" s="2355"/>
      <c r="D12" s="2355"/>
      <c r="E12" s="2356"/>
      <c r="F12" s="1777"/>
      <c r="G12" s="1778">
        <f>SUM(G5:G11)</f>
        <v>0</v>
      </c>
      <c r="H12" s="1778">
        <f>SUM(H5:H11)</f>
        <v>115924</v>
      </c>
      <c r="I12" s="1778">
        <f>SUM(I5:I11)</f>
        <v>0</v>
      </c>
      <c r="J12" s="1778">
        <f>SUM(J5:J11)</f>
        <v>205178.17</v>
      </c>
      <c r="K12" s="1778">
        <f>SUM(K5:K11)</f>
        <v>25528.239999999998</v>
      </c>
    </row>
    <row r="13" spans="1:11" ht="13.5" thickTop="1" x14ac:dyDescent="0.2">
      <c r="A13" s="2351" t="s">
        <v>388</v>
      </c>
      <c r="B13" s="2352"/>
      <c r="C13" s="2352"/>
      <c r="D13" s="2352"/>
      <c r="E13" s="2353"/>
      <c r="F13" s="784"/>
      <c r="G13" s="785"/>
      <c r="H13" s="786"/>
      <c r="I13" s="787"/>
      <c r="J13" s="787"/>
      <c r="K13" s="787"/>
    </row>
    <row r="14" spans="1:11" x14ac:dyDescent="0.2">
      <c r="A14" s="2334" t="s">
        <v>476</v>
      </c>
      <c r="B14" s="2334"/>
      <c r="C14" s="2334"/>
      <c r="D14" s="2334"/>
      <c r="E14" s="2335"/>
      <c r="F14" s="788" t="s">
        <v>909</v>
      </c>
      <c r="G14" s="781"/>
      <c r="H14" s="763"/>
      <c r="I14" s="770"/>
      <c r="J14" s="772"/>
      <c r="K14" s="764"/>
    </row>
    <row r="15" spans="1:11" x14ac:dyDescent="0.2">
      <c r="A15" s="2328" t="s">
        <v>4</v>
      </c>
      <c r="B15" s="2328"/>
      <c r="C15" s="2328"/>
      <c r="D15" s="2328"/>
      <c r="E15" s="2329"/>
      <c r="F15" s="788" t="s">
        <v>910</v>
      </c>
      <c r="G15" s="770"/>
      <c r="H15" s="763">
        <v>115924</v>
      </c>
      <c r="I15" s="763"/>
      <c r="J15" s="764">
        <v>180000</v>
      </c>
      <c r="K15" s="764"/>
    </row>
    <row r="16" spans="1:11" x14ac:dyDescent="0.2">
      <c r="A16" s="2328" t="s">
        <v>316</v>
      </c>
      <c r="B16" s="2328"/>
      <c r="C16" s="2328"/>
      <c r="D16" s="2328"/>
      <c r="E16" s="2329"/>
      <c r="F16" s="788" t="s">
        <v>980</v>
      </c>
      <c r="G16" s="771"/>
      <c r="H16" s="766"/>
      <c r="I16" s="766"/>
      <c r="J16" s="768"/>
      <c r="K16" s="768"/>
    </row>
    <row r="17" spans="1:11" x14ac:dyDescent="0.2">
      <c r="A17" s="2359" t="s">
        <v>992</v>
      </c>
      <c r="B17" s="2359"/>
      <c r="C17" s="2359"/>
      <c r="D17" s="2359"/>
      <c r="E17" s="2360"/>
      <c r="F17" s="789"/>
      <c r="G17" s="790"/>
      <c r="H17" s="791"/>
      <c r="I17" s="791"/>
      <c r="J17" s="792"/>
      <c r="K17" s="793"/>
    </row>
    <row r="18" spans="1:11" x14ac:dyDescent="0.2">
      <c r="A18" s="2338" t="s">
        <v>386</v>
      </c>
      <c r="B18" s="2339"/>
      <c r="C18" s="2339"/>
      <c r="D18" s="2339"/>
      <c r="E18" s="2340"/>
      <c r="F18" s="788" t="s">
        <v>989</v>
      </c>
      <c r="G18" s="781"/>
      <c r="H18" s="781"/>
      <c r="I18" s="781"/>
      <c r="J18" s="764"/>
      <c r="K18" s="794"/>
    </row>
    <row r="19" spans="1:11" ht="21.75" customHeight="1" x14ac:dyDescent="0.2">
      <c r="A19" s="2336" t="s">
        <v>1912</v>
      </c>
      <c r="B19" s="2336"/>
      <c r="C19" s="2336"/>
      <c r="D19" s="2336"/>
      <c r="E19" s="2337"/>
      <c r="F19" s="788" t="s">
        <v>990</v>
      </c>
      <c r="G19" s="781"/>
      <c r="H19" s="781"/>
      <c r="I19" s="781"/>
      <c r="J19" s="764"/>
      <c r="K19" s="794"/>
    </row>
    <row r="20" spans="1:11" x14ac:dyDescent="0.2">
      <c r="A20" s="2338" t="s">
        <v>1917</v>
      </c>
      <c r="B20" s="2339"/>
      <c r="C20" s="2339"/>
      <c r="D20" s="2339"/>
      <c r="E20" s="2340"/>
      <c r="F20" s="788" t="s">
        <v>991</v>
      </c>
      <c r="G20" s="781"/>
      <c r="H20" s="781"/>
      <c r="I20" s="781"/>
      <c r="J20" s="764"/>
      <c r="K20" s="794"/>
    </row>
    <row r="21" spans="1:11" ht="13.5" thickBot="1" x14ac:dyDescent="0.25">
      <c r="A21" s="2357" t="s">
        <v>659</v>
      </c>
      <c r="B21" s="2357"/>
      <c r="C21" s="2357"/>
      <c r="D21" s="2357"/>
      <c r="E21" s="2357"/>
      <c r="F21" s="1779"/>
      <c r="G21" s="791"/>
      <c r="H21" s="795"/>
      <c r="I21" s="795"/>
      <c r="J21" s="1780">
        <f>SUM(J18:J20)</f>
        <v>0</v>
      </c>
      <c r="K21" s="792"/>
    </row>
    <row r="22" spans="1:11" ht="13.5" thickTop="1" x14ac:dyDescent="0.2">
      <c r="A22" s="2328" t="s">
        <v>1918</v>
      </c>
      <c r="B22" s="2328"/>
      <c r="C22" s="2328"/>
      <c r="D22" s="2328"/>
      <c r="E22" s="2329"/>
      <c r="F22" s="788" t="s">
        <v>917</v>
      </c>
      <c r="G22" s="781"/>
      <c r="H22" s="763"/>
      <c r="I22" s="763"/>
      <c r="J22" s="796"/>
      <c r="K22" s="764"/>
    </row>
    <row r="23" spans="1:11" ht="13.5" thickBot="1" x14ac:dyDescent="0.25">
      <c r="A23" s="2358" t="s">
        <v>962</v>
      </c>
      <c r="B23" s="2357"/>
      <c r="C23" s="2357"/>
      <c r="D23" s="2357"/>
      <c r="E23" s="2357"/>
      <c r="F23" s="1781"/>
      <c r="G23" s="1778">
        <f>SUM(G14:G16,G21,G22)</f>
        <v>0</v>
      </c>
      <c r="H23" s="1778">
        <f>SUM(H14:H16,H21,H22)</f>
        <v>115924</v>
      </c>
      <c r="I23" s="1778">
        <f>SUM(I14:I16,I21,I22)</f>
        <v>0</v>
      </c>
      <c r="J23" s="1778">
        <f>SUM(J14:J16,J21,J22)</f>
        <v>180000</v>
      </c>
      <c r="K23" s="1778">
        <f>SUM(K14:K16,K21,K22)</f>
        <v>0</v>
      </c>
    </row>
    <row r="24" spans="1:11" ht="14.25" thickTop="1" thickBot="1" x14ac:dyDescent="0.25">
      <c r="A24" s="2358" t="s">
        <v>2022</v>
      </c>
      <c r="B24" s="2357"/>
      <c r="C24" s="2357"/>
      <c r="D24" s="2357"/>
      <c r="E24" s="2357"/>
      <c r="F24" s="1782"/>
      <c r="G24" s="1783">
        <f>SUM(G3,G12)-G23</f>
        <v>0</v>
      </c>
      <c r="H24" s="1783">
        <f>SUM(H3,H12)-H23</f>
        <v>0</v>
      </c>
      <c r="I24" s="1783">
        <f>SUM(I3,I12)-I23</f>
        <v>0</v>
      </c>
      <c r="J24" s="1783">
        <f>SUM(J3,J12)-J23</f>
        <v>151567.17000000004</v>
      </c>
      <c r="K24" s="1783">
        <f>SUM(K3,K12)-K23</f>
        <v>25528.239999999998</v>
      </c>
    </row>
    <row r="25" spans="1:11" ht="13.5" thickTop="1" x14ac:dyDescent="0.2">
      <c r="A25" s="797" t="s">
        <v>440</v>
      </c>
      <c r="B25" s="798"/>
      <c r="C25" s="798"/>
      <c r="D25" s="798"/>
      <c r="E25" s="799"/>
      <c r="F25" s="800">
        <v>714</v>
      </c>
      <c r="G25" s="801"/>
      <c r="H25" s="801"/>
      <c r="I25" s="801"/>
      <c r="J25" s="796">
        <v>151567</v>
      </c>
      <c r="K25" s="796">
        <v>25528</v>
      </c>
    </row>
    <row r="26" spans="1:11" ht="13.5" thickBot="1" x14ac:dyDescent="0.25">
      <c r="A26" s="797" t="s">
        <v>360</v>
      </c>
      <c r="B26" s="798"/>
      <c r="C26" s="798"/>
      <c r="D26" s="798"/>
      <c r="E26" s="799"/>
      <c r="F26" s="800">
        <v>730</v>
      </c>
      <c r="G26" s="1778">
        <f>G24-G25</f>
        <v>0</v>
      </c>
      <c r="H26" s="1778">
        <f>H24-H25</f>
        <v>0</v>
      </c>
      <c r="I26" s="1778">
        <f>I24-I25</f>
        <v>0</v>
      </c>
      <c r="J26" s="1778">
        <f>J24-J25</f>
        <v>0.17000000004190952</v>
      </c>
      <c r="K26" s="1778">
        <f>K24-K25</f>
        <v>0.23999999999796273</v>
      </c>
    </row>
    <row r="27" spans="1:11" ht="5.45" customHeight="1" thickTop="1" x14ac:dyDescent="0.2">
      <c r="I27" s="202"/>
      <c r="J27" s="202"/>
    </row>
    <row r="28" spans="1:11" ht="29.25" customHeight="1" x14ac:dyDescent="0.2">
      <c r="A28" s="1903" t="s">
        <v>2032</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31"/>
      <c r="I31" s="2332"/>
      <c r="J31" s="2332"/>
      <c r="K31" s="2332"/>
    </row>
    <row r="32" spans="1:11" x14ac:dyDescent="0.2">
      <c r="A32" s="808"/>
      <c r="B32" s="237"/>
      <c r="C32" s="237"/>
      <c r="D32" s="237"/>
      <c r="E32" s="804"/>
      <c r="F32" s="810" t="s">
        <v>561</v>
      </c>
      <c r="G32" s="763"/>
      <c r="H32" s="2333"/>
      <c r="I32" s="2332"/>
      <c r="J32" s="2332"/>
      <c r="K32" s="2332"/>
    </row>
    <row r="33" spans="1:11" ht="1.7" customHeight="1" x14ac:dyDescent="0.2">
      <c r="A33" s="811" t="s">
        <v>1231</v>
      </c>
      <c r="B33" s="364"/>
      <c r="C33" s="364"/>
      <c r="D33" s="364"/>
      <c r="E33" s="364"/>
      <c r="F33" s="364"/>
      <c r="G33" s="812"/>
      <c r="H33" s="2333"/>
      <c r="I33" s="2332"/>
      <c r="J33" s="2332"/>
      <c r="K33" s="2332"/>
    </row>
    <row r="34" spans="1:11" x14ac:dyDescent="0.2">
      <c r="A34" s="813" t="s">
        <v>1919</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28" t="s">
        <v>562</v>
      </c>
      <c r="B41" s="2341"/>
      <c r="C41" s="2341"/>
      <c r="D41" s="2341"/>
      <c r="E41" s="2341"/>
      <c r="F41" s="2342"/>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1913</v>
      </c>
      <c r="B46" s="408" t="s">
        <v>1774</v>
      </c>
    </row>
    <row r="47" spans="1:11" s="822" customFormat="1" ht="12.75" customHeight="1" x14ac:dyDescent="0.2">
      <c r="A47" s="820"/>
      <c r="B47" s="821" t="s">
        <v>1775</v>
      </c>
      <c r="E47" s="821"/>
      <c r="K47" s="823"/>
    </row>
    <row r="48" spans="1:11" ht="12.75" customHeight="1" x14ac:dyDescent="0.2">
      <c r="A48" s="1552"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63" t="s">
        <v>2031</v>
      </c>
      <c r="B1" s="2364"/>
      <c r="C1" s="2365"/>
      <c r="D1" s="825"/>
      <c r="E1" s="826"/>
      <c r="F1" s="826"/>
      <c r="G1" s="827"/>
      <c r="H1" s="828"/>
      <c r="I1" s="829"/>
      <c r="J1" s="2361"/>
      <c r="K1" s="2362"/>
      <c r="L1" s="2362"/>
    </row>
    <row r="2" spans="1:14" ht="69.95" customHeight="1" x14ac:dyDescent="0.2">
      <c r="A2" s="830" t="s">
        <v>1777</v>
      </c>
      <c r="B2" s="831" t="s">
        <v>396</v>
      </c>
      <c r="C2" s="832" t="s">
        <v>2026</v>
      </c>
      <c r="D2" s="832" t="s">
        <v>2023</v>
      </c>
      <c r="E2" s="832" t="s">
        <v>2024</v>
      </c>
      <c r="F2" s="832" t="s">
        <v>2025</v>
      </c>
      <c r="G2" s="832" t="s">
        <v>626</v>
      </c>
      <c r="H2" s="832" t="s">
        <v>2027</v>
      </c>
      <c r="I2" s="832" t="s">
        <v>2028</v>
      </c>
      <c r="J2" s="832" t="s">
        <v>2043</v>
      </c>
      <c r="K2" s="832" t="s">
        <v>2029</v>
      </c>
      <c r="L2" s="832" t="s">
        <v>2030</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464604</v>
      </c>
      <c r="D5" s="840"/>
      <c r="E5" s="840"/>
      <c r="F5" s="1780">
        <f>(C5+D5)-E5</f>
        <v>464604</v>
      </c>
      <c r="G5" s="836"/>
      <c r="H5" s="841"/>
      <c r="I5" s="841"/>
      <c r="J5" s="841"/>
      <c r="K5" s="792"/>
      <c r="L5" s="1789">
        <f>F5-K5</f>
        <v>464604</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38800243</v>
      </c>
      <c r="D8" s="843">
        <v>1594878</v>
      </c>
      <c r="E8" s="843"/>
      <c r="F8" s="1780">
        <f>(C8+D8)-E8</f>
        <v>40395121</v>
      </c>
      <c r="G8" s="842">
        <v>50</v>
      </c>
      <c r="H8" s="764">
        <v>19648873</v>
      </c>
      <c r="I8" s="764">
        <v>807905</v>
      </c>
      <c r="J8" s="764"/>
      <c r="K8" s="1789">
        <f>(H8+I8)-J8</f>
        <v>20456778</v>
      </c>
      <c r="L8" s="1789">
        <f>F8-K8</f>
        <v>19938343</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738926</v>
      </c>
      <c r="D10" s="845"/>
      <c r="E10" s="845"/>
      <c r="F10" s="1784">
        <f>(C10+D10)-E10</f>
        <v>738926</v>
      </c>
      <c r="G10" s="842">
        <v>20</v>
      </c>
      <c r="H10" s="846">
        <v>701562</v>
      </c>
      <c r="I10" s="846">
        <v>4467</v>
      </c>
      <c r="J10" s="846"/>
      <c r="K10" s="1789">
        <f>(H10+I10)-J10</f>
        <v>706029</v>
      </c>
      <c r="L10" s="1789">
        <f>F10-K10</f>
        <v>32897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3119773</v>
      </c>
      <c r="D12" s="843">
        <v>138857</v>
      </c>
      <c r="E12" s="843">
        <v>277408</v>
      </c>
      <c r="F12" s="1780">
        <f>(C12+D12)-E12</f>
        <v>2981222</v>
      </c>
      <c r="G12" s="842">
        <v>10</v>
      </c>
      <c r="H12" s="764">
        <v>1781530</v>
      </c>
      <c r="I12" s="764">
        <v>291526</v>
      </c>
      <c r="J12" s="764">
        <v>277408</v>
      </c>
      <c r="K12" s="1789">
        <f>(H12+I12)-J12</f>
        <v>1795648</v>
      </c>
      <c r="L12" s="1789">
        <f>F12-K12</f>
        <v>1185574</v>
      </c>
    </row>
    <row r="13" spans="1:14" ht="14.25" thickTop="1" thickBot="1" x14ac:dyDescent="0.25">
      <c r="A13" s="847" t="s">
        <v>1184</v>
      </c>
      <c r="B13" s="839">
        <v>252</v>
      </c>
      <c r="C13" s="843">
        <v>1924919</v>
      </c>
      <c r="D13" s="843"/>
      <c r="E13" s="843"/>
      <c r="F13" s="1780">
        <f>(C13+D13)-E13</f>
        <v>1924919</v>
      </c>
      <c r="G13" s="842">
        <v>5</v>
      </c>
      <c r="H13" s="764">
        <v>1777338</v>
      </c>
      <c r="I13" s="764">
        <v>59532</v>
      </c>
      <c r="J13" s="764"/>
      <c r="K13" s="1789">
        <f>(H13+I13)-J13</f>
        <v>1836870</v>
      </c>
      <c r="L13" s="1789">
        <f>F13-K13</f>
        <v>88049</v>
      </c>
    </row>
    <row r="14" spans="1:14" ht="14.25" thickTop="1" thickBot="1" x14ac:dyDescent="0.25">
      <c r="A14" s="847" t="s">
        <v>1185</v>
      </c>
      <c r="B14" s="839">
        <v>253</v>
      </c>
      <c r="C14" s="764">
        <v>24225</v>
      </c>
      <c r="D14" s="764"/>
      <c r="E14" s="764"/>
      <c r="F14" s="1780">
        <f>(C14+D14)-E14</f>
        <v>24225</v>
      </c>
      <c r="G14" s="842">
        <v>3</v>
      </c>
      <c r="H14" s="764">
        <v>16150</v>
      </c>
      <c r="I14" s="764">
        <v>8075</v>
      </c>
      <c r="J14" s="764"/>
      <c r="K14" s="1789">
        <f>(H14+I14)-J14</f>
        <v>24225</v>
      </c>
      <c r="L14" s="1789">
        <f>F14-K14</f>
        <v>0</v>
      </c>
    </row>
    <row r="15" spans="1:14" ht="15" customHeight="1" thickTop="1" thickBot="1" x14ac:dyDescent="0.25">
      <c r="A15" s="1651" t="s">
        <v>549</v>
      </c>
      <c r="B15" s="1650">
        <v>260</v>
      </c>
      <c r="C15" s="843">
        <v>113000</v>
      </c>
      <c r="D15" s="843">
        <v>3481718</v>
      </c>
      <c r="E15" s="843">
        <v>113000</v>
      </c>
      <c r="F15" s="1780">
        <f>(C15+D15)-E15</f>
        <v>3481718</v>
      </c>
      <c r="G15" s="848" t="s">
        <v>917</v>
      </c>
      <c r="H15" s="780"/>
      <c r="I15" s="780"/>
      <c r="J15" s="780"/>
      <c r="K15" s="780"/>
      <c r="L15" s="1789">
        <f>F15-K15</f>
        <v>3481718</v>
      </c>
    </row>
    <row r="16" spans="1:14" ht="15" customHeight="1" thickTop="1" thickBot="1" x14ac:dyDescent="0.25">
      <c r="A16" s="1785" t="s">
        <v>664</v>
      </c>
      <c r="B16" s="1786">
        <v>200</v>
      </c>
      <c r="C16" s="1780">
        <f>SUM(C3,C5:C6,C8:C10,C12:C15)</f>
        <v>45185690</v>
      </c>
      <c r="D16" s="1780">
        <f>SUM(D3,D5:D6,D8:D10,D12:D15)</f>
        <v>5215453</v>
      </c>
      <c r="E16" s="1780">
        <f>SUM(E3,E5:E6,E8:E10,E12:E15)</f>
        <v>390408</v>
      </c>
      <c r="F16" s="1780">
        <f>SUM(F3,F5:F6,F8:F10,F12:F15)</f>
        <v>50010735</v>
      </c>
      <c r="G16" s="842"/>
      <c r="H16" s="1780">
        <f>SUM(H3,H6,H8:H10,H12:H14,)</f>
        <v>23925453</v>
      </c>
      <c r="I16" s="1780">
        <f>SUM(I3,I6,I8:I10,I12:I14,)</f>
        <v>1171505</v>
      </c>
      <c r="J16" s="1780">
        <f>SUM(J3,J6,J8:J10,J12:J14,)</f>
        <v>277408</v>
      </c>
      <c r="K16" s="1780">
        <f>(H16+I16)-J16</f>
        <v>24819550</v>
      </c>
      <c r="L16" s="1780">
        <f>F16-K16</f>
        <v>25191185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1171505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369" t="s">
        <v>1699</v>
      </c>
      <c r="B1" s="2370"/>
      <c r="C1" s="2370"/>
      <c r="D1" s="2370"/>
      <c r="E1" s="2370"/>
      <c r="F1" s="2371"/>
      <c r="G1" s="854"/>
    </row>
    <row r="2" spans="1:7" ht="15" customHeight="1" thickBot="1" x14ac:dyDescent="0.25">
      <c r="A2" s="2372" t="s">
        <v>498</v>
      </c>
      <c r="B2" s="2373"/>
      <c r="C2" s="2373"/>
      <c r="D2" s="2373"/>
      <c r="E2" s="2373"/>
      <c r="F2" s="2374"/>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75"/>
      <c r="B5" s="2376"/>
      <c r="C5" s="2376"/>
      <c r="D5" s="2376"/>
      <c r="E5" s="2376"/>
      <c r="F5" s="2376"/>
    </row>
    <row r="6" spans="1:7" ht="13.5" customHeight="1" thickBot="1" x14ac:dyDescent="0.25">
      <c r="A6" s="2366" t="s">
        <v>1166</v>
      </c>
      <c r="B6" s="2367"/>
      <c r="C6" s="2367"/>
      <c r="D6" s="2367"/>
      <c r="E6" s="2367"/>
      <c r="F6" s="2368"/>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14351910</v>
      </c>
      <c r="G8" s="864"/>
    </row>
    <row r="9" spans="1:7" x14ac:dyDescent="0.2">
      <c r="A9" s="868" t="s">
        <v>480</v>
      </c>
      <c r="B9" s="869" t="s">
        <v>1985</v>
      </c>
      <c r="C9" s="870"/>
      <c r="D9" s="868" t="s">
        <v>522</v>
      </c>
      <c r="E9" s="867"/>
      <c r="F9" s="1933">
        <f>'Expenditures 15-22'!K151</f>
        <v>3126263</v>
      </c>
      <c r="G9" s="871"/>
    </row>
    <row r="10" spans="1:7" x14ac:dyDescent="0.2">
      <c r="A10" s="868" t="s">
        <v>520</v>
      </c>
      <c r="B10" s="869" t="s">
        <v>1986</v>
      </c>
      <c r="C10" s="870"/>
      <c r="D10" s="868" t="s">
        <v>522</v>
      </c>
      <c r="E10" s="867"/>
      <c r="F10" s="1933">
        <f>'Expenditures 15-22'!K174</f>
        <v>3205769</v>
      </c>
      <c r="G10" s="871"/>
    </row>
    <row r="11" spans="1:7" x14ac:dyDescent="0.2">
      <c r="A11" s="868" t="s">
        <v>481</v>
      </c>
      <c r="B11" s="869" t="s">
        <v>1987</v>
      </c>
      <c r="C11" s="870"/>
      <c r="D11" s="868" t="s">
        <v>522</v>
      </c>
      <c r="E11" s="867"/>
      <c r="F11" s="1933">
        <f>'Expenditures 15-22'!K210</f>
        <v>1618024</v>
      </c>
      <c r="G11" s="871"/>
    </row>
    <row r="12" spans="1:7" x14ac:dyDescent="0.2">
      <c r="A12" s="868" t="s">
        <v>482</v>
      </c>
      <c r="B12" s="869" t="s">
        <v>1988</v>
      </c>
      <c r="C12" s="870"/>
      <c r="D12" s="868" t="s">
        <v>522</v>
      </c>
      <c r="E12" s="867"/>
      <c r="F12" s="1933">
        <f>'Expenditures 15-22'!K295</f>
        <v>728821</v>
      </c>
      <c r="G12" s="871"/>
    </row>
    <row r="13" spans="1:7" x14ac:dyDescent="0.2">
      <c r="A13" s="868" t="s">
        <v>108</v>
      </c>
      <c r="B13" s="869" t="s">
        <v>1989</v>
      </c>
      <c r="C13" s="870"/>
      <c r="D13" s="868" t="s">
        <v>522</v>
      </c>
      <c r="E13" s="867"/>
      <c r="F13" s="1933">
        <f>'Expenditures 15-22'!K342</f>
        <v>860080</v>
      </c>
      <c r="G13" s="872"/>
    </row>
    <row r="14" spans="1:7" ht="12" customHeight="1" thickBot="1" x14ac:dyDescent="0.25">
      <c r="A14" s="1790"/>
      <c r="B14" s="1791"/>
      <c r="C14" s="1792"/>
      <c r="D14" s="1793" t="s">
        <v>522</v>
      </c>
      <c r="E14" s="1794" t="s">
        <v>1015</v>
      </c>
      <c r="F14" s="1795">
        <f>SUM(F8:F13)</f>
        <v>23890867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477774</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6452</v>
      </c>
      <c r="G52" s="864"/>
    </row>
    <row r="53" spans="1:7" x14ac:dyDescent="0.2">
      <c r="A53" s="868" t="s">
        <v>479</v>
      </c>
      <c r="B53" s="868" t="s">
        <v>1551</v>
      </c>
      <c r="C53" s="888">
        <f>'Expenditures 15-22'!B102</f>
        <v>4000</v>
      </c>
      <c r="D53" s="887" t="str">
        <f>'Expenditures 15-22'!A102</f>
        <v>Total Payments to Other Govt Units</v>
      </c>
      <c r="E53" s="867"/>
      <c r="F53" s="1937">
        <f>'Expenditures 15-22'!K102</f>
        <v>562728</v>
      </c>
      <c r="G53" s="864"/>
    </row>
    <row r="54" spans="1:7" x14ac:dyDescent="0.2">
      <c r="A54" s="868" t="s">
        <v>479</v>
      </c>
      <c r="B54" s="868" t="s">
        <v>1552</v>
      </c>
      <c r="C54" s="888" t="s">
        <v>1039</v>
      </c>
      <c r="D54" s="884" t="s">
        <v>1157</v>
      </c>
      <c r="E54" s="867"/>
      <c r="F54" s="1937">
        <f>'Expenditures 15-22'!G114</f>
        <v>94942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1990</v>
      </c>
      <c r="C57" s="888">
        <f>'Expenditures 15-22'!B139</f>
        <v>4000</v>
      </c>
      <c r="D57" s="886" t="str">
        <f>'Expenditures 15-22'!A139</f>
        <v>Total Payments to Other Govt Units</v>
      </c>
      <c r="E57" s="867"/>
      <c r="F57" s="1937">
        <f>'Expenditures 15-22'!K139</f>
        <v>0</v>
      </c>
      <c r="G57" s="864"/>
    </row>
    <row r="58" spans="1:7" x14ac:dyDescent="0.2">
      <c r="A58" s="868" t="s">
        <v>480</v>
      </c>
      <c r="B58" s="868" t="s">
        <v>1991</v>
      </c>
      <c r="C58" s="885" t="s">
        <v>1039</v>
      </c>
      <c r="D58" s="884" t="s">
        <v>1157</v>
      </c>
      <c r="E58" s="867"/>
      <c r="F58" s="1939">
        <f>'Expenditures 15-22'!G151</f>
        <v>1153752</v>
      </c>
      <c r="G58" s="864"/>
    </row>
    <row r="59" spans="1:7" x14ac:dyDescent="0.2">
      <c r="A59" s="892" t="s">
        <v>480</v>
      </c>
      <c r="B59" s="855" t="s">
        <v>1992</v>
      </c>
      <c r="C59" s="893" t="s">
        <v>1039</v>
      </c>
      <c r="D59" s="855" t="s">
        <v>309</v>
      </c>
      <c r="F59" s="1940">
        <f>'Expenditures 15-22'!I151</f>
        <v>0</v>
      </c>
      <c r="G59" s="864"/>
    </row>
    <row r="60" spans="1:7" x14ac:dyDescent="0.2">
      <c r="A60" s="892" t="s">
        <v>520</v>
      </c>
      <c r="B60" s="855" t="s">
        <v>1993</v>
      </c>
      <c r="C60" s="893">
        <v>4000</v>
      </c>
      <c r="D60" s="855" t="s">
        <v>330</v>
      </c>
      <c r="F60" s="1938">
        <f>'Expenditures 15-22'!K160</f>
        <v>0</v>
      </c>
      <c r="G60" s="864"/>
    </row>
    <row r="61" spans="1:7" x14ac:dyDescent="0.2">
      <c r="A61" s="894" t="s">
        <v>520</v>
      </c>
      <c r="B61" s="894" t="s">
        <v>1994</v>
      </c>
      <c r="C61" s="895" t="str">
        <f>'Expenditures 15-22'!B170</f>
        <v>5300</v>
      </c>
      <c r="D61" s="896" t="s">
        <v>329</v>
      </c>
      <c r="E61" s="878"/>
      <c r="F61" s="1937">
        <f>'Expenditures 15-22'!K170</f>
        <v>2840000</v>
      </c>
      <c r="G61" s="864"/>
    </row>
    <row r="62" spans="1:7" x14ac:dyDescent="0.2">
      <c r="A62" s="868" t="s">
        <v>481</v>
      </c>
      <c r="B62" s="868" t="s">
        <v>1995</v>
      </c>
      <c r="C62" s="885">
        <f>'Expenditures 15-22'!B185</f>
        <v>3000</v>
      </c>
      <c r="D62" s="875" t="s">
        <v>469</v>
      </c>
      <c r="E62" s="867"/>
      <c r="F62" s="1937">
        <f>'Expenditures 15-22'!K185-SUM('Expenditures 15-22'!G185,'Expenditures 15-22'!I185)</f>
        <v>0</v>
      </c>
      <c r="G62" s="864"/>
    </row>
    <row r="63" spans="1:7" x14ac:dyDescent="0.2">
      <c r="A63" s="868" t="s">
        <v>481</v>
      </c>
      <c r="B63" s="868" t="s">
        <v>1996</v>
      </c>
      <c r="C63" s="885" t="str">
        <f>'Expenditures 15-22'!B196</f>
        <v>4000</v>
      </c>
      <c r="D63" s="886" t="str">
        <f>'Expenditures 15-22'!A196</f>
        <v>Total Payments to Other Govt Units</v>
      </c>
      <c r="E63" s="867"/>
      <c r="F63" s="1937">
        <f>'Expenditures 15-22'!K196</f>
        <v>0</v>
      </c>
      <c r="G63" s="864"/>
    </row>
    <row r="64" spans="1:7" x14ac:dyDescent="0.2">
      <c r="A64" s="894" t="s">
        <v>481</v>
      </c>
      <c r="B64" s="894" t="s">
        <v>1997</v>
      </c>
      <c r="C64" s="895" t="str">
        <f>'Expenditures 15-22'!B206</f>
        <v>5300</v>
      </c>
      <c r="D64" s="891" t="s">
        <v>329</v>
      </c>
      <c r="E64" s="867"/>
      <c r="F64" s="1937">
        <f>'Expenditures 15-22'!K206</f>
        <v>0</v>
      </c>
      <c r="G64" s="864"/>
    </row>
    <row r="65" spans="1:8" x14ac:dyDescent="0.2">
      <c r="A65" s="868" t="s">
        <v>481</v>
      </c>
      <c r="B65" s="868" t="s">
        <v>1998</v>
      </c>
      <c r="C65" s="885" t="s">
        <v>1039</v>
      </c>
      <c r="D65" s="884" t="s">
        <v>1157</v>
      </c>
      <c r="E65" s="867"/>
      <c r="F65" s="1937">
        <f>'Expenditures 15-22'!G210</f>
        <v>35041</v>
      </c>
      <c r="G65" s="864"/>
    </row>
    <row r="66" spans="1:8" x14ac:dyDescent="0.2">
      <c r="A66" s="868" t="s">
        <v>481</v>
      </c>
      <c r="B66" s="868" t="s">
        <v>1999</v>
      </c>
      <c r="C66" s="885" t="s">
        <v>1039</v>
      </c>
      <c r="D66" s="884" t="s">
        <v>309</v>
      </c>
      <c r="E66" s="867"/>
      <c r="F66" s="1937">
        <f>'Expenditures 15-22'!I210</f>
        <v>0</v>
      </c>
      <c r="G66" s="864"/>
    </row>
    <row r="67" spans="1:8" x14ac:dyDescent="0.2">
      <c r="A67" s="868" t="s">
        <v>482</v>
      </c>
      <c r="B67" s="868" t="s">
        <v>2000</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2001</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2002</v>
      </c>
      <c r="C70" s="885">
        <f>'Expenditures 15-22'!B221</f>
        <v>1300</v>
      </c>
      <c r="D70" s="886" t="str">
        <f>'Expenditures 15-22'!A221</f>
        <v>Adult/Continuing Education Programs</v>
      </c>
      <c r="E70" s="867"/>
      <c r="F70" s="1937">
        <f>'Expenditures 15-22'!K221</f>
        <v>0</v>
      </c>
      <c r="G70" s="864"/>
    </row>
    <row r="71" spans="1:8" x14ac:dyDescent="0.2">
      <c r="A71" s="868" t="s">
        <v>482</v>
      </c>
      <c r="B71" s="868" t="s">
        <v>2003</v>
      </c>
      <c r="C71" s="885">
        <f>'Expenditures 15-22'!B224</f>
        <v>1600</v>
      </c>
      <c r="D71" s="886" t="str">
        <f>'Expenditures 15-22'!A224</f>
        <v>Summer School Programs</v>
      </c>
      <c r="E71" s="867"/>
      <c r="F71" s="1937">
        <f>'Expenditures 15-22'!K224</f>
        <v>0</v>
      </c>
      <c r="G71" s="864"/>
    </row>
    <row r="72" spans="1:8" x14ac:dyDescent="0.2">
      <c r="A72" s="868" t="s">
        <v>482</v>
      </c>
      <c r="B72" s="868" t="s">
        <v>2004</v>
      </c>
      <c r="C72" s="885">
        <f>'Expenditures 15-22'!B280</f>
        <v>3000</v>
      </c>
      <c r="D72" s="875" t="s">
        <v>469</v>
      </c>
      <c r="E72" s="867"/>
      <c r="F72" s="1937">
        <f>'Expenditures 15-22'!K280</f>
        <v>0</v>
      </c>
      <c r="G72" s="864"/>
    </row>
    <row r="73" spans="1:8" x14ac:dyDescent="0.2">
      <c r="A73" s="868" t="s">
        <v>482</v>
      </c>
      <c r="B73" s="868" t="s">
        <v>2005</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2006</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2007</v>
      </c>
      <c r="E76" s="1794" t="s">
        <v>1015</v>
      </c>
      <c r="F76" s="1798">
        <f>SUM(F18:F74)</f>
        <v>5170689</v>
      </c>
      <c r="G76" s="864"/>
    </row>
    <row r="77" spans="1:8" s="892" customFormat="1" ht="12" customHeight="1" thickTop="1" thickBot="1" x14ac:dyDescent="0.25">
      <c r="A77" s="1799"/>
      <c r="B77" s="1796"/>
      <c r="C77" s="1792"/>
      <c r="D77" s="1797" t="s">
        <v>2008</v>
      </c>
      <c r="E77" s="1794"/>
      <c r="F77" s="1800">
        <f>(F14-F76)</f>
        <v>18720178</v>
      </c>
      <c r="G77" s="868"/>
    </row>
    <row r="78" spans="1:8" s="892" customFormat="1" ht="12" customHeight="1" thickTop="1" x14ac:dyDescent="0.2">
      <c r="A78" s="1801"/>
      <c r="B78" s="1796"/>
      <c r="C78" s="1792"/>
      <c r="D78" s="1797" t="s">
        <v>2055</v>
      </c>
      <c r="E78" s="1794"/>
      <c r="F78" s="897">
        <v>1640.11</v>
      </c>
      <c r="G78" s="898"/>
      <c r="H78" s="868"/>
    </row>
    <row r="79" spans="1:8" s="892" customFormat="1" ht="12" customHeight="1" thickBot="1" x14ac:dyDescent="0.25">
      <c r="A79" s="1802"/>
      <c r="B79" s="1796"/>
      <c r="C79" s="1792"/>
      <c r="D79" s="1797" t="s">
        <v>2009</v>
      </c>
      <c r="E79" s="1794" t="s">
        <v>1015</v>
      </c>
      <c r="F79" s="1803">
        <f>IF(F78&gt;0,F77/F78," Complete Line 78")</f>
        <v>11413.977111291317</v>
      </c>
      <c r="G79" s="868"/>
    </row>
    <row r="80" spans="1:8" s="892" customFormat="1" ht="8.25" customHeight="1" thickTop="1" x14ac:dyDescent="0.2">
      <c r="A80" s="899"/>
      <c r="B80" s="868"/>
      <c r="C80" s="870"/>
      <c r="D80" s="900"/>
      <c r="E80" s="867"/>
      <c r="F80" s="901"/>
      <c r="G80" s="868"/>
    </row>
    <row r="81" spans="1:7" s="892" customFormat="1" ht="12" thickBot="1" x14ac:dyDescent="0.25">
      <c r="A81" s="2366" t="s">
        <v>1167</v>
      </c>
      <c r="B81" s="2367"/>
      <c r="C81" s="2367"/>
      <c r="D81" s="2367"/>
      <c r="E81" s="2367"/>
      <c r="F81" s="2368"/>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449591</v>
      </c>
      <c r="G94" s="911"/>
    </row>
    <row r="95" spans="1:7" x14ac:dyDescent="0.2">
      <c r="A95" s="907" t="s">
        <v>142</v>
      </c>
      <c r="B95" s="907" t="s">
        <v>177</v>
      </c>
      <c r="C95" s="909">
        <v>1700</v>
      </c>
      <c r="D95" s="917" t="str">
        <f>'Revenues 9-14'!A82</f>
        <v>Total District/School Activity Income</v>
      </c>
      <c r="E95" s="905"/>
      <c r="F95" s="1809">
        <f>SUM('Revenues 9-14'!C82,'Revenues 9-14'!D82)</f>
        <v>106481</v>
      </c>
      <c r="G95" s="911"/>
    </row>
    <row r="96" spans="1:7" x14ac:dyDescent="0.2">
      <c r="A96" s="907" t="s">
        <v>479</v>
      </c>
      <c r="B96" s="907" t="s">
        <v>178</v>
      </c>
      <c r="C96" s="909">
        <f>'Revenues 9-14'!B84</f>
        <v>1811</v>
      </c>
      <c r="D96" s="910" t="str">
        <f>'Revenues 9-14'!A84</f>
        <v>Rentals - Regular Textbooks</v>
      </c>
      <c r="E96" s="905"/>
      <c r="F96" s="1809">
        <f>'Revenues 9-14'!C84</f>
        <v>185055</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1301</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3900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669268</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11154</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5199</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13650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1219774</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2383</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391687</v>
      </c>
      <c r="G129" s="929"/>
    </row>
    <row r="130" spans="1:7" x14ac:dyDescent="0.2">
      <c r="A130" s="926" t="s">
        <v>689</v>
      </c>
      <c r="B130" s="926" t="s">
        <v>804</v>
      </c>
      <c r="C130" s="931">
        <v>4300</v>
      </c>
      <c r="D130" s="932" t="str">
        <f>'Revenues 9-14'!A211</f>
        <v>Total Title I</v>
      </c>
      <c r="E130" s="905"/>
      <c r="F130" s="1809">
        <f>SUM('Revenues 9-14'!C211,'Revenues 9-14'!D211,'Revenues 9-14'!F211,'Revenues 9-14'!G211)</f>
        <v>221303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293994</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114193</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52413</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15940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25645</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2054</v>
      </c>
      <c r="C175" s="1944">
        <v>3100</v>
      </c>
      <c r="D175" s="1945" t="s">
        <v>2057</v>
      </c>
      <c r="E175" s="905"/>
      <c r="F175" s="1929">
        <v>509464.55</v>
      </c>
      <c r="G175" s="926"/>
    </row>
    <row r="176" spans="1:7" x14ac:dyDescent="0.2">
      <c r="A176" s="1942" t="s">
        <v>685</v>
      </c>
      <c r="B176" s="1943" t="s">
        <v>2054</v>
      </c>
      <c r="C176" s="1944">
        <v>3300</v>
      </c>
      <c r="D176" s="1945" t="s">
        <v>2058</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2010</v>
      </c>
      <c r="E178" s="1807" t="s">
        <v>1015</v>
      </c>
      <c r="F178" s="1808">
        <f>SUM(F84:F136,F161:F176)</f>
        <v>4292395.55</v>
      </c>
    </row>
    <row r="179" spans="1:7" ht="12" customHeight="1" x14ac:dyDescent="0.2">
      <c r="A179" s="1790"/>
      <c r="B179" s="1804"/>
      <c r="C179" s="1805"/>
      <c r="D179" s="1806" t="s">
        <v>2011</v>
      </c>
      <c r="E179" s="1807"/>
      <c r="F179" s="1809">
        <f>'PCTC-OEPP 27-28'!F77-F178</f>
        <v>14427782.449999999</v>
      </c>
    </row>
    <row r="180" spans="1:7" ht="12" customHeight="1" x14ac:dyDescent="0.2">
      <c r="A180" s="1790"/>
      <c r="B180" s="1804"/>
      <c r="C180" s="1805"/>
      <c r="D180" s="1806" t="s">
        <v>1920</v>
      </c>
      <c r="E180" s="1807"/>
      <c r="F180" s="1809">
        <f>'Cap Outlay Deprec 26'!I18</f>
        <v>1171505</v>
      </c>
    </row>
    <row r="181" spans="1:7" ht="12" customHeight="1" x14ac:dyDescent="0.2">
      <c r="A181" s="1790"/>
      <c r="B181" s="1804"/>
      <c r="C181" s="1805"/>
      <c r="D181" s="1806" t="s">
        <v>2012</v>
      </c>
      <c r="E181" s="1807"/>
      <c r="F181" s="1809">
        <f>F179+F180</f>
        <v>15599287.449999999</v>
      </c>
    </row>
    <row r="182" spans="1:7" ht="12" customHeight="1" x14ac:dyDescent="0.2">
      <c r="A182" s="1790"/>
      <c r="B182" s="1810"/>
      <c r="C182" s="1805"/>
      <c r="D182" s="1806" t="str">
        <f>D78</f>
        <v>9 Month ADA from District Average Daily Attendance/Prior General State Aid Inquiry 2017-2018</v>
      </c>
      <c r="E182" s="1807"/>
      <c r="F182" s="1811">
        <f>'PCTC-OEPP 27-28'!F78</f>
        <v>1640.11</v>
      </c>
      <c r="G182" s="929"/>
    </row>
    <row r="183" spans="1:7" ht="12" customHeight="1" thickBot="1" x14ac:dyDescent="0.25">
      <c r="A183" s="1790"/>
      <c r="B183" s="1810"/>
      <c r="C183" s="1805"/>
      <c r="D183" s="1806" t="s">
        <v>2013</v>
      </c>
      <c r="E183" s="1807" t="s">
        <v>1626</v>
      </c>
      <c r="F183" s="1812">
        <f>F181/F182</f>
        <v>9511.1226990872565</v>
      </c>
      <c r="G183" s="855">
        <v>6323</v>
      </c>
    </row>
    <row r="184" spans="1:7" ht="12" thickTop="1" x14ac:dyDescent="0.2">
      <c r="B184" s="929"/>
      <c r="C184" s="948"/>
      <c r="D184" s="929"/>
      <c r="E184" s="948"/>
      <c r="F184" s="929"/>
      <c r="G184" s="950">
        <v>6326</v>
      </c>
    </row>
    <row r="185" spans="1:7" ht="12.2" customHeight="1" x14ac:dyDescent="0.2">
      <c r="A185" s="929" t="s">
        <v>2056</v>
      </c>
      <c r="B185" s="929"/>
      <c r="C185" s="948"/>
      <c r="D185" s="929"/>
      <c r="E185" s="948"/>
      <c r="F185" s="929"/>
      <c r="G185" s="929"/>
    </row>
    <row r="186" spans="1:7" s="1946" customFormat="1" ht="12.2" customHeight="1" x14ac:dyDescent="0.2">
      <c r="A186" s="1946" t="s">
        <v>2061</v>
      </c>
      <c r="B186" s="1947"/>
      <c r="C186" s="1948"/>
      <c r="D186" s="1947"/>
      <c r="E186" s="1948"/>
      <c r="F186" s="1947"/>
      <c r="G186" s="1947"/>
    </row>
    <row r="187" spans="1:7" s="1946" customFormat="1" ht="12.2" customHeight="1" x14ac:dyDescent="0.2">
      <c r="A187" s="1949" t="s">
        <v>2062</v>
      </c>
      <c r="C187" s="1948"/>
      <c r="D187" s="1947"/>
      <c r="E187" s="1948"/>
      <c r="F187" s="1947"/>
      <c r="G187" s="1947"/>
    </row>
    <row r="188" spans="1:7" ht="12" customHeight="1" x14ac:dyDescent="0.2">
      <c r="C188" s="948"/>
      <c r="D188" s="929"/>
      <c r="E188" s="948"/>
      <c r="F188" s="929"/>
      <c r="G188" s="929"/>
    </row>
    <row r="189" spans="1:7" x14ac:dyDescent="0.2">
      <c r="A189" s="1950" t="s">
        <v>2060</v>
      </c>
      <c r="B189" s="1951" t="s">
        <v>2059</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380" t="s">
        <v>1921</v>
      </c>
      <c r="B4" s="2381"/>
      <c r="C4" s="2381"/>
      <c r="D4" s="2381"/>
      <c r="E4" s="2381"/>
      <c r="F4" s="2381"/>
      <c r="G4" s="2382"/>
    </row>
    <row r="5" spans="1:7" x14ac:dyDescent="0.25">
      <c r="A5" s="2383"/>
      <c r="B5" s="2384"/>
      <c r="C5" s="2384"/>
      <c r="D5" s="2384"/>
      <c r="E5" s="2384"/>
      <c r="F5" s="2384"/>
      <c r="G5" s="2385"/>
    </row>
    <row r="6" spans="1:7" ht="18.75" x14ac:dyDescent="0.25">
      <c r="A6" s="1554" t="s">
        <v>1922</v>
      </c>
      <c r="B6" s="1555"/>
      <c r="C6" s="1555"/>
      <c r="D6" s="1555"/>
      <c r="E6" s="1555"/>
      <c r="F6" s="1555"/>
      <c r="G6" s="1556"/>
    </row>
    <row r="7" spans="1:7" ht="30.75" customHeight="1" x14ac:dyDescent="0.25">
      <c r="A7" s="2386" t="s">
        <v>2071</v>
      </c>
      <c r="B7" s="2387"/>
      <c r="C7" s="2387"/>
      <c r="D7" s="2387"/>
      <c r="E7" s="2387"/>
      <c r="F7" s="2387"/>
      <c r="G7" s="2388"/>
    </row>
    <row r="8" spans="1:7" ht="15.95" customHeight="1" x14ac:dyDescent="0.25">
      <c r="A8" s="2389" t="s">
        <v>2020</v>
      </c>
      <c r="B8" s="2390"/>
      <c r="C8" s="2390"/>
      <c r="D8" s="2390"/>
      <c r="E8" s="2390"/>
      <c r="F8" s="2390"/>
      <c r="G8" s="2391"/>
    </row>
    <row r="9" spans="1:7" ht="35.25" customHeight="1" x14ac:dyDescent="0.25">
      <c r="A9" s="2386" t="s">
        <v>2019</v>
      </c>
      <c r="B9" s="2387"/>
      <c r="C9" s="2387"/>
      <c r="D9" s="2387"/>
      <c r="E9" s="2387"/>
      <c r="F9" s="2387"/>
      <c r="G9" s="2388"/>
    </row>
    <row r="10" spans="1:7" ht="15" customHeight="1" x14ac:dyDescent="0.25">
      <c r="A10" s="1557" t="s">
        <v>1923</v>
      </c>
      <c r="B10" s="1558"/>
      <c r="C10" s="1558"/>
      <c r="D10" s="1558"/>
      <c r="E10" s="1558"/>
      <c r="F10" s="1558"/>
      <c r="G10" s="1559"/>
    </row>
    <row r="11" spans="1:7" ht="17.25" customHeight="1" x14ac:dyDescent="0.25">
      <c r="A11" s="2386" t="s">
        <v>1937</v>
      </c>
      <c r="B11" s="2387"/>
      <c r="C11" s="2387"/>
      <c r="D11" s="2387"/>
      <c r="E11" s="2387"/>
      <c r="F11" s="2387"/>
      <c r="G11" s="2388"/>
    </row>
    <row r="12" spans="1:7" ht="15" customHeight="1" x14ac:dyDescent="0.25">
      <c r="A12" s="1557" t="s">
        <v>1928</v>
      </c>
      <c r="B12" s="1558"/>
      <c r="C12" s="1558"/>
      <c r="D12" s="1558"/>
      <c r="E12" s="1558"/>
      <c r="F12" s="1558"/>
      <c r="G12" s="1559"/>
    </row>
    <row r="13" spans="1:7" ht="32.25" customHeight="1" x14ac:dyDescent="0.25">
      <c r="A13" s="2377" t="s">
        <v>1929</v>
      </c>
      <c r="B13" s="2378"/>
      <c r="C13" s="2378"/>
      <c r="D13" s="2378"/>
      <c r="E13" s="2378"/>
      <c r="F13" s="2378"/>
      <c r="G13" s="2379"/>
    </row>
    <row r="14" spans="1:7" x14ac:dyDescent="0.25">
      <c r="A14" s="1681" t="s">
        <v>1938</v>
      </c>
      <c r="B14" s="1682"/>
      <c r="C14" s="1682"/>
      <c r="D14" s="1682"/>
      <c r="E14" s="1682"/>
      <c r="F14" s="1682"/>
      <c r="G14" s="1683"/>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8" t="s">
        <v>1939</v>
      </c>
      <c r="B16" s="1669" t="s">
        <v>1927</v>
      </c>
      <c r="C16" s="1670" t="s">
        <v>1925</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idden="1" x14ac:dyDescent="0.25">
      <c r="A17" s="1958"/>
      <c r="B17" s="1959"/>
      <c r="C17" s="1960"/>
      <c r="D17" s="1865"/>
      <c r="E17" s="1560">
        <f t="shared" ref="E17:E141" si="1">IF(D17&lt;=25000,D17,IF(D17&gt;25000,25000,0))</f>
        <v>0</v>
      </c>
      <c r="F17" s="1813">
        <f t="shared" si="0"/>
        <v>0</v>
      </c>
      <c r="G17" s="1814">
        <f>IF(F17=0,0,D17-F17)</f>
        <v>0</v>
      </c>
      <c r="H17" s="1667"/>
    </row>
    <row r="18" spans="1:8" x14ac:dyDescent="0.25">
      <c r="A18" s="1958" t="s">
        <v>2123</v>
      </c>
      <c r="B18" s="2050" t="s">
        <v>2209</v>
      </c>
      <c r="C18" s="1960" t="s">
        <v>2124</v>
      </c>
      <c r="D18" s="1865">
        <v>63000</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38000</v>
      </c>
    </row>
    <row r="19" spans="1:8" hidden="1" x14ac:dyDescent="0.25">
      <c r="A19" s="1958"/>
      <c r="B19" s="1959"/>
      <c r="C19" s="1960"/>
      <c r="D19" s="1865"/>
      <c r="E19" s="1560">
        <f t="shared" si="2"/>
        <v>0</v>
      </c>
      <c r="F19" s="1813">
        <f t="shared" si="3"/>
        <v>0</v>
      </c>
      <c r="G19" s="1814">
        <f t="shared" si="4"/>
        <v>0</v>
      </c>
    </row>
    <row r="20" spans="1:8" hidden="1" x14ac:dyDescent="0.25">
      <c r="A20" s="1958"/>
      <c r="B20" s="1959"/>
      <c r="C20" s="1960"/>
      <c r="D20" s="1865"/>
      <c r="E20" s="1560">
        <f t="shared" si="2"/>
        <v>0</v>
      </c>
      <c r="F20" s="1813">
        <f t="shared" si="3"/>
        <v>0</v>
      </c>
      <c r="G20" s="1814">
        <f t="shared" si="4"/>
        <v>0</v>
      </c>
    </row>
    <row r="21" spans="1:8" hidden="1" x14ac:dyDescent="0.25">
      <c r="A21" s="1958"/>
      <c r="B21" s="1959"/>
      <c r="C21" s="1960"/>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63000</v>
      </c>
      <c r="E141" s="1561">
        <f t="shared" si="1"/>
        <v>25000</v>
      </c>
      <c r="F141" s="1815">
        <f>SUM(F17:F140)</f>
        <v>25000</v>
      </c>
      <c r="G141" s="1816">
        <f>SUM(G17:G140)</f>
        <v>38000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92" t="s">
        <v>1778</v>
      </c>
      <c r="B5" s="2393"/>
      <c r="C5" s="2393"/>
      <c r="D5" s="2393"/>
      <c r="E5" s="2393"/>
      <c r="F5" s="2393"/>
      <c r="G5" s="2394"/>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2072</v>
      </c>
      <c r="B10" s="970"/>
      <c r="C10" s="975"/>
      <c r="D10" s="971"/>
      <c r="E10" s="972">
        <v>388225.69</v>
      </c>
      <c r="F10" s="973"/>
      <c r="G10" s="974"/>
      <c r="H10" s="162"/>
      <c r="I10" s="162"/>
    </row>
    <row r="11" spans="1:9" s="667" customFormat="1" ht="22.5" customHeight="1" x14ac:dyDescent="0.2">
      <c r="A11" s="2397" t="s">
        <v>1941</v>
      </c>
      <c r="B11" s="2398"/>
      <c r="C11" s="2398"/>
      <c r="D11" s="2399"/>
      <c r="E11" s="976">
        <v>74446.61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10031934</v>
      </c>
      <c r="F19" s="1820"/>
      <c r="G19" s="1822">
        <f>'Expenditures 15-22'!K33-SUM('Expenditures 15-22'!G33,'Expenditures 15-22'!I33)+'Expenditures 15-22'!D229</f>
        <v>10031934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476211</v>
      </c>
      <c r="F21" s="1823"/>
      <c r="G21" s="1826">
        <f>'Expenditures 15-22'!K42-SUM('Expenditures 15-22'!G42,'Expenditures 15-22'!I42)+'Expenditures 15-22'!K120-SUM('Expenditures 15-22'!G120,'Expenditures 15-22'!I120)+'Expenditures 15-22'!K180-SUM('Expenditures 15-22'!G180,'Expenditures 15-22'!I180)+'Expenditures 15-22'!D238</f>
        <v>476211</v>
      </c>
      <c r="H21" s="986"/>
      <c r="I21" s="162"/>
    </row>
    <row r="22" spans="1:9" s="667" customFormat="1" ht="12" customHeight="1" x14ac:dyDescent="0.2">
      <c r="A22" s="993" t="s">
        <v>585</v>
      </c>
      <c r="B22" s="994"/>
      <c r="C22" s="992">
        <v>2200</v>
      </c>
      <c r="D22" s="1823"/>
      <c r="E22" s="1825">
        <f>'Expenditures 15-22'!K47-SUM('Expenditures 15-22'!G47,'Expenditures 15-22'!I47)+'Expenditures 15-22'!D243</f>
        <v>1113608</v>
      </c>
      <c r="F22" s="1823"/>
      <c r="G22" s="1826">
        <f>'Expenditures 15-22'!K47-SUM('Expenditures 15-22'!G47,'Expenditures 15-22'!I47)+'Expenditures 15-22'!D243</f>
        <v>1113608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1383460</v>
      </c>
      <c r="F23" s="1823"/>
      <c r="G23" s="1825">
        <f>'Expenditures 15-22'!K53-SUM('Expenditures 15-22'!G53,'Expenditures 15-22'!I53)+'Expenditures 15-22'!D257+'Expenditures 15-22'!K330-SUM('Expenditures 15-22'!G330,'Expenditures 15-22'!I330)</f>
        <v>1383460</v>
      </c>
      <c r="H23" s="986"/>
      <c r="I23" s="162"/>
    </row>
    <row r="24" spans="1:9" s="667" customFormat="1" ht="12" customHeight="1" x14ac:dyDescent="0.2">
      <c r="A24" s="993" t="s">
        <v>587</v>
      </c>
      <c r="B24" s="994"/>
      <c r="C24" s="992">
        <v>2400</v>
      </c>
      <c r="D24" s="1823"/>
      <c r="E24" s="1825">
        <f>'Expenditures 15-22'!K57-SUM('Expenditures 15-22'!G57,'Expenditures 15-22'!I57)+'Expenditures 15-22'!D261</f>
        <v>1015626</v>
      </c>
      <c r="F24" s="1823"/>
      <c r="G24" s="1826">
        <f>'Expenditures 15-22'!K57-SUM('Expenditures 15-22'!G57,'Expenditures 15-22'!I57)+'Expenditures 15-22'!D261</f>
        <v>1015626</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5303</v>
      </c>
      <c r="E26" s="1825">
        <f>'Expenditures 15-22'!K122-SUM('Expenditures 15-22'!G122,'Expenditures 15-22'!I122)+E7</f>
        <v>0</v>
      </c>
      <c r="F26" s="1825">
        <f>'Expenditures 15-22'!K59-SUM('Expenditures 15-22'!G59,'Expenditures 15-22'!I59)+'Expenditures 15-22'!D263-E7</f>
        <v>5303</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124073</v>
      </c>
      <c r="E27" s="1825">
        <f>E8</f>
        <v>0</v>
      </c>
      <c r="F27" s="1825">
        <f>'Expenditures 15-22'!K60-SUM('Expenditures 15-22'!G60,'Expenditures 15-22'!I60)+'Expenditures 15-22'!D264-E8</f>
        <v>124073</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1728957</v>
      </c>
      <c r="F28" s="1827">
        <f>'Expenditures 15-22'!K61-SUM('Expenditures 15-22'!G61,'Expenditures 15-22'!I61)+'Expenditures 15-22'!K124-SUM('Expenditures 15-22'!G124,'Expenditures 15-22'!I124)+'Expenditures 15-22'!D266-E9</f>
        <v>1728957</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1732722</v>
      </c>
      <c r="F29" s="1823"/>
      <c r="G29" s="1826">
        <f>'Expenditures 15-22'!K62-SUM('Expenditures 15-22'!G62,'Expenditures 15-22'!I62)+'Expenditures 15-22'!K125-SUM('Expenditures 15-22'!G125,'Expenditures 15-22'!I125)+'Expenditures 15-22'!K182-SUM('Expenditures 15-22'!G182,'Expenditures 15-22'!I182)+'Expenditures 15-22'!D267</f>
        <v>1732722</v>
      </c>
      <c r="H29" s="984"/>
    </row>
    <row r="30" spans="1:9" ht="12" customHeight="1" x14ac:dyDescent="0.2">
      <c r="A30" s="993" t="s">
        <v>102</v>
      </c>
      <c r="B30" s="996"/>
      <c r="C30" s="992">
        <v>2560</v>
      </c>
      <c r="D30" s="1823"/>
      <c r="E30" s="1825">
        <f>'Expenditures 15-22'!K63-SUM('Expenditures 15-22'!G63,'Expenditures 15-22'!I63)+'Expenditures 15-22'!D268-E10</f>
        <v>470090.31</v>
      </c>
      <c r="F30" s="1823"/>
      <c r="G30" s="1825">
        <f>'Expenditures 15-22'!K63-SUM('Expenditures 15-22'!G63,'Expenditures 15-22'!I63)+'Expenditures 15-22'!D268-E10</f>
        <v>470090.31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7650</v>
      </c>
      <c r="E37" s="1825">
        <f>E14</f>
        <v>0</v>
      </c>
      <c r="F37" s="1825">
        <f>'Expenditures 15-22'!K71-SUM('Expenditures 15-22'!G71,'Expenditures 15-22'!I71)+'Expenditures 15-22'!D276-E14</f>
        <v>7650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6452</v>
      </c>
      <c r="F39" s="1823"/>
      <c r="G39" s="1825">
        <f>'Expenditures 15-22'!K75-SUM('Expenditures 15-22'!G75,'Expenditures 15-22'!I75)+'Expenditures 15-22'!K130-SUM('Expenditures 15-22'!G130,'Expenditures 15-22'!I130)+'Expenditures 15-22'!K185-SUM('Expenditures 15-22'!G185,'Expenditures 15-22'!I185)+'Expenditures 15-22'!D280</f>
        <v>6452</v>
      </c>
    </row>
    <row r="40" spans="1:7" ht="12" customHeight="1" x14ac:dyDescent="0.2">
      <c r="A40" s="989" t="s">
        <v>1926</v>
      </c>
      <c r="B40" s="990"/>
      <c r="C40" s="992"/>
      <c r="D40" s="1823"/>
      <c r="E40" s="1827">
        <f>-'Contracts Paid in CY 29'!G141</f>
        <v>-38000</v>
      </c>
      <c r="F40" s="1823"/>
      <c r="G40" s="1827">
        <f>-'Contracts Paid in CY 29'!G141</f>
        <v>-38000</v>
      </c>
    </row>
    <row r="41" spans="1:7" ht="12" customHeight="1" x14ac:dyDescent="0.2">
      <c r="A41" s="997" t="s">
        <v>158</v>
      </c>
      <c r="B41" s="998"/>
      <c r="C41" s="999"/>
      <c r="D41" s="1827">
        <f>SUM(D19:D39)</f>
        <v>137026</v>
      </c>
      <c r="E41" s="1827">
        <f>SUM(E19:E40)</f>
        <v>17921060.309999999</v>
      </c>
      <c r="F41" s="1827">
        <f>SUM(F19:F39)</f>
        <v>1865983</v>
      </c>
      <c r="G41" s="1827">
        <f>SUM(G19:G40)</f>
        <v>16192103.310000001</v>
      </c>
    </row>
    <row r="42" spans="1:7" x14ac:dyDescent="0.2">
      <c r="A42" s="986"/>
      <c r="B42" s="162"/>
      <c r="C42" s="1000"/>
      <c r="D42" s="2395" t="s">
        <v>543</v>
      </c>
      <c r="E42" s="2396"/>
      <c r="F42" s="1001" t="s">
        <v>544</v>
      </c>
      <c r="G42" s="1002"/>
    </row>
    <row r="43" spans="1:7" ht="12" customHeight="1" x14ac:dyDescent="0.2">
      <c r="A43" s="986"/>
      <c r="B43" s="162"/>
      <c r="C43" s="1000"/>
      <c r="D43" s="1828" t="s">
        <v>493</v>
      </c>
      <c r="E43" s="1829">
        <f>D41</f>
        <v>137026</v>
      </c>
      <c r="F43" s="1828" t="s">
        <v>495</v>
      </c>
      <c r="G43" s="1829">
        <f>F41</f>
        <v>1865983</v>
      </c>
    </row>
    <row r="44" spans="1:7" ht="12" customHeight="1" x14ac:dyDescent="0.2">
      <c r="A44" s="986"/>
      <c r="B44" s="162"/>
      <c r="C44" s="1000"/>
      <c r="D44" s="1828" t="s">
        <v>494</v>
      </c>
      <c r="E44" s="1829">
        <f>E41</f>
        <v>17921060.309999999</v>
      </c>
      <c r="F44" s="1828" t="s">
        <v>494</v>
      </c>
      <c r="G44" s="1829">
        <f>G41</f>
        <v>16192103.310000001</v>
      </c>
    </row>
    <row r="45" spans="1:7" ht="12" customHeight="1" x14ac:dyDescent="0.2">
      <c r="A45" s="986"/>
      <c r="B45" s="162"/>
      <c r="C45" s="162"/>
      <c r="D45" s="1830" t="s">
        <v>1063</v>
      </c>
      <c r="E45" s="1831">
        <f>(E43/E44)</f>
        <v>7.6460877665558173E-3</v>
      </c>
      <c r="F45" s="1830" t="s">
        <v>1063</v>
      </c>
      <c r="G45" s="1831">
        <f>(G43/G44)</f>
        <v>0.11524030969142822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414" t="s">
        <v>1446</v>
      </c>
      <c r="B1" s="2414"/>
      <c r="C1" s="2414"/>
      <c r="D1" s="2414"/>
      <c r="E1" s="2414"/>
      <c r="F1" s="2414"/>
    </row>
    <row r="2" spans="1:10" x14ac:dyDescent="0.2">
      <c r="A2" s="1910" t="s">
        <v>2044</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415" t="s">
        <v>1627</v>
      </c>
      <c r="B5" s="2416"/>
      <c r="C5" s="2417"/>
      <c r="D5" s="2417"/>
      <c r="E5" s="2417"/>
      <c r="F5" s="2417"/>
    </row>
    <row r="6" spans="1:10" ht="12" customHeight="1" x14ac:dyDescent="0.25">
      <c r="A6" s="1873"/>
      <c r="B6" s="1874"/>
      <c r="C6" s="2418" t="str">
        <f>COVER!A17</f>
        <v>Olympia CUSD 16</v>
      </c>
      <c r="D6" s="2418"/>
      <c r="E6" s="2418"/>
      <c r="F6" s="1875"/>
    </row>
    <row r="7" spans="1:10" ht="11.25" customHeight="1" thickBot="1" x14ac:dyDescent="0.3">
      <c r="A7" s="1873"/>
      <c r="B7" s="1874"/>
      <c r="C7" s="2419">
        <f>COVER!A13</f>
        <v>17064016026</v>
      </c>
      <c r="D7" s="2419"/>
      <c r="E7" s="2419"/>
      <c r="F7" s="1875"/>
    </row>
    <row r="8" spans="1:10" ht="25.5" customHeight="1" thickBot="1" x14ac:dyDescent="0.25">
      <c r="A8" s="1916" t="s">
        <v>2021</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2082</v>
      </c>
      <c r="D13" s="1888" t="s">
        <v>2082</v>
      </c>
      <c r="E13" s="1891"/>
      <c r="F13" s="1890" t="s">
        <v>2210</v>
      </c>
      <c r="H13" s="1901">
        <f t="shared" si="0"/>
        <v>5</v>
      </c>
      <c r="I13" s="1901">
        <f t="shared" si="1"/>
        <v>5</v>
      </c>
      <c r="J13" s="1901">
        <f t="shared" si="2"/>
        <v>0</v>
      </c>
    </row>
    <row r="14" spans="1:10" ht="12" customHeight="1" x14ac:dyDescent="0.2">
      <c r="A14" s="1886" t="s">
        <v>1453</v>
      </c>
      <c r="B14" s="1887"/>
      <c r="C14" s="1888" t="s">
        <v>2082</v>
      </c>
      <c r="D14" s="1888" t="s">
        <v>2082</v>
      </c>
      <c r="E14" s="1891"/>
      <c r="F14" s="1890" t="s">
        <v>2091</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2082</v>
      </c>
      <c r="D16" s="1888" t="s">
        <v>2082</v>
      </c>
      <c r="E16" s="1891"/>
      <c r="F16" s="1890" t="s">
        <v>2092</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2082</v>
      </c>
      <c r="D19" s="1888" t="s">
        <v>2082</v>
      </c>
      <c r="E19" s="1891"/>
      <c r="F19" s="1890" t="s">
        <v>2093</v>
      </c>
      <c r="H19" s="1901">
        <f t="shared" si="0"/>
        <v>5</v>
      </c>
      <c r="I19" s="1901">
        <f t="shared" si="1"/>
        <v>5</v>
      </c>
      <c r="J19" s="1901">
        <f t="shared" si="2"/>
        <v>0</v>
      </c>
    </row>
    <row r="20" spans="1:12" ht="12" customHeight="1" x14ac:dyDescent="0.2">
      <c r="A20" s="1886" t="s">
        <v>1609</v>
      </c>
      <c r="B20" s="1887"/>
      <c r="C20" s="1888" t="s">
        <v>2082</v>
      </c>
      <c r="D20" s="1888" t="s">
        <v>2082</v>
      </c>
      <c r="E20" s="1891"/>
      <c r="F20" s="1890" t="s">
        <v>2094</v>
      </c>
      <c r="H20" s="1901">
        <f t="shared" si="0"/>
        <v>5</v>
      </c>
      <c r="I20" s="1901">
        <f t="shared" si="1"/>
        <v>5</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2082</v>
      </c>
      <c r="D26" s="1888" t="s">
        <v>2082</v>
      </c>
      <c r="E26" s="1891"/>
      <c r="F26" s="1890" t="s">
        <v>2095</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2082</v>
      </c>
      <c r="D28" s="1888" t="s">
        <v>2082</v>
      </c>
      <c r="E28" s="1891"/>
      <c r="F28" s="1890" t="s">
        <v>2096</v>
      </c>
      <c r="H28" s="1901">
        <f t="shared" si="0"/>
        <v>5</v>
      </c>
      <c r="I28" s="1901">
        <f t="shared" si="1"/>
        <v>5</v>
      </c>
      <c r="J28" s="1901">
        <f t="shared" si="2"/>
        <v>0</v>
      </c>
    </row>
    <row r="29" spans="1:12" ht="12" customHeight="1" x14ac:dyDescent="0.2">
      <c r="A29" s="1886" t="s">
        <v>1618</v>
      </c>
      <c r="B29" s="1887"/>
      <c r="C29" s="1888" t="s">
        <v>2082</v>
      </c>
      <c r="D29" s="1888" t="s">
        <v>2082</v>
      </c>
      <c r="E29" s="1891"/>
      <c r="F29" s="1890" t="s">
        <v>2097</v>
      </c>
      <c r="H29" s="1901">
        <f t="shared" si="0"/>
        <v>5</v>
      </c>
      <c r="I29" s="1901">
        <f t="shared" si="1"/>
        <v>5</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2082</v>
      </c>
      <c r="D31" s="1888" t="s">
        <v>2082</v>
      </c>
      <c r="E31" s="1891"/>
      <c r="F31" s="1890" t="s">
        <v>2098</v>
      </c>
      <c r="H31" s="1901">
        <f t="shared" si="0"/>
        <v>5</v>
      </c>
      <c r="I31" s="1901">
        <f t="shared" si="1"/>
        <v>5</v>
      </c>
      <c r="J31" s="1901">
        <f t="shared" si="2"/>
        <v>0</v>
      </c>
      <c r="L31" s="1892"/>
    </row>
    <row r="32" spans="1:12" ht="12" customHeight="1" x14ac:dyDescent="0.2">
      <c r="A32" s="1886" t="s">
        <v>1621</v>
      </c>
      <c r="B32" s="1887"/>
      <c r="C32" s="1888" t="s">
        <v>2082</v>
      </c>
      <c r="D32" s="1888" t="s">
        <v>2082</v>
      </c>
      <c r="E32" s="1891"/>
      <c r="F32" s="1890" t="s">
        <v>2211</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50</v>
      </c>
      <c r="I34" s="1901">
        <f>SUM(I11:I32)</f>
        <v>50</v>
      </c>
      <c r="J34" s="1901">
        <f>SUM(J11:J32)</f>
        <v>0</v>
      </c>
      <c r="K34" s="1901">
        <f>SUM(H34:J34)</f>
        <v>100</v>
      </c>
    </row>
    <row r="35" spans="1:11" ht="12" customHeight="1" x14ac:dyDescent="0.2">
      <c r="A35" s="1894" t="s">
        <v>1459</v>
      </c>
      <c r="B35" s="1895"/>
      <c r="C35" s="2420"/>
      <c r="D35" s="2420"/>
      <c r="E35" s="2420"/>
      <c r="F35" s="2421"/>
    </row>
    <row r="36" spans="1:11" ht="12" customHeight="1" x14ac:dyDescent="0.2">
      <c r="A36" s="2403"/>
      <c r="B36" s="2404"/>
      <c r="C36" s="2404"/>
      <c r="D36" s="2404"/>
      <c r="E36" s="2404"/>
      <c r="F36" s="2405"/>
    </row>
    <row r="37" spans="1:11" ht="12" customHeight="1" x14ac:dyDescent="0.2">
      <c r="A37" s="2403"/>
      <c r="B37" s="2404"/>
      <c r="C37" s="2404"/>
      <c r="D37" s="2404"/>
      <c r="E37" s="2404"/>
      <c r="F37" s="2405"/>
    </row>
    <row r="38" spans="1:11" ht="12" customHeight="1" x14ac:dyDescent="0.2">
      <c r="A38" s="2406"/>
      <c r="B38" s="2407"/>
      <c r="C38" s="2407"/>
      <c r="D38" s="2407"/>
      <c r="E38" s="2407"/>
      <c r="F38" s="2408"/>
    </row>
    <row r="39" spans="1:11" ht="4.5" hidden="1" customHeight="1" x14ac:dyDescent="0.2">
      <c r="A39" s="1896"/>
      <c r="B39" s="1896"/>
      <c r="C39" s="1896"/>
      <c r="D39" s="1896"/>
      <c r="E39" s="1896"/>
      <c r="F39" s="1896"/>
    </row>
    <row r="40" spans="1:11" s="1893" customFormat="1" ht="12" customHeight="1" x14ac:dyDescent="0.25">
      <c r="A40" s="1897" t="s">
        <v>1458</v>
      </c>
      <c r="B40" s="1898"/>
      <c r="C40" s="2409"/>
      <c r="D40" s="2409"/>
      <c r="E40" s="2409"/>
      <c r="F40" s="2410"/>
      <c r="H40" s="1902"/>
      <c r="I40" s="1902"/>
      <c r="J40" s="1902"/>
      <c r="K40" s="1902"/>
    </row>
    <row r="41" spans="1:11" s="1893" customFormat="1" ht="12" customHeight="1" x14ac:dyDescent="0.25">
      <c r="A41" s="2411"/>
      <c r="B41" s="2412"/>
      <c r="C41" s="2412"/>
      <c r="D41" s="2412"/>
      <c r="E41" s="2412"/>
      <c r="F41" s="2413"/>
      <c r="H41" s="1902"/>
      <c r="I41" s="1902"/>
      <c r="J41" s="1902"/>
      <c r="K41" s="1902"/>
    </row>
    <row r="42" spans="1:11" s="1893" customFormat="1" ht="12" customHeight="1" x14ac:dyDescent="0.25">
      <c r="A42" s="2411"/>
      <c r="B42" s="2412"/>
      <c r="C42" s="2412"/>
      <c r="D42" s="2412"/>
      <c r="E42" s="2412"/>
      <c r="F42" s="2413"/>
      <c r="H42" s="1902"/>
      <c r="I42" s="1902"/>
      <c r="J42" s="1902"/>
      <c r="K42" s="1902"/>
    </row>
    <row r="43" spans="1:11" s="1893" customFormat="1" ht="15" x14ac:dyDescent="0.25">
      <c r="A43" s="2400"/>
      <c r="B43" s="2401"/>
      <c r="C43" s="2401"/>
      <c r="D43" s="2401"/>
      <c r="E43" s="2401"/>
      <c r="F43" s="2402"/>
      <c r="H43" s="1902"/>
      <c r="I43" s="1902"/>
      <c r="J43" s="1902"/>
      <c r="K43" s="1902"/>
    </row>
    <row r="44" spans="1:11" s="1893" customFormat="1" ht="12" hidden="1" customHeight="1" x14ac:dyDescent="0.25">
      <c r="A44" s="2400"/>
      <c r="B44" s="2401"/>
      <c r="C44" s="2401"/>
      <c r="D44" s="2401"/>
      <c r="E44" s="2401"/>
      <c r="F44" s="240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427" t="str">
        <f>COVER!A17</f>
        <v>Olympia CUSD 16</v>
      </c>
      <c r="J6" s="2428"/>
      <c r="Q6" s="1684"/>
    </row>
    <row r="7" spans="1:17" x14ac:dyDescent="0.2">
      <c r="A7" s="2429" t="s">
        <v>924</v>
      </c>
      <c r="B7" s="2430"/>
      <c r="C7" s="2430"/>
      <c r="D7" s="2430"/>
      <c r="E7" s="2431"/>
      <c r="F7" s="1016"/>
      <c r="G7" s="1008"/>
      <c r="H7" s="1015" t="s">
        <v>390</v>
      </c>
      <c r="I7" s="2432">
        <f>COVER!A13</f>
        <v>17064016026</v>
      </c>
      <c r="J7" s="2432"/>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33" t="s">
        <v>502</v>
      </c>
      <c r="B11" s="2434"/>
      <c r="C11" s="2435"/>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301112</v>
      </c>
      <c r="F12" s="1038"/>
      <c r="G12" s="1832">
        <f t="shared" ref="G12:G18" si="0">SUM(E12:F12)</f>
        <v>301112</v>
      </c>
      <c r="H12" s="1039">
        <v>320500</v>
      </c>
      <c r="I12" s="1038"/>
      <c r="J12" s="1832">
        <f t="shared" ref="J12:J18" si="1">SUM(H12:I12)</f>
        <v>320500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5303</v>
      </c>
      <c r="F15" s="1832">
        <f>'Expenditures 15-22'!K122</f>
        <v>0</v>
      </c>
      <c r="G15" s="1832">
        <f t="shared" si="0"/>
        <v>5303</v>
      </c>
      <c r="H15" s="1039">
        <v>8000</v>
      </c>
      <c r="I15" s="1039"/>
      <c r="J15" s="1832">
        <f t="shared" si="1"/>
        <v>8000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436" t="s">
        <v>7</v>
      </c>
      <c r="C18" s="2437"/>
      <c r="D18" s="2438"/>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306415</v>
      </c>
      <c r="F19" s="1834">
        <f t="shared" si="2"/>
        <v>0</v>
      </c>
      <c r="G19" s="1834">
        <f t="shared" si="2"/>
        <v>306415</v>
      </c>
      <c r="H19" s="1834">
        <f t="shared" si="2"/>
        <v>328500</v>
      </c>
      <c r="I19" s="1834">
        <f t="shared" si="2"/>
        <v>0</v>
      </c>
      <c r="J19" s="1834">
        <f t="shared" si="2"/>
        <v>328500</v>
      </c>
    </row>
    <row r="20" spans="1:10" ht="13.5" thickTop="1" x14ac:dyDescent="0.2">
      <c r="A20" s="1034">
        <v>9</v>
      </c>
      <c r="B20" s="2439" t="s">
        <v>1703</v>
      </c>
      <c r="C20" s="2439"/>
      <c r="D20" s="2440"/>
      <c r="E20" s="1045"/>
      <c r="F20" s="1045"/>
      <c r="G20" s="1045"/>
      <c r="H20" s="1045"/>
      <c r="I20" s="1045"/>
      <c r="J20" s="1835">
        <f>IF(AND(G19&gt;0,J19&gt;0),(((J19-G19)/G19)),"Enter Budget Data")</f>
        <v>7.2075453225201119E-2</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45"/>
      <c r="D26" s="2445"/>
      <c r="E26" s="1049"/>
      <c r="F26" s="2444"/>
      <c r="G26" s="2444"/>
    </row>
    <row r="27" spans="1:10" x14ac:dyDescent="0.2">
      <c r="B27" s="1046"/>
      <c r="C27" s="1050" t="s">
        <v>1093</v>
      </c>
      <c r="D27" s="1051"/>
      <c r="E27" s="1052"/>
      <c r="F27" s="2441" t="s">
        <v>1589</v>
      </c>
      <c r="G27" s="2441"/>
    </row>
    <row r="28" spans="1:10" ht="28.5" customHeight="1" x14ac:dyDescent="0.2">
      <c r="B28" s="1046"/>
      <c r="C28" s="2443"/>
      <c r="D28" s="2443"/>
      <c r="E28" s="1053"/>
      <c r="F28" s="2443"/>
      <c r="G28" s="2443"/>
    </row>
    <row r="29" spans="1:10" x14ac:dyDescent="0.2">
      <c r="B29" s="1046"/>
      <c r="C29" s="1054" t="s">
        <v>1642</v>
      </c>
      <c r="E29" s="1055"/>
      <c r="F29" s="2442" t="s">
        <v>1590</v>
      </c>
      <c r="G29" s="2442"/>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424" t="s">
        <v>134</v>
      </c>
      <c r="D33" s="2425"/>
      <c r="E33" s="2425"/>
      <c r="F33" s="2425"/>
      <c r="G33" s="2425"/>
      <c r="H33" s="2425"/>
      <c r="I33" s="2425"/>
    </row>
    <row r="34" spans="1:10" ht="10.35" customHeight="1" x14ac:dyDescent="0.2">
      <c r="C34" s="2425"/>
      <c r="D34" s="2425"/>
      <c r="E34" s="2425"/>
      <c r="F34" s="2425"/>
      <c r="G34" s="2425"/>
      <c r="H34" s="2425"/>
      <c r="I34" s="2425"/>
    </row>
    <row r="35" spans="1:10" ht="7.5" customHeight="1" x14ac:dyDescent="0.2">
      <c r="C35" s="1061"/>
    </row>
    <row r="36" spans="1:10" ht="13.5" customHeight="1" x14ac:dyDescent="0.2">
      <c r="B36" s="1060"/>
      <c r="C36" s="2426" t="s">
        <v>1940</v>
      </c>
      <c r="D36" s="2425"/>
      <c r="E36" s="2425"/>
      <c r="F36" s="2425"/>
      <c r="G36" s="2425"/>
      <c r="H36" s="2425"/>
      <c r="I36" s="2425"/>
      <c r="J36" s="1062"/>
    </row>
    <row r="37" spans="1:10" ht="22.5" customHeight="1" x14ac:dyDescent="0.2">
      <c r="C37" s="2425"/>
      <c r="D37" s="2425"/>
      <c r="E37" s="2425"/>
      <c r="F37" s="2425"/>
      <c r="G37" s="2425"/>
      <c r="H37" s="2425"/>
      <c r="I37" s="2425"/>
      <c r="J37" s="1062"/>
    </row>
    <row r="38" spans="1:10" ht="7.5" customHeight="1" x14ac:dyDescent="0.2">
      <c r="C38" s="1061"/>
      <c r="D38" s="1063"/>
      <c r="E38" s="1064"/>
      <c r="F38" s="1065"/>
      <c r="G38" s="1064"/>
    </row>
    <row r="39" spans="1:10" ht="13.5" customHeight="1" x14ac:dyDescent="0.2">
      <c r="B39" s="1060" t="s">
        <v>2082</v>
      </c>
      <c r="C39" s="2422" t="s">
        <v>937</v>
      </c>
      <c r="D39" s="2423"/>
      <c r="E39" s="2423"/>
      <c r="F39" s="2423"/>
      <c r="G39" s="2423"/>
      <c r="H39" s="2423"/>
      <c r="I39" s="2423"/>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19.5703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391" t="s">
        <v>2202</v>
      </c>
    </row>
    <row r="6" spans="1:2" x14ac:dyDescent="0.2">
      <c r="A6" s="1068">
        <v>2</v>
      </c>
      <c r="B6" s="391" t="s">
        <v>2206</v>
      </c>
    </row>
    <row r="7" spans="1:2" x14ac:dyDescent="0.2">
      <c r="A7" s="1068">
        <v>3</v>
      </c>
      <c r="B7" s="391" t="s">
        <v>2203</v>
      </c>
    </row>
    <row r="8" spans="1:2" x14ac:dyDescent="0.2">
      <c r="A8" s="1067"/>
      <c r="B8" s="391" t="s">
        <v>2207</v>
      </c>
    </row>
    <row r="9" spans="1:2" x14ac:dyDescent="0.2">
      <c r="A9" s="1068"/>
      <c r="B9" s="391" t="s">
        <v>2204</v>
      </c>
    </row>
    <row r="10" spans="1:2" x14ac:dyDescent="0.2">
      <c r="A10" s="1068"/>
      <c r="B10" s="391" t="s">
        <v>2205</v>
      </c>
    </row>
    <row r="11" spans="1:2" x14ac:dyDescent="0.2">
      <c r="A11" s="1068">
        <v>4</v>
      </c>
      <c r="B11" s="391" t="s">
        <v>2208</v>
      </c>
    </row>
    <row r="12" spans="1:2" x14ac:dyDescent="0.2">
      <c r="A12" s="1068">
        <v>5</v>
      </c>
      <c r="B12" s="391" t="s">
        <v>2212</v>
      </c>
    </row>
    <row r="13" spans="1:2" x14ac:dyDescent="0.2">
      <c r="A13" s="1068">
        <v>6</v>
      </c>
      <c r="B13" s="391" t="s">
        <v>2213</v>
      </c>
    </row>
    <row r="14" spans="1:2" x14ac:dyDescent="0.2">
      <c r="A14" s="1068"/>
      <c r="B14" s="391"/>
    </row>
    <row r="15" spans="1:2" x14ac:dyDescent="0.2">
      <c r="A15" s="1068"/>
      <c r="B15" s="391"/>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Olympia CUSD 16</v>
      </c>
    </row>
    <row r="65" spans="2:2" x14ac:dyDescent="0.2">
      <c r="B65" s="1069">
        <f>COVER!A13</f>
        <v>17064016026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7" t="s">
        <v>1709</v>
      </c>
    </row>
    <row r="23" spans="1:5" x14ac:dyDescent="0.2">
      <c r="A23" s="168"/>
      <c r="B23" s="162" t="s">
        <v>1965</v>
      </c>
      <c r="D23" s="167" t="s">
        <v>658</v>
      </c>
      <c r="E23" s="1857"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163" t="s">
        <v>1125</v>
      </c>
      <c r="B35" s="2163"/>
      <c r="C35" s="2163"/>
      <c r="D35" s="2163"/>
      <c r="E35" s="2163"/>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0" t="s">
        <v>715</v>
      </c>
      <c r="B40" s="2160"/>
      <c r="C40" s="2160"/>
      <c r="D40" s="2160"/>
      <c r="E40" s="2160"/>
    </row>
    <row r="41" spans="1:5" x14ac:dyDescent="0.2">
      <c r="A41" s="2161" t="s">
        <v>1706</v>
      </c>
      <c r="B41" s="2161"/>
      <c r="C41" s="2161"/>
      <c r="D41" s="2161"/>
      <c r="E41" s="2161"/>
    </row>
    <row r="42" spans="1:5" ht="12.75" customHeight="1" x14ac:dyDescent="0.2">
      <c r="A42" s="2162" t="s">
        <v>1080</v>
      </c>
      <c r="B42" s="2162"/>
      <c r="C42" s="2162"/>
      <c r="D42" s="2162"/>
      <c r="E42" s="2162"/>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1717</v>
      </c>
    </row>
    <row r="72" spans="1:9" ht="9.1999999999999993"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446" t="s">
        <v>1784</v>
      </c>
      <c r="B18" s="244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7" t="s">
        <v>1790</v>
      </c>
      <c r="B1" s="2448"/>
      <c r="C1" s="2448"/>
      <c r="D1" s="2448"/>
      <c r="E1" s="2448"/>
      <c r="F1" s="2449"/>
    </row>
    <row r="2" spans="1:8" ht="45.2" customHeight="1" x14ac:dyDescent="0.2">
      <c r="A2" s="2457" t="s">
        <v>1791</v>
      </c>
      <c r="B2" s="2458"/>
      <c r="C2" s="2458"/>
      <c r="D2" s="2458"/>
      <c r="E2" s="2458"/>
      <c r="F2" s="2459"/>
      <c r="G2" s="1073"/>
      <c r="H2" s="1073"/>
    </row>
    <row r="3" spans="1:8" ht="57" customHeight="1" x14ac:dyDescent="0.2">
      <c r="A3" s="2460" t="s">
        <v>1786</v>
      </c>
      <c r="B3" s="2461"/>
      <c r="C3" s="2461"/>
      <c r="D3" s="2461"/>
      <c r="E3" s="2461"/>
      <c r="F3" s="2462"/>
      <c r="G3" s="1073"/>
      <c r="H3" s="1073"/>
    </row>
    <row r="4" spans="1:8" ht="14.25" customHeight="1" x14ac:dyDescent="0.2">
      <c r="A4" s="2466" t="s">
        <v>2052</v>
      </c>
      <c r="B4" s="2467"/>
      <c r="C4" s="2467"/>
      <c r="D4" s="2467"/>
      <c r="E4" s="2467"/>
      <c r="F4" s="2468"/>
      <c r="G4" s="1073"/>
      <c r="H4" s="1073"/>
    </row>
    <row r="5" spans="1:8" ht="14.25" customHeight="1" x14ac:dyDescent="0.2">
      <c r="A5" s="2469" t="s">
        <v>2053</v>
      </c>
      <c r="B5" s="2470"/>
      <c r="C5" s="2470"/>
      <c r="D5" s="2470"/>
      <c r="E5" s="2470"/>
      <c r="F5" s="2471"/>
      <c r="G5" s="1073"/>
      <c r="H5" s="1073"/>
    </row>
    <row r="6" spans="1:8" s="1074" customFormat="1" ht="41.45" customHeight="1" x14ac:dyDescent="0.2">
      <c r="A6" s="2463" t="s">
        <v>1792</v>
      </c>
      <c r="B6" s="2464"/>
      <c r="C6" s="2464"/>
      <c r="D6" s="2464"/>
      <c r="E6" s="2464"/>
      <c r="F6" s="2465"/>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14492585</v>
      </c>
      <c r="C8" s="1836">
        <f>'Acct Summary 7-8'!D8</f>
        <v>1822832</v>
      </c>
      <c r="D8" s="1836">
        <f>'Acct Summary 7-8'!F8</f>
        <v>1876894</v>
      </c>
      <c r="E8" s="1836">
        <f>'Acct Summary 7-8'!I8</f>
        <v>190890</v>
      </c>
      <c r="F8" s="1836">
        <f>SUM(B8:E8)</f>
        <v>18383201</v>
      </c>
    </row>
    <row r="9" spans="1:8" s="1078" customFormat="1" ht="14.25" customHeight="1" thickBot="1" x14ac:dyDescent="0.25">
      <c r="A9" s="1077" t="s">
        <v>1436</v>
      </c>
      <c r="B9" s="1837">
        <f>'Acct Summary 7-8'!C17</f>
        <v>14351910</v>
      </c>
      <c r="C9" s="1837">
        <f>'Acct Summary 7-8'!D17</f>
        <v>3126263</v>
      </c>
      <c r="D9" s="1837">
        <f>'Acct Summary 7-8'!F17</f>
        <v>1618024</v>
      </c>
      <c r="E9" s="1836"/>
      <c r="F9" s="1836">
        <f>SUM(B9:E9)</f>
        <v>19096197</v>
      </c>
    </row>
    <row r="10" spans="1:8" s="1078" customFormat="1" ht="14.25" thickTop="1" thickBot="1" x14ac:dyDescent="0.25">
      <c r="A10" s="1079" t="s">
        <v>1437</v>
      </c>
      <c r="B10" s="1838">
        <f>(B8-B9)</f>
        <v>140675</v>
      </c>
      <c r="C10" s="1838">
        <f>(C8-C9)</f>
        <v>-1303431</v>
      </c>
      <c r="D10" s="1838">
        <f>(D8-D9)</f>
        <v>258870</v>
      </c>
      <c r="E10" s="1837">
        <f>(E8-E9)</f>
        <v>190890</v>
      </c>
      <c r="F10" s="1839">
        <f>SUM(F8-F9)</f>
        <v>-712996</v>
      </c>
    </row>
    <row r="11" spans="1:8" s="1078" customFormat="1" ht="14.25" thickTop="1" thickBot="1" x14ac:dyDescent="0.25">
      <c r="A11" s="1080" t="s">
        <v>1785</v>
      </c>
      <c r="B11" s="1840">
        <f>'Acct Summary 7-8'!C81</f>
        <v>6913944</v>
      </c>
      <c r="C11" s="1840">
        <f>'Acct Summary 7-8'!D81</f>
        <v>1313995</v>
      </c>
      <c r="D11" s="1840">
        <f>'Acct Summary 7-8'!F81</f>
        <v>2087530</v>
      </c>
      <c r="E11" s="1840">
        <f>'Acct Summary 7-8'!I81</f>
        <v>7448441</v>
      </c>
      <c r="F11" s="1841">
        <f>SUM(B11:E11)</f>
        <v>17763910</v>
      </c>
    </row>
    <row r="12" spans="1:8" ht="16.5" customHeight="1" thickTop="1" x14ac:dyDescent="0.2">
      <c r="A12" s="1081"/>
      <c r="B12" s="1082"/>
      <c r="C12" s="2451" t="str">
        <f>IF(AND(F10&lt;0,F11&gt;=0,ABS(F10*3)&gt;ABS(F11)),A16,IF(AND(F10&lt;0,F11&gt;0,ABS(F10*3)&lt;=ABS(F11)),A17,IF(AND(F10&lt;0,F11&lt;0),A16,IF(F11=0,A19,A18))))</f>
        <v>Unbalanced -  however, a deficit reduction plan is not required at this time.</v>
      </c>
      <c r="D12" s="2452"/>
      <c r="E12" s="2452"/>
      <c r="F12" s="2453"/>
    </row>
    <row r="13" spans="1:8" ht="19.7" customHeight="1" x14ac:dyDescent="0.2">
      <c r="A13" s="1083"/>
      <c r="B13" s="1084"/>
      <c r="C13" s="2451"/>
      <c r="D13" s="2452"/>
      <c r="E13" s="2452"/>
      <c r="F13" s="2453"/>
      <c r="H13" s="1073"/>
    </row>
    <row r="14" spans="1:8" ht="19.7" customHeight="1" x14ac:dyDescent="0.2">
      <c r="A14" s="1083"/>
      <c r="B14" s="1084"/>
      <c r="C14" s="2451"/>
      <c r="D14" s="2452"/>
      <c r="E14" s="2452"/>
      <c r="F14" s="2453"/>
      <c r="H14" s="1073"/>
    </row>
    <row r="15" spans="1:8" ht="17.25" customHeight="1" x14ac:dyDescent="0.2">
      <c r="A15" s="1083"/>
      <c r="B15" s="1084"/>
      <c r="C15" s="2454"/>
      <c r="D15" s="2455"/>
      <c r="E15" s="2455"/>
      <c r="F15" s="2456"/>
      <c r="H15" s="1073"/>
    </row>
    <row r="16" spans="1:8" s="310" customFormat="1" ht="51.95" hidden="1" customHeight="1" x14ac:dyDescent="0.2">
      <c r="A16" s="2450" t="s">
        <v>1787</v>
      </c>
      <c r="B16" s="2450"/>
      <c r="C16" s="2450"/>
      <c r="D16" s="2450"/>
      <c r="E16" s="2450"/>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472" t="s">
        <v>686</v>
      </c>
      <c r="B3" s="2473"/>
      <c r="C3" s="2473"/>
      <c r="D3" s="2474"/>
    </row>
    <row r="4" spans="1:4" x14ac:dyDescent="0.2">
      <c r="A4" s="1151" t="s">
        <v>1793</v>
      </c>
      <c r="B4" s="1152"/>
      <c r="C4" s="1153"/>
      <c r="D4" s="1154"/>
    </row>
    <row r="5" spans="1:4" ht="21" customHeight="1" x14ac:dyDescent="0.2">
      <c r="A5" s="1147"/>
      <c r="B5" s="1148">
        <v>1</v>
      </c>
      <c r="C5" s="1149" t="s">
        <v>1942</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83" t="s">
        <v>1584</v>
      </c>
      <c r="D7" s="2484"/>
    </row>
    <row r="8" spans="1:4" s="667" customFormat="1" ht="12.75" x14ac:dyDescent="0.2">
      <c r="A8" s="1137"/>
      <c r="B8" s="1092"/>
      <c r="C8" s="1095" t="s">
        <v>1583</v>
      </c>
      <c r="D8" s="1096"/>
    </row>
    <row r="9" spans="1:4" s="667" customFormat="1" ht="14.25" customHeight="1" x14ac:dyDescent="0.2">
      <c r="A9" s="1137"/>
      <c r="B9" s="1092">
        <f>B7+1</f>
        <v>4</v>
      </c>
      <c r="C9" s="1093" t="s">
        <v>2045</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75" t="s">
        <v>1065</v>
      </c>
      <c r="B15" s="2476"/>
      <c r="C15" s="2476"/>
      <c r="D15" s="2477"/>
    </row>
    <row r="16" spans="1:4" s="667" customFormat="1" ht="24" customHeight="1" x14ac:dyDescent="0.2">
      <c r="A16" s="2478" t="s">
        <v>684</v>
      </c>
      <c r="B16" s="2479"/>
      <c r="C16" s="2479"/>
      <c r="D16" s="2480"/>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87" t="s">
        <v>332</v>
      </c>
      <c r="D21" s="2488"/>
    </row>
    <row r="22" spans="1:10" ht="12.75" x14ac:dyDescent="0.2">
      <c r="A22" s="1138"/>
      <c r="B22" s="1139">
        <v>2</v>
      </c>
      <c r="C22" s="2485" t="s">
        <v>1605</v>
      </c>
      <c r="D22" s="2486"/>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89" t="s">
        <v>557</v>
      </c>
      <c r="D43" s="2490"/>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81" t="s">
        <v>817</v>
      </c>
      <c r="D56" s="2482"/>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2046</v>
      </c>
      <c r="D66" s="1124"/>
    </row>
    <row r="67" spans="1:4" x14ac:dyDescent="0.2">
      <c r="A67" s="1118"/>
      <c r="B67" s="1139"/>
      <c r="C67" s="1146" t="s">
        <v>1079</v>
      </c>
      <c r="D67" s="1124"/>
    </row>
    <row r="68" spans="1:4" x14ac:dyDescent="0.2">
      <c r="A68" s="1099"/>
      <c r="B68" s="1109"/>
      <c r="C68" s="1101" t="s">
        <v>2047</v>
      </c>
      <c r="D68" s="1123" t="str">
        <f>IF('Short-Term Long-Term Debt 24'!F49=SUM(,'Acct Summary 7-8'!C33:K33),"OK","ERROR!")</f>
        <v>OK</v>
      </c>
    </row>
    <row r="69" spans="1:4" x14ac:dyDescent="0.2">
      <c r="A69" s="1099"/>
      <c r="B69" s="1109"/>
      <c r="C69" s="1101" t="s">
        <v>2048</v>
      </c>
      <c r="D69" s="1123" t="str">
        <f>IF('Expenditures 15-22'!H170&lt;&gt;'Short-Term Long-Term Debt 24'!H49,"ERROR!","OK")</f>
        <v>OK</v>
      </c>
    </row>
    <row r="70" spans="1:4" x14ac:dyDescent="0.2">
      <c r="A70" s="1097"/>
      <c r="B70" s="1119">
        <f>B66+1</f>
        <v>9</v>
      </c>
      <c r="C70" s="2481" t="s">
        <v>1797</v>
      </c>
      <c r="D70" s="2482"/>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2049</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2050</v>
      </c>
      <c r="D78" s="1123" t="str">
        <f>IF(ISNUMBER('Acct Summary 7-8'!C9),"OK","ENTRY IS REQUIRED!")</f>
        <v>OK</v>
      </c>
    </row>
    <row r="79" spans="1:4" x14ac:dyDescent="0.2">
      <c r="A79" s="1118"/>
      <c r="B79" s="1119">
        <f>B74+1+1</f>
        <v>12</v>
      </c>
      <c r="C79" s="1129" t="s">
        <v>2015</v>
      </c>
      <c r="D79" s="1130" t="str">
        <f>IF(OR(COVER!$B$6="X",'PCTC-OEPP 27-28'!F78&gt;0),"OK","PLEASE ENTER 9 MO ADA.")</f>
        <v>OK</v>
      </c>
    </row>
    <row r="80" spans="1:4" x14ac:dyDescent="0.2">
      <c r="A80" s="1097"/>
      <c r="B80" s="1119">
        <v>13</v>
      </c>
      <c r="C80" s="1129" t="s">
        <v>2051</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17064016026</v>
      </c>
    </row>
    <row r="3" spans="1:2" x14ac:dyDescent="0.2">
      <c r="A3" t="s">
        <v>1013</v>
      </c>
      <c r="B3" s="138" t="str">
        <f>COVER!A15</f>
        <v>McLean</v>
      </c>
    </row>
    <row r="4" spans="1:2" x14ac:dyDescent="0.2">
      <c r="A4" t="s">
        <v>1064</v>
      </c>
      <c r="B4" s="138" t="str">
        <f>COVER!A17</f>
        <v>Olympia CUSD 16</v>
      </c>
    </row>
    <row r="5" spans="1:2" x14ac:dyDescent="0.2">
      <c r="A5" t="s">
        <v>728</v>
      </c>
      <c r="B5" s="138" t="str">
        <f>COVER!A38</f>
        <v>Andrew Wise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6627504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6913944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6904732</v>
      </c>
      <c r="D92" s="2" t="str">
        <f t="shared" si="0"/>
        <v>Error?</v>
      </c>
    </row>
    <row r="93" spans="1:4" x14ac:dyDescent="0.2">
      <c r="A93" s="5">
        <v>32</v>
      </c>
      <c r="B93" s="138">
        <f>'Assets-Liab 5-6'!C41</f>
        <v>6913944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1111884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1313995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1313995</v>
      </c>
      <c r="D123" s="2" t="str">
        <f t="shared" si="0"/>
        <v>Error?</v>
      </c>
    </row>
    <row r="124" spans="1:4" x14ac:dyDescent="0.2">
      <c r="A124" s="5">
        <v>63</v>
      </c>
      <c r="B124" s="138">
        <f>'Assets-Liab 5-6'!D41</f>
        <v>1313995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644532</v>
      </c>
      <c r="D129" s="2" t="str">
        <f t="shared" si="1"/>
        <v>Error?</v>
      </c>
    </row>
    <row r="130" spans="1:4" x14ac:dyDescent="0.2">
      <c r="A130" s="5">
        <v>69</v>
      </c>
      <c r="B130" s="138">
        <f>'Assets-Liab 5-6'!E12</f>
        <v>0</v>
      </c>
      <c r="D130" s="2" t="str">
        <f t="shared" si="1"/>
        <v>Error?</v>
      </c>
    </row>
    <row r="131" spans="1:4" x14ac:dyDescent="0.2">
      <c r="A131" s="5">
        <v>70</v>
      </c>
      <c r="B131" s="138">
        <f>'Assets-Liab 5-6'!E13</f>
        <v>679685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679685</v>
      </c>
      <c r="D140" s="2" t="str">
        <f t="shared" si="1"/>
        <v>Error?</v>
      </c>
    </row>
    <row r="141" spans="1:4" x14ac:dyDescent="0.2">
      <c r="A141" s="5">
        <v>80</v>
      </c>
      <c r="B141" s="138">
        <f>'Assets-Liab 5-6'!E41</f>
        <v>679685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1865121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2087530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2087530</v>
      </c>
      <c r="D170" s="2" t="str">
        <f t="shared" si="1"/>
        <v>Error?</v>
      </c>
    </row>
    <row r="171" spans="1:4" x14ac:dyDescent="0.2">
      <c r="A171" s="5">
        <v>110</v>
      </c>
      <c r="B171" s="138">
        <f>'Assets-Liab 5-6'!F41</f>
        <v>2087530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714249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835937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139006</v>
      </c>
      <c r="D189" s="2" t="str">
        <f t="shared" si="1"/>
        <v>Error?</v>
      </c>
    </row>
    <row r="190" spans="1:4" x14ac:dyDescent="0.2">
      <c r="A190" s="5">
        <v>129</v>
      </c>
      <c r="B190" s="138">
        <f>'Assets-Liab 5-6'!G41</f>
        <v>835937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601110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621026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469459</v>
      </c>
      <c r="D212" s="2" t="str">
        <f t="shared" si="2"/>
        <v>Error?</v>
      </c>
    </row>
    <row r="213" spans="1:4" x14ac:dyDescent="0.2">
      <c r="A213" s="12">
        <v>152</v>
      </c>
      <c r="B213" s="138">
        <f>'Assets-Liab 5-6'!H41</f>
        <v>621026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464604</v>
      </c>
      <c r="D273" s="2" t="str">
        <f t="shared" si="3"/>
        <v>Error?</v>
      </c>
    </row>
    <row r="274" spans="1:4" x14ac:dyDescent="0.2">
      <c r="A274" s="5">
        <v>213</v>
      </c>
      <c r="B274" s="138">
        <f>'Assets-Liab 5-6'!M17</f>
        <v>40395121</v>
      </c>
      <c r="D274" s="2" t="str">
        <f t="shared" si="3"/>
        <v>Error?</v>
      </c>
    </row>
    <row r="275" spans="1:4" x14ac:dyDescent="0.2">
      <c r="A275" s="5">
        <v>214</v>
      </c>
      <c r="B275" s="138">
        <f>'Assets-Liab 5-6'!M18</f>
        <v>738926</v>
      </c>
      <c r="D275" s="2" t="str">
        <f t="shared" si="3"/>
        <v>Error?</v>
      </c>
    </row>
    <row r="276" spans="1:4" x14ac:dyDescent="0.2">
      <c r="A276" s="5">
        <v>215</v>
      </c>
      <c r="B276" s="138">
        <f>'Assets-Liab 5-6'!M19</f>
        <v>4930366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50010735</v>
      </c>
      <c r="C279" s="2" t="s">
        <v>594</v>
      </c>
      <c r="D279" s="2" t="str">
        <f t="shared" si="3"/>
        <v>Error?</v>
      </c>
    </row>
    <row r="280" spans="1:4" x14ac:dyDescent="0.2">
      <c r="A280" s="5">
        <v>219</v>
      </c>
      <c r="B280" s="138">
        <f>'Assets-Liab 5-6'!M40</f>
        <v>50010735</v>
      </c>
      <c r="D280" s="2" t="str">
        <f t="shared" si="3"/>
        <v>Error?</v>
      </c>
    </row>
    <row r="281" spans="1:4" x14ac:dyDescent="0.2">
      <c r="A281" s="5">
        <v>220</v>
      </c>
      <c r="B281" s="138">
        <f>'Assets-Liab 5-6'!M41</f>
        <v>50010735</v>
      </c>
      <c r="C281" s="2" t="s">
        <v>594</v>
      </c>
      <c r="D281" s="2" t="str">
        <f t="shared" si="3"/>
        <v>Error?</v>
      </c>
    </row>
    <row r="282" spans="1:4" x14ac:dyDescent="0.2">
      <c r="A282" s="5">
        <v>221</v>
      </c>
      <c r="B282" s="138">
        <f>'Assets-Liab 5-6'!N21</f>
        <v>679685</v>
      </c>
      <c r="D282" s="2" t="str">
        <f t="shared" si="3"/>
        <v>Error?</v>
      </c>
    </row>
    <row r="283" spans="1:4" x14ac:dyDescent="0.2">
      <c r="A283" s="5">
        <v>222</v>
      </c>
      <c r="B283" s="138">
        <f>'Assets-Liab 5-6'!N22</f>
        <v>19629364</v>
      </c>
      <c r="D283" s="2" t="str">
        <f t="shared" si="3"/>
        <v>Error?</v>
      </c>
    </row>
    <row r="284" spans="1:4" x14ac:dyDescent="0.2">
      <c r="A284" s="5">
        <v>223</v>
      </c>
      <c r="B284" s="138">
        <f>'Assets-Liab 5-6'!N23</f>
        <v>20309049</v>
      </c>
      <c r="C284" s="2" t="s">
        <v>594</v>
      </c>
      <c r="D284" s="2" t="str">
        <f t="shared" si="3"/>
        <v>Error?</v>
      </c>
    </row>
    <row r="285" spans="1:4" x14ac:dyDescent="0.2">
      <c r="A285" s="5">
        <v>224</v>
      </c>
      <c r="B285" s="138">
        <f>'Assets-Liab 5-6'!N36</f>
        <v>20309049</v>
      </c>
      <c r="D285" s="2" t="str">
        <f t="shared" si="3"/>
        <v>Error?</v>
      </c>
    </row>
    <row r="286" spans="1:4" x14ac:dyDescent="0.2">
      <c r="A286" s="10">
        <v>225</v>
      </c>
      <c r="D286" s="2" t="str">
        <f t="shared" si="3"/>
        <v>OK</v>
      </c>
    </row>
    <row r="287" spans="1:4" x14ac:dyDescent="0.2">
      <c r="A287" s="5">
        <v>226</v>
      </c>
      <c r="B287" s="138">
        <f>'Assets-Liab 5-6'!N37</f>
        <v>20309049</v>
      </c>
      <c r="C287" s="2" t="s">
        <v>594</v>
      </c>
      <c r="D287" s="2" t="str">
        <f t="shared" si="3"/>
        <v>Error?</v>
      </c>
    </row>
    <row r="288" spans="1:4" x14ac:dyDescent="0.2">
      <c r="A288" s="5">
        <v>227</v>
      </c>
      <c r="B288" s="138">
        <f>'Assets-Liab 5-6'!N41</f>
        <v>20309049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5400000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4652293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290394</v>
      </c>
      <c r="D717" s="2" t="str">
        <f t="shared" si="10"/>
        <v>Error?</v>
      </c>
    </row>
    <row r="718" spans="1:4" x14ac:dyDescent="0.2">
      <c r="A718" s="5">
        <v>657</v>
      </c>
      <c r="B718" s="138">
        <f>'Expenditures 15-22'!C14</f>
        <v>317901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6675651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121309</v>
      </c>
      <c r="D722" s="2" t="str">
        <f t="shared" si="10"/>
        <v>Error?</v>
      </c>
    </row>
    <row r="723" spans="1:4" x14ac:dyDescent="0.2">
      <c r="A723" s="5">
        <v>662</v>
      </c>
      <c r="B723" s="138">
        <f>'Expenditures 15-22'!C38</f>
        <v>85154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146467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352930</v>
      </c>
      <c r="C727" s="2" t="s">
        <v>594</v>
      </c>
      <c r="D727" s="2" t="str">
        <f t="shared" si="10"/>
        <v>Error?</v>
      </c>
    </row>
    <row r="728" spans="1:4" x14ac:dyDescent="0.2">
      <c r="A728" s="5">
        <v>667</v>
      </c>
      <c r="B728" s="138">
        <f>'Expenditures 15-22'!C44</f>
        <v>147065</v>
      </c>
      <c r="D728" s="2" t="str">
        <f t="shared" si="10"/>
        <v>Error?</v>
      </c>
    </row>
    <row r="729" spans="1:4" x14ac:dyDescent="0.2">
      <c r="A729" s="5">
        <v>668</v>
      </c>
      <c r="B729" s="138">
        <f>'Expenditures 15-22'!C45</f>
        <v>346043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493108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252019</v>
      </c>
      <c r="D733" s="2" t="str">
        <f t="shared" si="10"/>
        <v>Error?</v>
      </c>
    </row>
    <row r="734" spans="1:4" x14ac:dyDescent="0.2">
      <c r="A734" s="5">
        <v>673</v>
      </c>
      <c r="B734" s="138">
        <f>'Expenditures 15-22'!C53</f>
        <v>252019</v>
      </c>
      <c r="C734" s="2" t="s">
        <v>594</v>
      </c>
      <c r="D734" s="2" t="str">
        <f t="shared" si="10"/>
        <v>Error?</v>
      </c>
    </row>
    <row r="735" spans="1:4" x14ac:dyDescent="0.2">
      <c r="A735" s="5">
        <v>674</v>
      </c>
      <c r="B735" s="138">
        <f>'Expenditures 15-22'!C55</f>
        <v>758419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758419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90003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311607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401610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2258086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8933737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1456285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58892</v>
      </c>
      <c r="D775" s="2" t="str">
        <f t="shared" si="11"/>
        <v>Error?</v>
      </c>
    </row>
    <row r="776" spans="1:4" x14ac:dyDescent="0.2">
      <c r="A776" s="5">
        <v>715</v>
      </c>
      <c r="B776" s="138">
        <f>'Expenditures 15-22'!D14</f>
        <v>25977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1942329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51853</v>
      </c>
      <c r="D780" s="2" t="str">
        <f t="shared" si="11"/>
        <v>Error?</v>
      </c>
    </row>
    <row r="781" spans="1:4" x14ac:dyDescent="0.2">
      <c r="A781" s="5">
        <v>720</v>
      </c>
      <c r="B781" s="138">
        <f>'Expenditures 15-22'!D38</f>
        <v>8597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37102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97552</v>
      </c>
      <c r="C785" s="2" t="s">
        <v>594</v>
      </c>
      <c r="D785" s="2" t="str">
        <f t="shared" si="11"/>
        <v>Error?</v>
      </c>
    </row>
    <row r="786" spans="1:4" x14ac:dyDescent="0.2">
      <c r="A786" s="5">
        <v>725</v>
      </c>
      <c r="B786" s="138">
        <f>'Expenditures 15-22'!D44</f>
        <v>25091</v>
      </c>
      <c r="D786" s="2" t="str">
        <f t="shared" si="11"/>
        <v>Error?</v>
      </c>
    </row>
    <row r="787" spans="1:4" x14ac:dyDescent="0.2">
      <c r="A787" s="5">
        <v>726</v>
      </c>
      <c r="B787" s="138">
        <f>'Expenditures 15-22'!D45</f>
        <v>87370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112461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48603</v>
      </c>
      <c r="D791" s="2" t="str">
        <f t="shared" si="11"/>
        <v>Error?</v>
      </c>
    </row>
    <row r="792" spans="1:4" x14ac:dyDescent="0.2">
      <c r="A792" s="5">
        <v>731</v>
      </c>
      <c r="B792" s="138">
        <f>'Expenditures 15-22'!D53</f>
        <v>48603</v>
      </c>
      <c r="C792" s="2" t="s">
        <v>594</v>
      </c>
      <c r="D792" s="2" t="str">
        <f t="shared" si="11"/>
        <v>Error?</v>
      </c>
    </row>
    <row r="793" spans="1:4" x14ac:dyDescent="0.2">
      <c r="A793" s="5">
        <v>732</v>
      </c>
      <c r="B793" s="138">
        <f>'Expenditures 15-22'!D55</f>
        <v>187348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187348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17238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92693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109931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555895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2498224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96884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32997</v>
      </c>
      <c r="D833" s="2" t="str">
        <f t="shared" si="12"/>
        <v>Error?</v>
      </c>
    </row>
    <row r="834" spans="1:4" x14ac:dyDescent="0.2">
      <c r="A834" s="5">
        <v>773</v>
      </c>
      <c r="B834" s="138">
        <f>'Expenditures 15-22'!E14</f>
        <v>43365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301650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702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702</v>
      </c>
      <c r="C843" s="2" t="s">
        <v>594</v>
      </c>
      <c r="D843" s="2" t="str">
        <f t="shared" si="12"/>
        <v>Error?</v>
      </c>
    </row>
    <row r="844" spans="1:4" x14ac:dyDescent="0.2">
      <c r="A844" s="5">
        <v>783</v>
      </c>
      <c r="B844" s="138">
        <f>'Expenditures 15-22'!E44</f>
        <v>38956</v>
      </c>
      <c r="D844" s="2" t="str">
        <f t="shared" si="12"/>
        <v>Error?</v>
      </c>
    </row>
    <row r="845" spans="1:4" x14ac:dyDescent="0.2">
      <c r="A845" s="5">
        <v>784</v>
      </c>
      <c r="B845" s="138">
        <f>'Expenditures 15-22'!E45</f>
        <v>360925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399881</v>
      </c>
      <c r="C847" s="2" t="s">
        <v>594</v>
      </c>
      <c r="D847" s="2" t="str">
        <f t="shared" si="12"/>
        <v>Error?</v>
      </c>
    </row>
    <row r="848" spans="1:4" x14ac:dyDescent="0.2">
      <c r="A848" s="5">
        <v>787</v>
      </c>
      <c r="B848" s="138">
        <f>'Expenditures 15-22'!E49</f>
        <v>136492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136492</v>
      </c>
      <c r="C850" s="2" t="s">
        <v>594</v>
      </c>
      <c r="D850" s="2" t="str">
        <f t="shared" si="12"/>
        <v>Error?</v>
      </c>
    </row>
    <row r="851" spans="1:4" x14ac:dyDescent="0.2">
      <c r="A851" s="5">
        <v>790</v>
      </c>
      <c r="B851" s="138">
        <f>'Expenditures 15-22'!E55</f>
        <v>11006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11006</v>
      </c>
      <c r="C853" s="2" t="s">
        <v>594</v>
      </c>
      <c r="D853" s="2" t="str">
        <f t="shared" si="12"/>
        <v>Error?</v>
      </c>
    </row>
    <row r="854" spans="1:4" x14ac:dyDescent="0.2">
      <c r="A854" s="5">
        <v>793</v>
      </c>
      <c r="B854" s="138">
        <f>'Expenditures 15-22'!E59</f>
        <v>1924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2103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4027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7264</v>
      </c>
      <c r="D867" s="2" t="str">
        <f t="shared" si="12"/>
        <v>Error?</v>
      </c>
    </row>
    <row r="868" spans="1:4" x14ac:dyDescent="0.2">
      <c r="A868" s="10">
        <v>807</v>
      </c>
      <c r="D868" s="2" t="str">
        <f t="shared" si="12"/>
        <v>OK</v>
      </c>
    </row>
    <row r="869" spans="1:4" x14ac:dyDescent="0.2">
      <c r="A869" s="5">
        <v>808</v>
      </c>
      <c r="B869" s="138">
        <f>'Expenditures 15-22'!E72</f>
        <v>7264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559372</v>
      </c>
      <c r="C871" s="2" t="s">
        <v>594</v>
      </c>
      <c r="D871" s="2" t="str">
        <f t="shared" si="12"/>
        <v>Error?</v>
      </c>
    </row>
    <row r="872" spans="1:4" x14ac:dyDescent="0.2">
      <c r="A872" s="5">
        <v>811</v>
      </c>
      <c r="B872" s="138">
        <f>'Expenditures 15-22'!E75</f>
        <v>5318</v>
      </c>
      <c r="D872" s="2" t="str">
        <f t="shared" si="12"/>
        <v>Error?</v>
      </c>
    </row>
    <row r="873" spans="1:4" x14ac:dyDescent="0.2">
      <c r="A873" s="5">
        <v>812</v>
      </c>
      <c r="B873" s="138">
        <f>'Expenditures 15-22'!E114</f>
        <v>1327136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344584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37091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387639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98</v>
      </c>
      <c r="D896" s="2" t="str">
        <f t="shared" si="13"/>
        <v>Error?</v>
      </c>
    </row>
    <row r="897" spans="1:4" x14ac:dyDescent="0.2">
      <c r="A897" s="5">
        <v>836</v>
      </c>
      <c r="B897" s="138">
        <f>'Expenditures 15-22'!F38</f>
        <v>1635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3879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5612</v>
      </c>
      <c r="C901" s="2" t="s">
        <v>594</v>
      </c>
      <c r="D901" s="2" t="str">
        <f t="shared" si="13"/>
        <v>Error?</v>
      </c>
    </row>
    <row r="902" spans="1:4" x14ac:dyDescent="0.2">
      <c r="A902" s="5">
        <v>841</v>
      </c>
      <c r="B902" s="138">
        <f>'Expenditures 15-22'!F44</f>
        <v>10954</v>
      </c>
      <c r="D902" s="2" t="str">
        <f t="shared" si="13"/>
        <v>Error?</v>
      </c>
    </row>
    <row r="903" spans="1:4" x14ac:dyDescent="0.2">
      <c r="A903" s="5">
        <v>842</v>
      </c>
      <c r="B903" s="138">
        <f>'Expenditures 15-22'!F45</f>
        <v>46584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57538</v>
      </c>
      <c r="C905" s="2" t="s">
        <v>594</v>
      </c>
      <c r="D905" s="2" t="str">
        <f t="shared" si="13"/>
        <v>Error?</v>
      </c>
    </row>
    <row r="906" spans="1:4" x14ac:dyDescent="0.2">
      <c r="A906" s="5">
        <v>845</v>
      </c>
      <c r="B906" s="138">
        <f>'Expenditures 15-22'!F49</f>
        <v>23649</v>
      </c>
      <c r="D906" s="2" t="str">
        <f t="shared" si="13"/>
        <v>Error?</v>
      </c>
    </row>
    <row r="907" spans="1:4" x14ac:dyDescent="0.2">
      <c r="A907" s="5">
        <v>846</v>
      </c>
      <c r="B907" s="138">
        <f>'Expenditures 15-22'!F50</f>
        <v>490</v>
      </c>
      <c r="D907" s="2" t="str">
        <f t="shared" si="13"/>
        <v>Error?</v>
      </c>
    </row>
    <row r="908" spans="1:4" x14ac:dyDescent="0.2">
      <c r="A908" s="5">
        <v>847</v>
      </c>
      <c r="B908" s="138">
        <f>'Expenditures 15-22'!F53</f>
        <v>24139</v>
      </c>
      <c r="C908" s="2" t="s">
        <v>594</v>
      </c>
      <c r="D908" s="2" t="str">
        <f t="shared" si="13"/>
        <v>Error?</v>
      </c>
    </row>
    <row r="909" spans="1:4" x14ac:dyDescent="0.2">
      <c r="A909" s="5">
        <v>848</v>
      </c>
      <c r="B909" s="138">
        <f>'Expenditures 15-22'!F55</f>
        <v>3407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3407</v>
      </c>
      <c r="C911" s="2" t="s">
        <v>594</v>
      </c>
      <c r="D911" s="2" t="str">
        <f t="shared" si="13"/>
        <v>Error?</v>
      </c>
    </row>
    <row r="912" spans="1:4" x14ac:dyDescent="0.2">
      <c r="A912" s="5">
        <v>851</v>
      </c>
      <c r="B912" s="138">
        <f>'Expenditures 15-22'!F59</f>
        <v>326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400235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400561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386</v>
      </c>
      <c r="D925" s="2" t="str">
        <f t="shared" si="13"/>
        <v>Error?</v>
      </c>
    </row>
    <row r="926" spans="1:4" x14ac:dyDescent="0.2">
      <c r="A926" s="10">
        <v>865</v>
      </c>
      <c r="D926" s="2" t="str">
        <f t="shared" si="13"/>
        <v>OK</v>
      </c>
    </row>
    <row r="927" spans="1:4" x14ac:dyDescent="0.2">
      <c r="A927" s="5">
        <v>866</v>
      </c>
      <c r="B927" s="138">
        <f>'Expenditures 15-22'!F72</f>
        <v>386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491643</v>
      </c>
      <c r="C929" s="2" t="s">
        <v>594</v>
      </c>
      <c r="D929" s="2" t="str">
        <f t="shared" si="13"/>
        <v>Error?</v>
      </c>
    </row>
    <row r="930" spans="1:4" x14ac:dyDescent="0.2">
      <c r="A930" s="5">
        <v>869</v>
      </c>
      <c r="B930" s="138">
        <f>'Expenditures 15-22'!F75</f>
        <v>1134</v>
      </c>
      <c r="D930" s="2" t="str">
        <f t="shared" si="13"/>
        <v>Error?</v>
      </c>
    </row>
    <row r="931" spans="1:4" x14ac:dyDescent="0.2">
      <c r="A931" s="5">
        <v>870</v>
      </c>
      <c r="B931" s="138">
        <f>'Expenditures 15-22'!F114</f>
        <v>880416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86663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3015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89678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5264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5264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5264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94942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17460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496611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13852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13852</v>
      </c>
      <c r="C1024" s="2" t="s">
        <v>594</v>
      </c>
      <c r="D1024" s="2" t="str">
        <f t="shared" si="15"/>
        <v>Error?</v>
      </c>
    </row>
    <row r="1025" spans="1:4" x14ac:dyDescent="0.2">
      <c r="A1025" s="5">
        <v>964</v>
      </c>
      <c r="B1025" s="138">
        <f>'Expenditures 15-22'!H55</f>
        <v>2007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2007</v>
      </c>
      <c r="C1027" s="2" t="s">
        <v>594</v>
      </c>
      <c r="D1027" s="2" t="str">
        <f t="shared" si="15"/>
        <v>Error?</v>
      </c>
    </row>
    <row r="1028" spans="1:4" x14ac:dyDescent="0.2">
      <c r="A1028" s="5">
        <v>967</v>
      </c>
      <c r="B1028" s="138">
        <f>'Expenditures 15-22'!H59</f>
        <v>3053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3053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18912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101932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617455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6638086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382283</v>
      </c>
      <c r="C1105" s="2" t="s">
        <v>594</v>
      </c>
      <c r="D1105" s="2" t="str">
        <f t="shared" si="16"/>
        <v>Error?</v>
      </c>
    </row>
    <row r="1106" spans="1:4" x14ac:dyDescent="0.2">
      <c r="A1106" s="5">
        <v>1045</v>
      </c>
      <c r="B1106" s="138">
        <f>'Expenditures 15-22'!K14</f>
        <v>444809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9893558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173260</v>
      </c>
      <c r="C1110" s="2" t="s">
        <v>594</v>
      </c>
      <c r="D1110" s="2" t="str">
        <f t="shared" si="16"/>
        <v>Error?</v>
      </c>
    </row>
    <row r="1111" spans="1:4" x14ac:dyDescent="0.2">
      <c r="A1111" s="5">
        <v>1050</v>
      </c>
      <c r="B1111" s="138">
        <f>'Expenditures 15-22'!K38</f>
        <v>95386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188150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456796</v>
      </c>
      <c r="C1115" s="2" t="s">
        <v>594</v>
      </c>
      <c r="D1115" s="2" t="str">
        <f t="shared" si="16"/>
        <v>Error?</v>
      </c>
    </row>
    <row r="1116" spans="1:4" x14ac:dyDescent="0.2">
      <c r="A1116" s="5">
        <v>1055</v>
      </c>
      <c r="B1116" s="138">
        <f>'Expenditures 15-22'!K44</f>
        <v>227330</v>
      </c>
      <c r="C1116" s="2" t="s">
        <v>594</v>
      </c>
      <c r="D1116" s="2" t="str">
        <f t="shared" si="16"/>
        <v>Error?</v>
      </c>
    </row>
    <row r="1117" spans="1:4" x14ac:dyDescent="0.2">
      <c r="A1117" s="5">
        <v>1056</v>
      </c>
      <c r="B1117" s="138">
        <f>'Expenditures 15-22'!K45</f>
        <v>840922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1068252</v>
      </c>
      <c r="C1119" s="2" t="s">
        <v>594</v>
      </c>
      <c r="D1119" s="2" t="str">
        <f t="shared" si="16"/>
        <v>Error?</v>
      </c>
    </row>
    <row r="1120" spans="1:4" x14ac:dyDescent="0.2">
      <c r="A1120" s="5">
        <v>1059</v>
      </c>
      <c r="B1120" s="138">
        <f>'Expenditures 15-22'!K49</f>
        <v>173993</v>
      </c>
      <c r="C1120" s="2" t="s">
        <v>594</v>
      </c>
      <c r="D1120" s="2" t="str">
        <f t="shared" si="16"/>
        <v>Error?</v>
      </c>
    </row>
    <row r="1121" spans="1:4" x14ac:dyDescent="0.2">
      <c r="A1121" s="5">
        <v>1060</v>
      </c>
      <c r="B1121" s="138">
        <f>'Expenditures 15-22'!K50</f>
        <v>301112</v>
      </c>
      <c r="C1121" s="2" t="s">
        <v>594</v>
      </c>
      <c r="D1121" s="2" t="str">
        <f t="shared" si="16"/>
        <v>Error?</v>
      </c>
    </row>
    <row r="1122" spans="1:4" x14ac:dyDescent="0.2">
      <c r="A1122" s="5">
        <v>1061</v>
      </c>
      <c r="B1122" s="138">
        <f>'Expenditures 15-22'!K53</f>
        <v>475105</v>
      </c>
      <c r="C1122" s="2" t="s">
        <v>594</v>
      </c>
      <c r="D1122" s="2" t="str">
        <f t="shared" si="16"/>
        <v>Error?</v>
      </c>
    </row>
    <row r="1123" spans="1:4" x14ac:dyDescent="0.2">
      <c r="A1123" s="5">
        <v>1062</v>
      </c>
      <c r="B1123" s="138">
        <f>'Expenditures 15-22'!K55</f>
        <v>962187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962187</v>
      </c>
      <c r="C1125" s="2" t="s">
        <v>594</v>
      </c>
      <c r="D1125" s="2" t="str">
        <f t="shared" si="16"/>
        <v>Error?</v>
      </c>
    </row>
    <row r="1126" spans="1:4" x14ac:dyDescent="0.2">
      <c r="A1126" s="5">
        <v>1065</v>
      </c>
      <c r="B1126" s="138">
        <f>'Expenditures 15-22'!K59</f>
        <v>5303</v>
      </c>
      <c r="C1126" s="2" t="s">
        <v>594</v>
      </c>
      <c r="D1126" s="2" t="str">
        <f t="shared" si="16"/>
        <v>Error?</v>
      </c>
    </row>
    <row r="1127" spans="1:4" x14ac:dyDescent="0.2">
      <c r="A1127" s="5">
        <v>1066</v>
      </c>
      <c r="B1127" s="138">
        <f>'Expenditures 15-22'!K60</f>
        <v>107241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806638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919182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7650</v>
      </c>
      <c r="C1139" s="2" t="s">
        <v>594</v>
      </c>
      <c r="D1139" s="2" t="str">
        <f t="shared" si="16"/>
        <v>Error?</v>
      </c>
    </row>
    <row r="1140" spans="1:4" x14ac:dyDescent="0.2">
      <c r="A1140" s="10">
        <v>1079</v>
      </c>
      <c r="D1140" s="2" t="str">
        <f t="shared" si="16"/>
        <v>OK</v>
      </c>
    </row>
    <row r="1141" spans="1:4" x14ac:dyDescent="0.2">
      <c r="A1141" s="5">
        <v>1080</v>
      </c>
      <c r="B1141" s="138">
        <f>'Expenditures 15-22'!K72</f>
        <v>7650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3889172</v>
      </c>
      <c r="C1143" s="2" t="s">
        <v>594</v>
      </c>
      <c r="D1143" s="2" t="str">
        <f t="shared" si="16"/>
        <v>Error?</v>
      </c>
    </row>
    <row r="1144" spans="1:4" x14ac:dyDescent="0.2">
      <c r="A1144" s="5">
        <v>1083</v>
      </c>
      <c r="B1144" s="138">
        <f>'Expenditures 15-22'!K75</f>
        <v>6452</v>
      </c>
      <c r="C1144" s="2" t="s">
        <v>594</v>
      </c>
      <c r="D1144" s="2" t="str">
        <f t="shared" si="16"/>
        <v>Error?</v>
      </c>
    </row>
    <row r="1145" spans="1:4" x14ac:dyDescent="0.2">
      <c r="A1145" s="5">
        <v>1084</v>
      </c>
      <c r="B1145" s="138">
        <f>'Expenditures 15-22'!K102</f>
        <v>562728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14351910</v>
      </c>
      <c r="C1152" s="2" t="s">
        <v>594</v>
      </c>
      <c r="D1152" s="2" t="str">
        <f t="shared" si="17"/>
        <v>Error?</v>
      </c>
    </row>
    <row r="1153" spans="1:4" x14ac:dyDescent="0.2">
      <c r="A1153" s="5">
        <v>1092</v>
      </c>
      <c r="B1153" s="138">
        <f>'Expenditures 15-22'!K115</f>
        <v>140675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24821</v>
      </c>
      <c r="D1220" s="2" t="str">
        <f t="shared" si="18"/>
        <v>Error?</v>
      </c>
    </row>
    <row r="1221" spans="1:4" x14ac:dyDescent="0.2">
      <c r="A1221" s="5">
        <v>1160</v>
      </c>
      <c r="B1221" s="138">
        <f>'Expenditures 15-22'!C124</f>
        <v>641925</v>
      </c>
      <c r="D1221" s="2" t="str">
        <f t="shared" si="18"/>
        <v>Error?</v>
      </c>
    </row>
    <row r="1222" spans="1:4" x14ac:dyDescent="0.2">
      <c r="A1222" s="10">
        <v>1161</v>
      </c>
      <c r="D1222" s="2" t="str">
        <f t="shared" si="18"/>
        <v>OK</v>
      </c>
    </row>
    <row r="1223" spans="1:4" x14ac:dyDescent="0.2">
      <c r="A1223" s="5">
        <v>1162</v>
      </c>
      <c r="B1223" s="138">
        <f>'Expenditures 15-22'!C127</f>
        <v>666746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666746</v>
      </c>
      <c r="C1225" s="2" t="s">
        <v>594</v>
      </c>
      <c r="D1225" s="2" t="str">
        <f t="shared" si="18"/>
        <v>Error?</v>
      </c>
    </row>
    <row r="1226" spans="1:4" x14ac:dyDescent="0.2">
      <c r="A1226" s="5">
        <v>1165</v>
      </c>
      <c r="B1226" s="138">
        <f>'Expenditures 15-22'!C151</f>
        <v>666746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138024</v>
      </c>
      <c r="D1229" s="2" t="str">
        <f t="shared" si="18"/>
        <v>Error?</v>
      </c>
    </row>
    <row r="1230" spans="1:4" x14ac:dyDescent="0.2">
      <c r="A1230" s="10">
        <v>1169</v>
      </c>
      <c r="D1230" s="2" t="str">
        <f t="shared" si="18"/>
        <v>OK</v>
      </c>
    </row>
    <row r="1231" spans="1:4" x14ac:dyDescent="0.2">
      <c r="A1231" s="5">
        <v>1170</v>
      </c>
      <c r="B1231" s="138">
        <f>'Expenditures 15-22'!D127</f>
        <v>138024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138024</v>
      </c>
      <c r="C1233" s="2" t="s">
        <v>594</v>
      </c>
      <c r="D1233" s="2" t="str">
        <f t="shared" si="18"/>
        <v>Error?</v>
      </c>
    </row>
    <row r="1234" spans="1:4" x14ac:dyDescent="0.2">
      <c r="A1234" s="5">
        <v>1173</v>
      </c>
      <c r="B1234" s="138">
        <f>'Expenditures 15-22'!D151</f>
        <v>138024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274978</v>
      </c>
      <c r="D1236" s="2" t="str">
        <f t="shared" si="18"/>
        <v>Error?</v>
      </c>
    </row>
    <row r="1237" spans="1:4" x14ac:dyDescent="0.2">
      <c r="A1237" s="5">
        <v>1176</v>
      </c>
      <c r="B1237" s="138">
        <f>'Expenditures 15-22'!E124</f>
        <v>218646</v>
      </c>
      <c r="D1237" s="2" t="str">
        <f t="shared" si="18"/>
        <v>Error?</v>
      </c>
    </row>
    <row r="1238" spans="1:4" x14ac:dyDescent="0.2">
      <c r="A1238" s="10">
        <v>1177</v>
      </c>
      <c r="D1238" s="2" t="str">
        <f t="shared" si="18"/>
        <v>OK</v>
      </c>
    </row>
    <row r="1239" spans="1:4" x14ac:dyDescent="0.2">
      <c r="A1239" s="5">
        <v>1178</v>
      </c>
      <c r="B1239" s="138">
        <f>'Expenditures 15-22'!E127</f>
        <v>493624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493624</v>
      </c>
      <c r="C1241" s="2" t="s">
        <v>594</v>
      </c>
      <c r="D1241" s="2" t="str">
        <f t="shared" si="18"/>
        <v>Error?</v>
      </c>
    </row>
    <row r="1242" spans="1:4" x14ac:dyDescent="0.2">
      <c r="A1242" s="5">
        <v>1181</v>
      </c>
      <c r="B1242" s="138">
        <f>'Expenditures 15-22'!E151</f>
        <v>493624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49972</v>
      </c>
      <c r="D1244" s="2" t="str">
        <f t="shared" si="18"/>
        <v>Error?</v>
      </c>
    </row>
    <row r="1245" spans="1:4" x14ac:dyDescent="0.2">
      <c r="A1245" s="5">
        <v>1184</v>
      </c>
      <c r="B1245" s="138">
        <f>'Expenditures 15-22'!F124</f>
        <v>624145</v>
      </c>
      <c r="D1245" s="2" t="str">
        <f t="shared" si="18"/>
        <v>Error?</v>
      </c>
    </row>
    <row r="1246" spans="1:4" x14ac:dyDescent="0.2">
      <c r="A1246" s="10">
        <v>1185</v>
      </c>
      <c r="D1246" s="2" t="str">
        <f t="shared" si="18"/>
        <v>OK</v>
      </c>
    </row>
    <row r="1247" spans="1:4" x14ac:dyDescent="0.2">
      <c r="A1247" s="5">
        <v>1186</v>
      </c>
      <c r="B1247" s="138">
        <f>'Expenditures 15-22'!F127</f>
        <v>674117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674117</v>
      </c>
      <c r="C1249" s="2" t="s">
        <v>594</v>
      </c>
      <c r="D1249" s="2" t="str">
        <f t="shared" si="18"/>
        <v>Error?</v>
      </c>
    </row>
    <row r="1250" spans="1:4" x14ac:dyDescent="0.2">
      <c r="A1250" s="5">
        <v>1189</v>
      </c>
      <c r="B1250" s="138">
        <f>'Expenditures 15-22'!F151</f>
        <v>674117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1153752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1153752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1153752</v>
      </c>
      <c r="C1258" s="2" t="s">
        <v>594</v>
      </c>
      <c r="D1258" s="2" t="str">
        <f t="shared" si="18"/>
        <v>Error?</v>
      </c>
    </row>
    <row r="1259" spans="1:4" x14ac:dyDescent="0.2">
      <c r="A1259" s="5">
        <v>1198</v>
      </c>
      <c r="B1259" s="138">
        <f>'Expenditures 15-22'!G151</f>
        <v>1153752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349771</v>
      </c>
      <c r="C1275" s="2" t="s">
        <v>594</v>
      </c>
      <c r="D1275" s="2" t="str">
        <f t="shared" si="18"/>
        <v>Error?</v>
      </c>
    </row>
    <row r="1276" spans="1:4" x14ac:dyDescent="0.2">
      <c r="A1276" s="5">
        <v>1215</v>
      </c>
      <c r="B1276" s="138">
        <f>'Expenditures 15-22'!K124</f>
        <v>2776492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3126263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3126263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3126263</v>
      </c>
      <c r="C1288" s="2" t="s">
        <v>594</v>
      </c>
      <c r="D1288" s="2" t="str">
        <f t="shared" si="19"/>
        <v>Error?</v>
      </c>
    </row>
    <row r="1289" spans="1:4" x14ac:dyDescent="0.2">
      <c r="A1289" s="5">
        <v>1228</v>
      </c>
      <c r="B1289" s="138">
        <f>'Expenditures 15-22'!K152</f>
        <v>-1303431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363769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2840000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3205769</v>
      </c>
      <c r="C1317" s="2" t="s">
        <v>594</v>
      </c>
      <c r="D1317" s="2" t="str">
        <f t="shared" si="19"/>
        <v>Error?</v>
      </c>
    </row>
    <row r="1318" spans="1:4" x14ac:dyDescent="0.2">
      <c r="A1318" s="5">
        <v>1257</v>
      </c>
      <c r="B1318" s="138">
        <f>'Expenditures 15-22'!H174</f>
        <v>3205769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363769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2840000</v>
      </c>
      <c r="C1329" s="2" t="s">
        <v>594</v>
      </c>
      <c r="D1329" s="2" t="str">
        <f t="shared" si="19"/>
        <v>Error?</v>
      </c>
    </row>
    <row r="1330" spans="1:4" x14ac:dyDescent="0.2">
      <c r="A1330" s="5">
        <v>1269</v>
      </c>
      <c r="B1330" s="138">
        <f>'Expenditures 15-22'!K171</f>
        <v>2000</v>
      </c>
      <c r="C1330" s="2" t="s">
        <v>594</v>
      </c>
      <c r="D1330" s="2" t="str">
        <f t="shared" si="19"/>
        <v>Error?</v>
      </c>
    </row>
    <row r="1331" spans="1:4" x14ac:dyDescent="0.2">
      <c r="A1331" s="5">
        <v>1270</v>
      </c>
      <c r="B1331" s="138">
        <f>'Expenditures 15-22'!K172</f>
        <v>3205769</v>
      </c>
      <c r="C1331" s="2" t="s">
        <v>594</v>
      </c>
      <c r="D1331" s="2" t="str">
        <f t="shared" si="19"/>
        <v>Error?</v>
      </c>
    </row>
    <row r="1332" spans="1:4" x14ac:dyDescent="0.2">
      <c r="A1332" s="5">
        <v>1271</v>
      </c>
      <c r="B1332" s="138">
        <f>'Expenditures 15-22'!K174</f>
        <v>3205769</v>
      </c>
      <c r="C1332" s="2" t="s">
        <v>594</v>
      </c>
      <c r="D1332" s="2" t="str">
        <f t="shared" si="19"/>
        <v>Error?</v>
      </c>
    </row>
    <row r="1333" spans="1:4" x14ac:dyDescent="0.2">
      <c r="A1333" s="5">
        <v>1272</v>
      </c>
      <c r="B1333" s="138">
        <f>'Expenditures 15-22'!K175</f>
        <v>-258037</v>
      </c>
      <c r="C1333" s="2" t="s">
        <v>594</v>
      </c>
      <c r="D1333" s="2" t="str">
        <f t="shared" si="19"/>
        <v>Error?</v>
      </c>
    </row>
    <row r="1334" spans="1:4" x14ac:dyDescent="0.2">
      <c r="A1334" s="10">
        <v>1273</v>
      </c>
      <c r="D1334" s="2" t="str">
        <f t="shared" si="19"/>
        <v>OK</v>
      </c>
    </row>
    <row r="1335" spans="1:4" x14ac:dyDescent="0.2">
      <c r="A1335" s="5">
        <v>1274</v>
      </c>
      <c r="B1335" s="138">
        <f>'Expenditures 15-22'!C182</f>
        <v>865947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865947</v>
      </c>
      <c r="C1339" s="2" t="s">
        <v>594</v>
      </c>
      <c r="D1339" s="2" t="str">
        <f t="shared" si="19"/>
        <v>Error?</v>
      </c>
    </row>
    <row r="1340" spans="1:4" x14ac:dyDescent="0.2">
      <c r="A1340" s="5">
        <v>1279</v>
      </c>
      <c r="B1340" s="138">
        <f>'Expenditures 15-22'!C210</f>
        <v>865947</v>
      </c>
      <c r="C1340" s="2" t="s">
        <v>594</v>
      </c>
      <c r="D1340" s="2" t="str">
        <f t="shared" si="19"/>
        <v>Error?</v>
      </c>
    </row>
    <row r="1341" spans="1:4" x14ac:dyDescent="0.2">
      <c r="A1341" s="5">
        <v>1280</v>
      </c>
      <c r="B1341" s="138">
        <f>'Expenditures 15-22'!D182</f>
        <v>241681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241681</v>
      </c>
      <c r="C1345" s="2" t="s">
        <v>594</v>
      </c>
      <c r="D1345" s="2" t="str">
        <f t="shared" si="20"/>
        <v>Error?</v>
      </c>
    </row>
    <row r="1346" spans="1:4" x14ac:dyDescent="0.2">
      <c r="A1346" s="5">
        <v>1285</v>
      </c>
      <c r="B1346" s="138">
        <f>'Expenditures 15-22'!D210</f>
        <v>241681</v>
      </c>
      <c r="C1346" s="2" t="s">
        <v>594</v>
      </c>
      <c r="D1346" s="2" t="str">
        <f t="shared" si="20"/>
        <v>Error?</v>
      </c>
    </row>
    <row r="1347" spans="1:4" x14ac:dyDescent="0.2">
      <c r="A1347" s="5">
        <v>1286</v>
      </c>
      <c r="B1347" s="138">
        <f>'Expenditures 15-22'!E182</f>
        <v>207320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207320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207320</v>
      </c>
      <c r="C1353" s="2" t="s">
        <v>594</v>
      </c>
      <c r="D1353" s="2" t="str">
        <f t="shared" si="20"/>
        <v>Error?</v>
      </c>
    </row>
    <row r="1354" spans="1:4" x14ac:dyDescent="0.2">
      <c r="A1354" s="5">
        <v>1293</v>
      </c>
      <c r="B1354" s="138">
        <f>'Expenditures 15-22'!F182</f>
        <v>268035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268035</v>
      </c>
      <c r="C1358" s="2" t="s">
        <v>594</v>
      </c>
      <c r="D1358" s="2" t="str">
        <f t="shared" si="20"/>
        <v>Error?</v>
      </c>
    </row>
    <row r="1359" spans="1:4" x14ac:dyDescent="0.2">
      <c r="A1359" s="5">
        <v>1298</v>
      </c>
      <c r="B1359" s="138">
        <f>'Expenditures 15-22'!F210</f>
        <v>268035</v>
      </c>
      <c r="C1359" s="2" t="s">
        <v>594</v>
      </c>
      <c r="D1359" s="2" t="str">
        <f t="shared" si="20"/>
        <v>Error?</v>
      </c>
    </row>
    <row r="1360" spans="1:4" x14ac:dyDescent="0.2">
      <c r="A1360" s="5">
        <v>1299</v>
      </c>
      <c r="B1360" s="138">
        <f>'Expenditures 15-22'!G182</f>
        <v>35041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35041</v>
      </c>
      <c r="C1364" s="2" t="s">
        <v>594</v>
      </c>
      <c r="D1364" s="2" t="str">
        <f t="shared" si="20"/>
        <v>Error?</v>
      </c>
    </row>
    <row r="1365" spans="1:4" x14ac:dyDescent="0.2">
      <c r="A1365" s="5">
        <v>1304</v>
      </c>
      <c r="B1365" s="138">
        <f>'Expenditures 15-22'!G210</f>
        <v>35041</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1618024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1618024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1618024</v>
      </c>
      <c r="C1388" s="2" t="s">
        <v>594</v>
      </c>
      <c r="D1388" s="2" t="str">
        <f t="shared" si="20"/>
        <v>Error?</v>
      </c>
    </row>
    <row r="1389" spans="1:4" x14ac:dyDescent="0.2">
      <c r="A1389" s="5">
        <v>1328</v>
      </c>
      <c r="B1389" s="138">
        <f>'Expenditures 15-22'!K211</f>
        <v>258870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3923</v>
      </c>
      <c r="D1407" s="2" t="str">
        <f t="shared" ref="D1407:D1470" si="21">IF(ISBLANK(B1407),"OK",IF(A1407-B1407=0,"OK","Error?"))</f>
        <v>Error?</v>
      </c>
    </row>
    <row r="1408" spans="1:4" x14ac:dyDescent="0.2">
      <c r="A1408" s="5">
        <v>1347</v>
      </c>
      <c r="B1408" s="138">
        <f>'Expenditures 15-22'!D223</f>
        <v>11026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228054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1740</v>
      </c>
      <c r="D1412" s="2" t="str">
        <f t="shared" si="21"/>
        <v>Error?</v>
      </c>
    </row>
    <row r="1413" spans="1:4" x14ac:dyDescent="0.2">
      <c r="A1413" s="5">
        <v>1352</v>
      </c>
      <c r="B1413" s="138">
        <f>'Expenditures 15-22'!D234</f>
        <v>15551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2124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19415</v>
      </c>
      <c r="C1417" s="2" t="s">
        <v>594</v>
      </c>
      <c r="D1417" s="2" t="str">
        <f t="shared" si="21"/>
        <v>Error?</v>
      </c>
    </row>
    <row r="1418" spans="1:4" x14ac:dyDescent="0.2">
      <c r="A1418" s="5">
        <v>1357</v>
      </c>
      <c r="B1418" s="138">
        <f>'Expenditures 15-22'!D240</f>
        <v>8787</v>
      </c>
      <c r="D1418" s="2" t="str">
        <f t="shared" si="21"/>
        <v>Error?</v>
      </c>
    </row>
    <row r="1419" spans="1:4" x14ac:dyDescent="0.2">
      <c r="A1419" s="5">
        <v>1358</v>
      </c>
      <c r="B1419" s="138">
        <f>'Expenditures 15-22'!D241</f>
        <v>41833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50620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13414</v>
      </c>
      <c r="D1423" s="2" t="str">
        <f t="shared" si="21"/>
        <v>Error?</v>
      </c>
    </row>
    <row r="1424" spans="1:4" x14ac:dyDescent="0.2">
      <c r="A1424" s="5">
        <v>1363</v>
      </c>
      <c r="B1424" s="138">
        <f>'Expenditures 15-22'!D257</f>
        <v>48275</v>
      </c>
      <c r="C1424" s="2" t="s">
        <v>594</v>
      </c>
      <c r="D1424" s="2" t="str">
        <f t="shared" si="21"/>
        <v>Error?</v>
      </c>
    </row>
    <row r="1425" spans="1:4" x14ac:dyDescent="0.2">
      <c r="A1425" s="5">
        <v>1364</v>
      </c>
      <c r="B1425" s="138">
        <f>'Expenditures 15-22'!D259</f>
        <v>53439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53439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16832</v>
      </c>
      <c r="D1429" s="2" t="str">
        <f t="shared" si="21"/>
        <v>Error?</v>
      </c>
    </row>
    <row r="1430" spans="1:4" x14ac:dyDescent="0.2">
      <c r="A1430" s="5">
        <v>1369</v>
      </c>
      <c r="B1430" s="138">
        <f>'Expenditures 15-22'!D265</f>
        <v>4552</v>
      </c>
      <c r="D1430" s="2" t="str">
        <f t="shared" si="21"/>
        <v>Error?</v>
      </c>
    </row>
    <row r="1431" spans="1:4" x14ac:dyDescent="0.2">
      <c r="A1431" s="5">
        <v>1370</v>
      </c>
      <c r="B1431" s="138">
        <f>'Expenditures 15-22'!D266</f>
        <v>106217</v>
      </c>
      <c r="D1431" s="2" t="str">
        <f t="shared" si="21"/>
        <v>Error?</v>
      </c>
    </row>
    <row r="1432" spans="1:4" x14ac:dyDescent="0.2">
      <c r="A1432" s="5">
        <v>1371</v>
      </c>
      <c r="B1432" s="138">
        <f>'Expenditures 15-22'!D267</f>
        <v>149739</v>
      </c>
      <c r="D1432" s="2" t="str">
        <f t="shared" si="21"/>
        <v>Error?</v>
      </c>
    </row>
    <row r="1433" spans="1:4" x14ac:dyDescent="0.2">
      <c r="A1433" s="5">
        <v>1372</v>
      </c>
      <c r="B1433" s="138">
        <f>'Expenditures 15-22'!D268</f>
        <v>51678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329018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500767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728821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3923</v>
      </c>
      <c r="C1471" s="2" t="s">
        <v>594</v>
      </c>
      <c r="D1471" s="2" t="str">
        <f t="shared" ref="D1471:D1534" si="22">IF(ISBLANK(B1471),"OK",IF(A1471-B1471=0,"OK","Error?"))</f>
        <v>Error?</v>
      </c>
    </row>
    <row r="1472" spans="1:4" x14ac:dyDescent="0.2">
      <c r="A1472" s="5">
        <v>1411</v>
      </c>
      <c r="B1472" s="138">
        <f>'Expenditures 15-22'!K223</f>
        <v>11026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228054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1740</v>
      </c>
      <c r="C1476" s="2" t="s">
        <v>594</v>
      </c>
      <c r="D1476" s="2" t="str">
        <f t="shared" si="22"/>
        <v>Error?</v>
      </c>
    </row>
    <row r="1477" spans="1:4" x14ac:dyDescent="0.2">
      <c r="A1477" s="5">
        <v>1416</v>
      </c>
      <c r="B1477" s="138">
        <f>'Expenditures 15-22'!K234</f>
        <v>15551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2124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19415</v>
      </c>
      <c r="C1481" s="2" t="s">
        <v>594</v>
      </c>
      <c r="D1481" s="2" t="str">
        <f t="shared" si="22"/>
        <v>Error?</v>
      </c>
    </row>
    <row r="1482" spans="1:4" x14ac:dyDescent="0.2">
      <c r="A1482" s="5">
        <v>1421</v>
      </c>
      <c r="B1482" s="138">
        <f>'Expenditures 15-22'!K240</f>
        <v>8787</v>
      </c>
      <c r="C1482" s="2" t="s">
        <v>594</v>
      </c>
      <c r="D1482" s="2" t="str">
        <f t="shared" si="22"/>
        <v>Error?</v>
      </c>
    </row>
    <row r="1483" spans="1:4" x14ac:dyDescent="0.2">
      <c r="A1483" s="5">
        <v>1422</v>
      </c>
      <c r="B1483" s="138">
        <f>'Expenditures 15-22'!K241</f>
        <v>41833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50620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13414</v>
      </c>
      <c r="C1487" s="2" t="s">
        <v>594</v>
      </c>
      <c r="D1487" s="2" t="str">
        <f t="shared" si="22"/>
        <v>Error?</v>
      </c>
    </row>
    <row r="1488" spans="1:4" x14ac:dyDescent="0.2">
      <c r="A1488" s="5">
        <v>1427</v>
      </c>
      <c r="B1488" s="138">
        <f>'Expenditures 15-22'!K257</f>
        <v>48275</v>
      </c>
      <c r="C1488" s="2" t="s">
        <v>594</v>
      </c>
      <c r="D1488" s="2" t="str">
        <f t="shared" si="22"/>
        <v>Error?</v>
      </c>
    </row>
    <row r="1489" spans="1:4" x14ac:dyDescent="0.2">
      <c r="A1489" s="5">
        <v>1428</v>
      </c>
      <c r="B1489" s="138">
        <f>'Expenditures 15-22'!K259</f>
        <v>53439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53439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16832</v>
      </c>
      <c r="C1493" s="2" t="s">
        <v>594</v>
      </c>
      <c r="D1493" s="2" t="str">
        <f t="shared" si="22"/>
        <v>Error?</v>
      </c>
    </row>
    <row r="1494" spans="1:4" x14ac:dyDescent="0.2">
      <c r="A1494" s="5">
        <v>1433</v>
      </c>
      <c r="B1494" s="138">
        <f>'Expenditures 15-22'!K265</f>
        <v>4552</v>
      </c>
      <c r="C1494" s="2" t="s">
        <v>594</v>
      </c>
      <c r="D1494" s="2" t="str">
        <f t="shared" si="22"/>
        <v>Error?</v>
      </c>
    </row>
    <row r="1495" spans="1:4" x14ac:dyDescent="0.2">
      <c r="A1495" s="5">
        <v>1434</v>
      </c>
      <c r="B1495" s="138">
        <f>'Expenditures 15-22'!K266</f>
        <v>106217</v>
      </c>
      <c r="C1495" s="2" t="s">
        <v>594</v>
      </c>
      <c r="D1495" s="2" t="str">
        <f t="shared" si="22"/>
        <v>Error?</v>
      </c>
    </row>
    <row r="1496" spans="1:4" x14ac:dyDescent="0.2">
      <c r="A1496" s="5">
        <v>1435</v>
      </c>
      <c r="B1496" s="138">
        <f>'Expenditures 15-22'!K267</f>
        <v>149739</v>
      </c>
      <c r="C1496" s="2" t="s">
        <v>594</v>
      </c>
      <c r="D1496" s="2" t="str">
        <f t="shared" si="22"/>
        <v>Error?</v>
      </c>
    </row>
    <row r="1497" spans="1:4" x14ac:dyDescent="0.2">
      <c r="A1497" s="5">
        <v>1436</v>
      </c>
      <c r="B1497" s="138">
        <f>'Expenditures 15-22'!K268</f>
        <v>51678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329018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500767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728821</v>
      </c>
      <c r="C1517" s="2" t="s">
        <v>594</v>
      </c>
      <c r="D1517" s="2" t="str">
        <f t="shared" si="22"/>
        <v>Error?</v>
      </c>
    </row>
    <row r="1518" spans="1:4" x14ac:dyDescent="0.2">
      <c r="A1518" s="5">
        <v>1457</v>
      </c>
      <c r="B1518" s="138">
        <f>'Expenditures 15-22'!K296</f>
        <v>115108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3661718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3661718</v>
      </c>
      <c r="C1547" s="2" t="s">
        <v>594</v>
      </c>
      <c r="D1547" s="2" t="str">
        <f t="shared" si="23"/>
        <v>Error?</v>
      </c>
    </row>
    <row r="1548" spans="1:4" x14ac:dyDescent="0.2">
      <c r="A1548" s="5">
        <v>1487</v>
      </c>
      <c r="B1548" s="138">
        <f>'Expenditures 15-22'!G312</f>
        <v>3661718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3661718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3661718</v>
      </c>
      <c r="C1559" s="2" t="s">
        <v>594</v>
      </c>
      <c r="D1559" s="2" t="str">
        <f t="shared" si="23"/>
        <v>Error?</v>
      </c>
    </row>
    <row r="1560" spans="1:4" x14ac:dyDescent="0.2">
      <c r="A1560" s="5">
        <v>1499</v>
      </c>
      <c r="B1560" s="138">
        <f>'Expenditures 15-22'!K312</f>
        <v>3661718</v>
      </c>
      <c r="C1560" s="2" t="s">
        <v>594</v>
      </c>
      <c r="D1560" s="2" t="str">
        <f t="shared" si="23"/>
        <v>Error?</v>
      </c>
    </row>
    <row r="1561" spans="1:4" x14ac:dyDescent="0.2">
      <c r="A1561" s="5">
        <v>1500</v>
      </c>
      <c r="B1561" s="138">
        <f>'Expenditures 15-22'!K313</f>
        <v>-3439412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5523269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6913944</v>
      </c>
      <c r="C1630" s="2" t="s">
        <v>594</v>
      </c>
      <c r="D1630" s="2" t="str">
        <f t="shared" si="24"/>
        <v>Error?</v>
      </c>
    </row>
    <row r="1631" spans="1:4" x14ac:dyDescent="0.2">
      <c r="A1631" s="5">
        <v>1570</v>
      </c>
      <c r="B1631" s="138">
        <f>'Acct Summary 7-8'!D79</f>
        <v>1367426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1313995</v>
      </c>
      <c r="C1644" s="2" t="s">
        <v>594</v>
      </c>
      <c r="D1644" s="2" t="str">
        <f t="shared" si="24"/>
        <v>Error?</v>
      </c>
    </row>
    <row r="1645" spans="1:4" x14ac:dyDescent="0.2">
      <c r="A1645" s="5">
        <v>1584</v>
      </c>
      <c r="B1645" s="138">
        <f>'Acct Summary 7-8'!E79</f>
        <v>937722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679685</v>
      </c>
      <c r="C1658" s="2" t="s">
        <v>594</v>
      </c>
      <c r="D1658" s="2" t="str">
        <f t="shared" si="24"/>
        <v>Error?</v>
      </c>
    </row>
    <row r="1659" spans="1:4" x14ac:dyDescent="0.2">
      <c r="A1659" s="5">
        <v>1598</v>
      </c>
      <c r="B1659" s="138">
        <f>'Acct Summary 7-8'!F79</f>
        <v>828660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2087530</v>
      </c>
      <c r="C1672" s="2" t="s">
        <v>594</v>
      </c>
      <c r="D1672" s="2" t="str">
        <f t="shared" si="25"/>
        <v>Error?</v>
      </c>
    </row>
    <row r="1673" spans="1:4" x14ac:dyDescent="0.2">
      <c r="A1673" s="5">
        <v>1612</v>
      </c>
      <c r="B1673" s="138">
        <f>'Acct Summary 7-8'!G79</f>
        <v>720829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835937</v>
      </c>
      <c r="C1686" s="2" t="s">
        <v>594</v>
      </c>
      <c r="D1686" s="2" t="str">
        <f t="shared" si="25"/>
        <v>Error?</v>
      </c>
    </row>
    <row r="1687" spans="1:4" x14ac:dyDescent="0.2">
      <c r="A1687" s="5">
        <v>1626</v>
      </c>
      <c r="B1687" s="138">
        <f>'Acct Summary 7-8'!H79</f>
        <v>126389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621026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8358891</v>
      </c>
      <c r="C1744" s="2" t="s">
        <v>594</v>
      </c>
      <c r="D1744" s="2" t="str">
        <f t="shared" si="26"/>
        <v>Error?</v>
      </c>
    </row>
    <row r="1745" spans="1:5" x14ac:dyDescent="0.2">
      <c r="A1745" s="5">
        <v>1684</v>
      </c>
      <c r="B1745" s="138">
        <f>'Tax Sched 23'!B5</f>
        <v>1448684</v>
      </c>
      <c r="C1745" s="2" t="s">
        <v>594</v>
      </c>
      <c r="D1745" s="2" t="str">
        <f t="shared" si="26"/>
        <v>Error?</v>
      </c>
    </row>
    <row r="1746" spans="1:5" x14ac:dyDescent="0.2">
      <c r="A1746" s="5">
        <v>1685</v>
      </c>
      <c r="B1746" s="138">
        <f>'Tax Sched 23'!B6</f>
        <v>2937440</v>
      </c>
      <c r="C1746" s="2" t="s">
        <v>594</v>
      </c>
      <c r="D1746" s="2" t="str">
        <f t="shared" si="26"/>
        <v>Error?</v>
      </c>
    </row>
    <row r="1747" spans="1:5" x14ac:dyDescent="0.2">
      <c r="A1747" s="5">
        <v>1686</v>
      </c>
      <c r="B1747" s="138">
        <f>'Tax Sched 23'!B7</f>
        <v>579474</v>
      </c>
      <c r="C1747" s="2" t="s">
        <v>594</v>
      </c>
      <c r="D1747" s="2" t="str">
        <f t="shared" si="26"/>
        <v>Error?</v>
      </c>
    </row>
    <row r="1748" spans="1:5" x14ac:dyDescent="0.2">
      <c r="A1748" s="5">
        <v>1687</v>
      </c>
      <c r="B1748" s="138">
        <f>'Tax Sched 23'!B8</f>
        <v>467297</v>
      </c>
      <c r="C1748" s="2" t="s">
        <v>594</v>
      </c>
      <c r="D1748" s="2" t="str">
        <f t="shared" si="26"/>
        <v>Error?</v>
      </c>
    </row>
    <row r="1749" spans="1:5" x14ac:dyDescent="0.2">
      <c r="A1749" s="5">
        <v>1688</v>
      </c>
      <c r="B1749" s="138">
        <f>'Tax Sched 23'!B10</f>
        <v>144868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1093034</v>
      </c>
      <c r="C1752" s="2" t="s">
        <v>594</v>
      </c>
      <c r="D1752" s="2" t="str">
        <f t="shared" si="26"/>
        <v>Error?</v>
      </c>
    </row>
    <row r="1753" spans="1:5" x14ac:dyDescent="0.2">
      <c r="A1753" s="5">
        <v>1692</v>
      </c>
      <c r="B1753" s="138">
        <f>'Tax Sched 23'!B12</f>
        <v>144868</v>
      </c>
      <c r="C1753" s="2" t="s">
        <v>594</v>
      </c>
      <c r="D1753" s="2" t="str">
        <f t="shared" si="26"/>
        <v>Error?</v>
      </c>
    </row>
    <row r="1754" spans="1:5" x14ac:dyDescent="0.2">
      <c r="A1754" s="5">
        <v>1693</v>
      </c>
      <c r="B1754" s="138">
        <f>'Tax Sched 23'!B14</f>
        <v>115894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15726037</v>
      </c>
      <c r="C1759" s="2" t="s">
        <v>594</v>
      </c>
      <c r="D1759" s="2" t="str">
        <f t="shared" si="26"/>
        <v>Error?</v>
      </c>
    </row>
    <row r="1760" spans="1:5" x14ac:dyDescent="0.2">
      <c r="A1760" s="5">
        <v>1699</v>
      </c>
      <c r="B1760" s="138">
        <f>'Tax Sched 23'!D4</f>
        <v>6053947</v>
      </c>
      <c r="C1760" s="2" t="s">
        <v>594</v>
      </c>
      <c r="D1760" s="2" t="str">
        <f t="shared" si="26"/>
        <v>Error?</v>
      </c>
    </row>
    <row r="1761" spans="1:5" x14ac:dyDescent="0.2">
      <c r="A1761" s="5">
        <v>1700</v>
      </c>
      <c r="B1761" s="138">
        <f>'Tax Sched 23'!D5</f>
        <v>1050692</v>
      </c>
      <c r="C1761" s="2" t="s">
        <v>594</v>
      </c>
      <c r="D1761" s="2" t="str">
        <f t="shared" si="26"/>
        <v>Error?</v>
      </c>
    </row>
    <row r="1762" spans="1:5" s="8" customFormat="1" x14ac:dyDescent="0.2">
      <c r="A1762" s="5">
        <v>1701</v>
      </c>
      <c r="B1762" s="138">
        <f>'Tax Sched 23'!D6</f>
        <v>2181145</v>
      </c>
      <c r="C1762" s="2" t="s">
        <v>594</v>
      </c>
      <c r="D1762" s="2" t="str">
        <f t="shared" si="26"/>
        <v>Error?</v>
      </c>
      <c r="E1762" s="9"/>
    </row>
    <row r="1763" spans="1:5" x14ac:dyDescent="0.2">
      <c r="A1763" s="5">
        <v>1702</v>
      </c>
      <c r="B1763" s="138">
        <f>'Tax Sched 23'!D7</f>
        <v>420277</v>
      </c>
      <c r="C1763" s="2" t="s">
        <v>594</v>
      </c>
      <c r="D1763" s="2" t="str">
        <f t="shared" si="26"/>
        <v>Error?</v>
      </c>
    </row>
    <row r="1764" spans="1:5" x14ac:dyDescent="0.2">
      <c r="A1764" s="5">
        <v>1703</v>
      </c>
      <c r="B1764" s="138">
        <f>'Tax Sched 23'!D8</f>
        <v>319610</v>
      </c>
      <c r="C1764" s="2" t="s">
        <v>594</v>
      </c>
      <c r="D1764" s="2" t="str">
        <f t="shared" si="26"/>
        <v>Error?</v>
      </c>
    </row>
    <row r="1765" spans="1:5" x14ac:dyDescent="0.2">
      <c r="A1765" s="5">
        <v>1704</v>
      </c>
      <c r="B1765" s="138">
        <f>'Tax Sched 23'!D10</f>
        <v>105069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713939</v>
      </c>
      <c r="C1768" s="2" t="s">
        <v>594</v>
      </c>
      <c r="D1768" s="2" t="str">
        <f t="shared" si="26"/>
        <v>Error?</v>
      </c>
    </row>
    <row r="1769" spans="1:5" x14ac:dyDescent="0.2">
      <c r="A1769" s="5">
        <v>1708</v>
      </c>
      <c r="B1769" s="138">
        <f>'Tax Sched 23'!D12</f>
        <v>105069</v>
      </c>
      <c r="C1769" s="2" t="s">
        <v>594</v>
      </c>
      <c r="D1769" s="2" t="str">
        <f t="shared" si="26"/>
        <v>Error?</v>
      </c>
    </row>
    <row r="1770" spans="1:5" x14ac:dyDescent="0.2">
      <c r="A1770" s="5">
        <v>1709</v>
      </c>
      <c r="B1770" s="138">
        <f>'Tax Sched 23'!D14</f>
        <v>84055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11373602</v>
      </c>
      <c r="C1775" s="2" t="s">
        <v>594</v>
      </c>
      <c r="D1775" s="2" t="str">
        <f t="shared" si="26"/>
        <v>Error?</v>
      </c>
    </row>
    <row r="1776" spans="1:5" x14ac:dyDescent="0.2">
      <c r="A1776" s="5">
        <v>1715</v>
      </c>
      <c r="B1776" s="138">
        <f>'Tax Sched 23'!C4</f>
        <v>2304944</v>
      </c>
      <c r="D1776" s="2" t="str">
        <f t="shared" si="26"/>
        <v>Error?</v>
      </c>
    </row>
    <row r="1777" spans="1:4" x14ac:dyDescent="0.2">
      <c r="A1777" s="5">
        <v>1716</v>
      </c>
      <c r="B1777" s="138">
        <f>'Tax Sched 23'!C5</f>
        <v>397992</v>
      </c>
      <c r="D1777" s="2" t="str">
        <f t="shared" si="26"/>
        <v>Error?</v>
      </c>
    </row>
    <row r="1778" spans="1:4" x14ac:dyDescent="0.2">
      <c r="A1778" s="5">
        <v>1717</v>
      </c>
      <c r="B1778" s="138">
        <f>'Tax Sched 23'!C6</f>
        <v>756295</v>
      </c>
      <c r="D1778" s="2" t="str">
        <f t="shared" si="26"/>
        <v>Error?</v>
      </c>
    </row>
    <row r="1779" spans="1:4" x14ac:dyDescent="0.2">
      <c r="A1779" s="5">
        <v>1718</v>
      </c>
      <c r="B1779" s="138">
        <f>'Tax Sched 23'!C7</f>
        <v>159197</v>
      </c>
      <c r="D1779" s="2" t="str">
        <f t="shared" si="26"/>
        <v>Error?</v>
      </c>
    </row>
    <row r="1780" spans="1:4" x14ac:dyDescent="0.2">
      <c r="A1780" s="5">
        <v>1719</v>
      </c>
      <c r="B1780" s="138">
        <f>'Tax Sched 23'!C8</f>
        <v>147687</v>
      </c>
      <c r="D1780" s="2" t="str">
        <f t="shared" si="26"/>
        <v>Error?</v>
      </c>
    </row>
    <row r="1781" spans="1:4" x14ac:dyDescent="0.2">
      <c r="A1781" s="5">
        <v>1720</v>
      </c>
      <c r="B1781" s="138">
        <f>'Tax Sched 23'!C10</f>
        <v>39799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379095</v>
      </c>
      <c r="D1784" s="2" t="str">
        <f t="shared" si="26"/>
        <v>Error?</v>
      </c>
    </row>
    <row r="1785" spans="1:4" x14ac:dyDescent="0.2">
      <c r="A1785" s="5">
        <v>1724</v>
      </c>
      <c r="B1785" s="138">
        <f>'Tax Sched 23'!C12</f>
        <v>39799</v>
      </c>
      <c r="D1785" s="2" t="str">
        <f t="shared" si="26"/>
        <v>Error?</v>
      </c>
    </row>
    <row r="1786" spans="1:4" x14ac:dyDescent="0.2">
      <c r="A1786" s="5">
        <v>1725</v>
      </c>
      <c r="B1786" s="138">
        <f>'Tax Sched 23'!C14</f>
        <v>31839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4352435</v>
      </c>
      <c r="C1791" s="2" t="s">
        <v>594</v>
      </c>
      <c r="D1791" s="2" t="str">
        <f t="shared" ref="D1791:D1854" si="27">IF(ISBLANK(B1791),"OK",IF(A1791-B1791=0,"OK","Error?"))</f>
        <v>Error?</v>
      </c>
    </row>
    <row r="1792" spans="1:4" x14ac:dyDescent="0.2">
      <c r="A1792" s="5">
        <v>1731</v>
      </c>
      <c r="B1792" s="138">
        <f>'Tax Sched 23'!F4</f>
        <v>6104230</v>
      </c>
      <c r="C1792" s="2" t="s">
        <v>594</v>
      </c>
      <c r="D1792" s="2" t="str">
        <f t="shared" si="27"/>
        <v>Error?</v>
      </c>
    </row>
    <row r="1793" spans="1:4" x14ac:dyDescent="0.2">
      <c r="A1793" s="5">
        <v>1732</v>
      </c>
      <c r="B1793" s="138">
        <f>'Tax Sched 23'!F5</f>
        <v>1054009</v>
      </c>
      <c r="C1793" s="2" t="s">
        <v>594</v>
      </c>
      <c r="D1793" s="2" t="str">
        <f t="shared" si="27"/>
        <v>Error?</v>
      </c>
    </row>
    <row r="1794" spans="1:4" x14ac:dyDescent="0.2">
      <c r="A1794" s="5">
        <v>1733</v>
      </c>
      <c r="B1794" s="138">
        <f>'Tax Sched 23'!F6</f>
        <v>2002913</v>
      </c>
      <c r="C1794" s="2" t="s">
        <v>594</v>
      </c>
      <c r="D1794" s="2" t="str">
        <f t="shared" si="27"/>
        <v>Error?</v>
      </c>
    </row>
    <row r="1795" spans="1:4" x14ac:dyDescent="0.2">
      <c r="A1795" s="5">
        <v>1734</v>
      </c>
      <c r="B1795" s="138">
        <f>'Tax Sched 23'!F7</f>
        <v>421603</v>
      </c>
      <c r="C1795" s="2" t="s">
        <v>594</v>
      </c>
      <c r="D1795" s="2" t="str">
        <f t="shared" si="27"/>
        <v>Error?</v>
      </c>
    </row>
    <row r="1796" spans="1:4" x14ac:dyDescent="0.2">
      <c r="A1796" s="5">
        <v>1735</v>
      </c>
      <c r="B1796" s="138">
        <f>'Tax Sched 23'!F8</f>
        <v>391121</v>
      </c>
      <c r="C1796" s="2" t="s">
        <v>594</v>
      </c>
      <c r="D1796" s="2" t="str">
        <f t="shared" si="27"/>
        <v>Error?</v>
      </c>
    </row>
    <row r="1797" spans="1:4" x14ac:dyDescent="0.2">
      <c r="A1797" s="5">
        <v>1736</v>
      </c>
      <c r="B1797" s="138">
        <f>'Tax Sched 23'!F10</f>
        <v>105401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1003965</v>
      </c>
      <c r="C1800" s="2" t="s">
        <v>594</v>
      </c>
      <c r="D1800" s="2" t="str">
        <f t="shared" si="27"/>
        <v>Error?</v>
      </c>
    </row>
    <row r="1801" spans="1:4" x14ac:dyDescent="0.2">
      <c r="A1801" s="5">
        <v>1740</v>
      </c>
      <c r="B1801" s="138">
        <f>'Tax Sched 23'!F12</f>
        <v>105401</v>
      </c>
      <c r="C1801" s="2" t="s">
        <v>594</v>
      </c>
      <c r="D1801" s="2" t="str">
        <f t="shared" si="27"/>
        <v>Error?</v>
      </c>
    </row>
    <row r="1802" spans="1:4" x14ac:dyDescent="0.2">
      <c r="A1802" s="5">
        <v>1741</v>
      </c>
      <c r="B1802" s="138">
        <f>'Tax Sched 23'!F14</f>
        <v>84321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11526643</v>
      </c>
      <c r="C1807" s="2" t="s">
        <v>594</v>
      </c>
      <c r="D1807" s="2" t="str">
        <f t="shared" si="27"/>
        <v>Error?</v>
      </c>
    </row>
    <row r="1808" spans="1:4" x14ac:dyDescent="0.2">
      <c r="A1808" s="5">
        <v>1747</v>
      </c>
      <c r="B1808" s="138">
        <f>'Tax Sched 23'!E4</f>
        <v>8409174</v>
      </c>
      <c r="D1808" s="2" t="str">
        <f t="shared" si="27"/>
        <v>Error?</v>
      </c>
    </row>
    <row r="1809" spans="1:4" x14ac:dyDescent="0.2">
      <c r="A1809" s="5">
        <v>1748</v>
      </c>
      <c r="B1809" s="138">
        <f>'Tax Sched 23'!E5</f>
        <v>1452001</v>
      </c>
      <c r="D1809" s="2" t="str">
        <f t="shared" si="27"/>
        <v>Error?</v>
      </c>
    </row>
    <row r="1810" spans="1:4" x14ac:dyDescent="0.2">
      <c r="A1810" s="5">
        <v>1749</v>
      </c>
      <c r="B1810" s="138">
        <f>'Tax Sched 23'!E6</f>
        <v>2759208</v>
      </c>
      <c r="D1810" s="2" t="str">
        <f t="shared" si="27"/>
        <v>Error?</v>
      </c>
    </row>
    <row r="1811" spans="1:4" x14ac:dyDescent="0.2">
      <c r="A1811" s="5">
        <v>1750</v>
      </c>
      <c r="B1811" s="138">
        <f>'Tax Sched 23'!E7</f>
        <v>580800</v>
      </c>
      <c r="D1811" s="2" t="str">
        <f t="shared" si="27"/>
        <v>Error?</v>
      </c>
    </row>
    <row r="1812" spans="1:4" x14ac:dyDescent="0.2">
      <c r="A1812" s="5">
        <v>1751</v>
      </c>
      <c r="B1812" s="138">
        <f>'Tax Sched 23'!E8</f>
        <v>538808</v>
      </c>
      <c r="D1812" s="2" t="str">
        <f t="shared" si="27"/>
        <v>Error?</v>
      </c>
    </row>
    <row r="1813" spans="1:4" x14ac:dyDescent="0.2">
      <c r="A1813" s="5">
        <v>1752</v>
      </c>
      <c r="B1813" s="138">
        <f>'Tax Sched 23'!E10</f>
        <v>145200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1383060</v>
      </c>
      <c r="D1816" s="2" t="str">
        <f t="shared" si="27"/>
        <v>Error?</v>
      </c>
    </row>
    <row r="1817" spans="1:4" x14ac:dyDescent="0.2">
      <c r="A1817" s="5">
        <v>1756</v>
      </c>
      <c r="B1817" s="138">
        <f>'Tax Sched 23'!E12</f>
        <v>145200</v>
      </c>
      <c r="D1817" s="2" t="str">
        <f t="shared" si="27"/>
        <v>Error?</v>
      </c>
    </row>
    <row r="1818" spans="1:4" x14ac:dyDescent="0.2">
      <c r="A1818" s="5">
        <v>1757</v>
      </c>
      <c r="B1818" s="138">
        <f>'Tax Sched 23'!E14</f>
        <v>116160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15879078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13790000</v>
      </c>
      <c r="C1939" s="2" t="s">
        <v>594</v>
      </c>
      <c r="D1939" s="2" t="str">
        <f t="shared" si="29"/>
        <v>Error?</v>
      </c>
    </row>
    <row r="1940" spans="1:5" x14ac:dyDescent="0.2">
      <c r="A1940" s="5">
        <v>1879</v>
      </c>
      <c r="B1940" s="138">
        <f>'Short-Term Long-Term Debt 24'!F49</f>
        <v>5400000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115894</v>
      </c>
      <c r="D1972" s="2" t="str">
        <f t="shared" si="29"/>
        <v>Error?</v>
      </c>
    </row>
    <row r="1973" spans="1:5" x14ac:dyDescent="0.2">
      <c r="A1973" s="5">
        <v>1912</v>
      </c>
      <c r="B1973" s="138">
        <f>'Rest Tax Levies-Tort Im 25'!H6</f>
        <v>30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115924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115924</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115924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464604</v>
      </c>
      <c r="D2008" s="2" t="str">
        <f t="shared" si="30"/>
        <v>Error?</v>
      </c>
    </row>
    <row r="2009" spans="1:4" x14ac:dyDescent="0.2">
      <c r="A2009" s="5">
        <v>1948</v>
      </c>
      <c r="B2009" s="138">
        <f>'Cap Outlay Deprec 26'!C8</f>
        <v>38800243</v>
      </c>
      <c r="D2009" s="2" t="str">
        <f t="shared" si="30"/>
        <v>Error?</v>
      </c>
    </row>
    <row r="2010" spans="1:4" x14ac:dyDescent="0.2">
      <c r="A2010" s="5">
        <v>1949</v>
      </c>
      <c r="B2010" s="138">
        <f>'Cap Outlay Deprec 26'!C10</f>
        <v>738926</v>
      </c>
      <c r="D2010" s="2" t="str">
        <f t="shared" si="30"/>
        <v>Error?</v>
      </c>
    </row>
    <row r="2011" spans="1:4" x14ac:dyDescent="0.2">
      <c r="A2011" s="5">
        <v>1950</v>
      </c>
      <c r="B2011" s="138">
        <f>'Cap Outlay Deprec 26'!C12</f>
        <v>3119773</v>
      </c>
      <c r="D2011" s="2" t="str">
        <f t="shared" si="30"/>
        <v>Error?</v>
      </c>
    </row>
    <row r="2012" spans="1:4" x14ac:dyDescent="0.2">
      <c r="A2012" s="5">
        <v>1951</v>
      </c>
      <c r="B2012" s="138">
        <f>'Cap Outlay Deprec 26'!C13</f>
        <v>1924919</v>
      </c>
      <c r="D2012" s="2" t="str">
        <f t="shared" si="30"/>
        <v>Error?</v>
      </c>
    </row>
    <row r="2013" spans="1:4" x14ac:dyDescent="0.2">
      <c r="A2013" s="5">
        <v>1952</v>
      </c>
      <c r="B2013" s="138">
        <f>'Cap Outlay Deprec 26'!C16</f>
        <v>45185690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1594878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138857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5215453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277408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390408</v>
      </c>
      <c r="C2025" s="2" t="s">
        <v>594</v>
      </c>
      <c r="D2025" s="2" t="str">
        <f t="shared" si="30"/>
        <v>Error?</v>
      </c>
    </row>
    <row r="2026" spans="1:4" x14ac:dyDescent="0.2">
      <c r="A2026" s="5">
        <v>1965</v>
      </c>
      <c r="B2026" s="138">
        <f>'Cap Outlay Deprec 26'!F5</f>
        <v>464604</v>
      </c>
      <c r="C2026" s="2" t="s">
        <v>594</v>
      </c>
      <c r="D2026" s="2" t="str">
        <f t="shared" si="30"/>
        <v>Error?</v>
      </c>
    </row>
    <row r="2027" spans="1:4" x14ac:dyDescent="0.2">
      <c r="A2027" s="5">
        <v>1966</v>
      </c>
      <c r="B2027" s="138">
        <f>'Cap Outlay Deprec 26'!F8</f>
        <v>40395121</v>
      </c>
      <c r="C2027" s="2" t="s">
        <v>594</v>
      </c>
      <c r="D2027" s="2" t="str">
        <f t="shared" si="30"/>
        <v>Error?</v>
      </c>
    </row>
    <row r="2028" spans="1:4" x14ac:dyDescent="0.2">
      <c r="A2028" s="5">
        <v>1967</v>
      </c>
      <c r="B2028" s="138">
        <f>'Cap Outlay Deprec 26'!F10</f>
        <v>738926</v>
      </c>
      <c r="C2028" s="2" t="s">
        <v>594</v>
      </c>
      <c r="D2028" s="2" t="str">
        <f t="shared" si="30"/>
        <v>Error?</v>
      </c>
    </row>
    <row r="2029" spans="1:4" x14ac:dyDescent="0.2">
      <c r="A2029" s="5">
        <v>1968</v>
      </c>
      <c r="B2029" s="138">
        <f>'Cap Outlay Deprec 26'!F12</f>
        <v>2981222</v>
      </c>
      <c r="C2029" s="2" t="s">
        <v>594</v>
      </c>
      <c r="D2029" s="2" t="str">
        <f t="shared" si="30"/>
        <v>Error?</v>
      </c>
    </row>
    <row r="2030" spans="1:4" x14ac:dyDescent="0.2">
      <c r="A2030" s="5">
        <v>1969</v>
      </c>
      <c r="B2030" s="138">
        <f>'Cap Outlay Deprec 26'!F13</f>
        <v>1924919</v>
      </c>
      <c r="C2030" s="2" t="s">
        <v>594</v>
      </c>
      <c r="D2030" s="2" t="str">
        <f t="shared" si="30"/>
        <v>Error?</v>
      </c>
    </row>
    <row r="2031" spans="1:4" x14ac:dyDescent="0.2">
      <c r="A2031" s="5">
        <v>1970</v>
      </c>
      <c r="B2031" s="138">
        <f>'Cap Outlay Deprec 26'!F16</f>
        <v>50010735</v>
      </c>
      <c r="C2031" s="2" t="s">
        <v>594</v>
      </c>
      <c r="D2031" s="2" t="str">
        <f t="shared" si="30"/>
        <v>Error?</v>
      </c>
    </row>
    <row r="2032" spans="1:4" x14ac:dyDescent="0.2">
      <c r="A2032" s="10">
        <v>1971</v>
      </c>
      <c r="D2032" s="2" t="str">
        <f t="shared" si="30"/>
        <v>OK</v>
      </c>
    </row>
    <row r="2033" spans="1:4" x14ac:dyDescent="0.2">
      <c r="A2033" s="5">
        <v>1972</v>
      </c>
      <c r="B2033" s="138">
        <f>'Cap Outlay Deprec 26'!H8</f>
        <v>19648873</v>
      </c>
      <c r="D2033" s="2" t="str">
        <f t="shared" si="30"/>
        <v>Error?</v>
      </c>
    </row>
    <row r="2034" spans="1:4" x14ac:dyDescent="0.2">
      <c r="A2034" s="5">
        <v>1973</v>
      </c>
      <c r="B2034" s="138">
        <f>'Cap Outlay Deprec 26'!H10</f>
        <v>701562</v>
      </c>
      <c r="D2034" s="2" t="str">
        <f t="shared" si="30"/>
        <v>Error?</v>
      </c>
    </row>
    <row r="2035" spans="1:4" x14ac:dyDescent="0.2">
      <c r="A2035" s="5">
        <v>1974</v>
      </c>
      <c r="B2035" s="138">
        <f>'Cap Outlay Deprec 26'!H12</f>
        <v>1781530</v>
      </c>
      <c r="D2035" s="2" t="str">
        <f t="shared" si="30"/>
        <v>Error?</v>
      </c>
    </row>
    <row r="2036" spans="1:4" x14ac:dyDescent="0.2">
      <c r="A2036" s="5">
        <v>1975</v>
      </c>
      <c r="B2036" s="138">
        <f>'Cap Outlay Deprec 26'!H13</f>
        <v>1777338</v>
      </c>
      <c r="D2036" s="2" t="str">
        <f t="shared" si="30"/>
        <v>Error?</v>
      </c>
    </row>
    <row r="2037" spans="1:4" x14ac:dyDescent="0.2">
      <c r="A2037" s="5">
        <v>1976</v>
      </c>
      <c r="B2037" s="138">
        <f>'Cap Outlay Deprec 26'!H16</f>
        <v>23925453</v>
      </c>
      <c r="C2037" s="2" t="s">
        <v>594</v>
      </c>
      <c r="D2037" s="2" t="str">
        <f t="shared" si="30"/>
        <v>Error?</v>
      </c>
    </row>
    <row r="2038" spans="1:4" x14ac:dyDescent="0.2">
      <c r="A2038" s="10">
        <v>1977</v>
      </c>
      <c r="D2038" s="2" t="str">
        <f t="shared" si="30"/>
        <v>OK</v>
      </c>
    </row>
    <row r="2039" spans="1:4" x14ac:dyDescent="0.2">
      <c r="A2039" s="5">
        <v>1978</v>
      </c>
      <c r="B2039" s="138">
        <f>'Cap Outlay Deprec 26'!I8</f>
        <v>807905</v>
      </c>
      <c r="D2039" s="2" t="str">
        <f t="shared" si="30"/>
        <v>Error?</v>
      </c>
    </row>
    <row r="2040" spans="1:4" x14ac:dyDescent="0.2">
      <c r="A2040" s="5">
        <v>1979</v>
      </c>
      <c r="B2040" s="138">
        <f>'Cap Outlay Deprec 26'!I10</f>
        <v>4467</v>
      </c>
      <c r="D2040" s="2" t="str">
        <f t="shared" si="30"/>
        <v>Error?</v>
      </c>
    </row>
    <row r="2041" spans="1:4" x14ac:dyDescent="0.2">
      <c r="A2041" s="5">
        <v>1980</v>
      </c>
      <c r="B2041" s="138">
        <f>'Cap Outlay Deprec 26'!I12</f>
        <v>291526</v>
      </c>
      <c r="D2041" s="2" t="str">
        <f t="shared" si="30"/>
        <v>Error?</v>
      </c>
    </row>
    <row r="2042" spans="1:4" x14ac:dyDescent="0.2">
      <c r="A2042" s="5">
        <v>1981</v>
      </c>
      <c r="B2042" s="138">
        <f>'Cap Outlay Deprec 26'!I13</f>
        <v>59532</v>
      </c>
      <c r="D2042" s="2" t="str">
        <f t="shared" si="30"/>
        <v>Error?</v>
      </c>
    </row>
    <row r="2043" spans="1:4" x14ac:dyDescent="0.2">
      <c r="A2043" s="5">
        <v>1982</v>
      </c>
      <c r="B2043" s="138">
        <f>'Cap Outlay Deprec 26'!I16</f>
        <v>1171505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277408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277408</v>
      </c>
      <c r="C2049" s="2" t="s">
        <v>594</v>
      </c>
      <c r="D2049" s="2" t="str">
        <f t="shared" si="31"/>
        <v>Error?</v>
      </c>
    </row>
    <row r="2050" spans="1:4" x14ac:dyDescent="0.2">
      <c r="A2050" s="10">
        <v>1989</v>
      </c>
      <c r="D2050" s="2" t="str">
        <f t="shared" si="31"/>
        <v>OK</v>
      </c>
    </row>
    <row r="2051" spans="1:4" x14ac:dyDescent="0.2">
      <c r="A2051" s="5">
        <v>1990</v>
      </c>
      <c r="B2051" s="138">
        <f>'Cap Outlay Deprec 26'!K8</f>
        <v>20456778</v>
      </c>
      <c r="C2051" s="2" t="s">
        <v>594</v>
      </c>
      <c r="D2051" s="2" t="str">
        <f t="shared" si="31"/>
        <v>Error?</v>
      </c>
    </row>
    <row r="2052" spans="1:4" x14ac:dyDescent="0.2">
      <c r="A2052" s="5">
        <v>1991</v>
      </c>
      <c r="B2052" s="138">
        <f>'Cap Outlay Deprec 26'!K10</f>
        <v>706029</v>
      </c>
      <c r="C2052" s="2" t="s">
        <v>594</v>
      </c>
      <c r="D2052" s="2" t="str">
        <f t="shared" si="31"/>
        <v>Error?</v>
      </c>
    </row>
    <row r="2053" spans="1:4" x14ac:dyDescent="0.2">
      <c r="A2053" s="5">
        <v>1992</v>
      </c>
      <c r="B2053" s="138">
        <f>'Cap Outlay Deprec 26'!K12</f>
        <v>1795648</v>
      </c>
      <c r="C2053" s="2" t="s">
        <v>594</v>
      </c>
      <c r="D2053" s="2" t="str">
        <f t="shared" si="31"/>
        <v>Error?</v>
      </c>
    </row>
    <row r="2054" spans="1:4" x14ac:dyDescent="0.2">
      <c r="A2054" s="5">
        <v>1993</v>
      </c>
      <c r="B2054" s="138">
        <f>'Cap Outlay Deprec 26'!K13</f>
        <v>1836870</v>
      </c>
      <c r="C2054" s="2" t="s">
        <v>594</v>
      </c>
      <c r="D2054" s="2" t="str">
        <f t="shared" si="31"/>
        <v>Error?</v>
      </c>
    </row>
    <row r="2055" spans="1:4" x14ac:dyDescent="0.2">
      <c r="A2055" s="5">
        <v>1994</v>
      </c>
      <c r="B2055" s="138">
        <f>'Cap Outlay Deprec 26'!K16</f>
        <v>24819550</v>
      </c>
      <c r="C2055" s="2" t="s">
        <v>594</v>
      </c>
      <c r="D2055" s="2" t="str">
        <f t="shared" si="31"/>
        <v>Error?</v>
      </c>
    </row>
    <row r="2056" spans="1:4" x14ac:dyDescent="0.2">
      <c r="A2056" s="5">
        <v>1995</v>
      </c>
      <c r="B2056" s="138">
        <f>'Cap Outlay Deprec 26'!L5</f>
        <v>464604</v>
      </c>
      <c r="C2056" s="2" t="s">
        <v>594</v>
      </c>
      <c r="D2056" s="2" t="str">
        <f t="shared" si="31"/>
        <v>Error?</v>
      </c>
    </row>
    <row r="2057" spans="1:4" x14ac:dyDescent="0.2">
      <c r="A2057" s="5">
        <v>1996</v>
      </c>
      <c r="B2057" s="138">
        <f>'Cap Outlay Deprec 26'!L8</f>
        <v>19938343</v>
      </c>
      <c r="C2057" s="2" t="s">
        <v>594</v>
      </c>
      <c r="D2057" s="2" t="str">
        <f t="shared" si="31"/>
        <v>Error?</v>
      </c>
    </row>
    <row r="2058" spans="1:4" x14ac:dyDescent="0.2">
      <c r="A2058" s="5">
        <v>1997</v>
      </c>
      <c r="B2058" s="138">
        <f>'Cap Outlay Deprec 26'!L10</f>
        <v>32897</v>
      </c>
      <c r="C2058" s="2" t="s">
        <v>594</v>
      </c>
      <c r="D2058" s="2" t="str">
        <f t="shared" si="31"/>
        <v>Error?</v>
      </c>
    </row>
    <row r="2059" spans="1:4" x14ac:dyDescent="0.2">
      <c r="A2059" s="5">
        <v>1998</v>
      </c>
      <c r="B2059" s="138">
        <f>'Cap Outlay Deprec 26'!L12</f>
        <v>1185574</v>
      </c>
      <c r="C2059" s="2" t="s">
        <v>594</v>
      </c>
      <c r="D2059" s="2" t="str">
        <f t="shared" si="31"/>
        <v>Error?</v>
      </c>
    </row>
    <row r="2060" spans="1:4" x14ac:dyDescent="0.2">
      <c r="A2060" s="5">
        <v>1999</v>
      </c>
      <c r="B2060" s="138">
        <f>'Cap Outlay Deprec 26'!L13</f>
        <v>88049</v>
      </c>
      <c r="C2060" s="2" t="s">
        <v>594</v>
      </c>
      <c r="D2060" s="2" t="str">
        <f t="shared" si="31"/>
        <v>Error?</v>
      </c>
    </row>
    <row r="2061" spans="1:4" x14ac:dyDescent="0.2">
      <c r="A2061" s="5">
        <v>2000</v>
      </c>
      <c r="B2061" s="138">
        <f>'Cap Outlay Deprec 26'!L16</f>
        <v>25191185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8859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469655</v>
      </c>
      <c r="C2088" s="2" t="s">
        <v>594</v>
      </c>
      <c r="D2088" s="2" t="str">
        <f t="shared" si="31"/>
        <v>Error?</v>
      </c>
    </row>
    <row r="2089" spans="1:4" x14ac:dyDescent="0.2">
      <c r="A2089" s="5">
        <v>2028</v>
      </c>
      <c r="B2089" s="138">
        <f>'Expenditures 15-22'!K92</f>
        <v>93073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3500000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9212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696931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151567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9519526</v>
      </c>
      <c r="C2551" s="2" t="s">
        <v>594</v>
      </c>
      <c r="D2551" s="2" t="str">
        <f t="shared" si="38"/>
        <v>Error?</v>
      </c>
    </row>
    <row r="2552" spans="1:4" x14ac:dyDescent="0.2">
      <c r="A2552" s="10">
        <v>2491</v>
      </c>
      <c r="D2552" s="2" t="str">
        <f t="shared" si="38"/>
        <v>OK</v>
      </c>
    </row>
    <row r="2553" spans="1:4" x14ac:dyDescent="0.2">
      <c r="A2553" s="5">
        <v>2492</v>
      </c>
      <c r="B2553" s="138">
        <f>'Acct Summary 7-8'!C6</f>
        <v>3889311</v>
      </c>
      <c r="C2553" s="2" t="s">
        <v>594</v>
      </c>
      <c r="D2553" s="2" t="str">
        <f t="shared" si="38"/>
        <v>Error?</v>
      </c>
    </row>
    <row r="2554" spans="1:4" x14ac:dyDescent="0.2">
      <c r="A2554" s="5">
        <v>2493</v>
      </c>
      <c r="B2554" s="138">
        <f>'Acct Summary 7-8'!C7</f>
        <v>1083748</v>
      </c>
      <c r="C2554" s="2" t="s">
        <v>594</v>
      </c>
      <c r="D2554" s="2" t="str">
        <f t="shared" si="38"/>
        <v>Error?</v>
      </c>
    </row>
    <row r="2555" spans="1:4" x14ac:dyDescent="0.2">
      <c r="A2555" s="5">
        <v>2494</v>
      </c>
      <c r="B2555" s="138">
        <f>'Acct Summary 7-8'!C8</f>
        <v>14492585</v>
      </c>
      <c r="C2555" s="2" t="s">
        <v>594</v>
      </c>
      <c r="D2555" s="2" t="str">
        <f t="shared" si="38"/>
        <v>Error?</v>
      </c>
    </row>
    <row r="2556" spans="1:4" x14ac:dyDescent="0.2">
      <c r="A2556" s="5">
        <v>2495</v>
      </c>
      <c r="B2556" s="138">
        <f>'Acct Summary 7-8'!C12</f>
        <v>9893558</v>
      </c>
      <c r="C2556" s="2" t="s">
        <v>594</v>
      </c>
      <c r="D2556" s="2" t="str">
        <f t="shared" si="38"/>
        <v>Error?</v>
      </c>
    </row>
    <row r="2557" spans="1:4" x14ac:dyDescent="0.2">
      <c r="A2557" s="5">
        <v>2496</v>
      </c>
      <c r="B2557" s="138">
        <f>'Acct Summary 7-8'!C13</f>
        <v>3889172</v>
      </c>
      <c r="C2557" s="2" t="s">
        <v>594</v>
      </c>
      <c r="D2557" s="2" t="str">
        <f t="shared" si="38"/>
        <v>Error?</v>
      </c>
    </row>
    <row r="2558" spans="1:4" x14ac:dyDescent="0.2">
      <c r="A2558" s="5">
        <v>2497</v>
      </c>
      <c r="B2558" s="138">
        <f>'Acct Summary 7-8'!C14</f>
        <v>6452</v>
      </c>
      <c r="C2558" s="2" t="s">
        <v>594</v>
      </c>
      <c r="D2558" s="2" t="str">
        <f t="shared" si="38"/>
        <v>Error?</v>
      </c>
    </row>
    <row r="2559" spans="1:4" x14ac:dyDescent="0.2">
      <c r="A2559" s="5">
        <v>2498</v>
      </c>
      <c r="B2559" s="138">
        <f>'Acct Summary 7-8'!C15</f>
        <v>562728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14351910</v>
      </c>
      <c r="C2561" s="2" t="s">
        <v>594</v>
      </c>
      <c r="D2561" s="2" t="str">
        <f t="shared" si="39"/>
        <v>Error?</v>
      </c>
    </row>
    <row r="2562" spans="1:4" x14ac:dyDescent="0.2">
      <c r="A2562" s="5">
        <v>2501</v>
      </c>
      <c r="B2562" s="138">
        <f>'Acct Summary 7-8'!C20</f>
        <v>140675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1822832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1822832</v>
      </c>
      <c r="C2568" s="2" t="s">
        <v>594</v>
      </c>
      <c r="D2568" s="2" t="str">
        <f t="shared" si="39"/>
        <v>Error?</v>
      </c>
    </row>
    <row r="2569" spans="1:4" x14ac:dyDescent="0.2">
      <c r="A2569" s="5">
        <v>2508</v>
      </c>
      <c r="B2569" s="138">
        <f>'Acct Summary 7-8'!D13</f>
        <v>3126263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3126263</v>
      </c>
      <c r="C2573" s="2" t="s">
        <v>594</v>
      </c>
      <c r="D2573" s="2" t="str">
        <f t="shared" si="39"/>
        <v>Error?</v>
      </c>
    </row>
    <row r="2574" spans="1:4" x14ac:dyDescent="0.2">
      <c r="A2574" s="5">
        <v>2513</v>
      </c>
      <c r="B2574" s="138">
        <f>'Acct Summary 7-8'!D20</f>
        <v>-1303431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657120</v>
      </c>
      <c r="C2591" s="2" t="s">
        <v>594</v>
      </c>
      <c r="D2591" s="2" t="str">
        <f t="shared" si="39"/>
        <v>Error?</v>
      </c>
    </row>
    <row r="2592" spans="1:4" x14ac:dyDescent="0.2">
      <c r="A2592" s="10">
        <v>2531</v>
      </c>
      <c r="D2592" s="2" t="str">
        <f t="shared" si="39"/>
        <v>OK</v>
      </c>
    </row>
    <row r="2593" spans="1:4" x14ac:dyDescent="0.2">
      <c r="A2593" s="5">
        <v>2532</v>
      </c>
      <c r="B2593" s="138">
        <f>'Acct Summary 7-8'!F6</f>
        <v>1219774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1876894</v>
      </c>
      <c r="C2595" s="2" t="s">
        <v>594</v>
      </c>
      <c r="D2595" s="2" t="str">
        <f t="shared" si="39"/>
        <v>Error?</v>
      </c>
    </row>
    <row r="2596" spans="1:4" x14ac:dyDescent="0.2">
      <c r="A2596" s="5">
        <v>2535</v>
      </c>
      <c r="B2596" s="138">
        <f>'Acct Summary 7-8'!F13</f>
        <v>1618024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1618024</v>
      </c>
      <c r="C2600" s="2" t="s">
        <v>594</v>
      </c>
      <c r="D2600" s="2" t="str">
        <f t="shared" si="39"/>
        <v>Error?</v>
      </c>
    </row>
    <row r="2601" spans="1:4" x14ac:dyDescent="0.2">
      <c r="A2601" s="5">
        <v>2540</v>
      </c>
      <c r="B2601" s="138">
        <f>'Acct Summary 7-8'!F20</f>
        <v>258870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783196</v>
      </c>
      <c r="C2603" s="2" t="s">
        <v>594</v>
      </c>
      <c r="D2603" s="2" t="str">
        <f t="shared" si="39"/>
        <v>Error?</v>
      </c>
    </row>
    <row r="2604" spans="1:4" x14ac:dyDescent="0.2">
      <c r="A2604" s="5">
        <v>2543</v>
      </c>
      <c r="B2604" s="138">
        <f>'Acct Summary 7-8'!G6</f>
        <v>248</v>
      </c>
      <c r="C2604" s="2" t="s">
        <v>594</v>
      </c>
      <c r="D2604" s="2" t="str">
        <f t="shared" si="39"/>
        <v>Error?</v>
      </c>
    </row>
    <row r="2605" spans="1:4" x14ac:dyDescent="0.2">
      <c r="A2605" s="5">
        <v>2544</v>
      </c>
      <c r="B2605" s="138">
        <f>'Acct Summary 7-8'!G7</f>
        <v>60485</v>
      </c>
      <c r="C2605" s="2" t="s">
        <v>594</v>
      </c>
      <c r="D2605" s="2" t="str">
        <f t="shared" si="39"/>
        <v>Error?</v>
      </c>
    </row>
    <row r="2606" spans="1:4" x14ac:dyDescent="0.2">
      <c r="A2606" s="5">
        <v>2545</v>
      </c>
      <c r="B2606" s="138">
        <f>'Acct Summary 7-8'!G8</f>
        <v>843929</v>
      </c>
      <c r="C2606" s="2" t="s">
        <v>594</v>
      </c>
      <c r="D2606" s="2" t="str">
        <f t="shared" si="39"/>
        <v>Error?</v>
      </c>
    </row>
    <row r="2607" spans="1:4" x14ac:dyDescent="0.2">
      <c r="A2607" s="5">
        <v>2546</v>
      </c>
      <c r="B2607" s="138">
        <f>'Acct Summary 7-8'!G12</f>
        <v>228054</v>
      </c>
      <c r="C2607" s="2" t="s">
        <v>594</v>
      </c>
      <c r="D2607" s="2" t="str">
        <f t="shared" si="39"/>
        <v>Error?</v>
      </c>
    </row>
    <row r="2608" spans="1:4" x14ac:dyDescent="0.2">
      <c r="A2608" s="5">
        <v>2547</v>
      </c>
      <c r="B2608" s="138">
        <f>'Acct Summary 7-8'!G13</f>
        <v>500767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728821</v>
      </c>
      <c r="C2612" s="2" t="s">
        <v>594</v>
      </c>
      <c r="D2612" s="2" t="str">
        <f t="shared" si="39"/>
        <v>Error?</v>
      </c>
    </row>
    <row r="2613" spans="1:4" x14ac:dyDescent="0.2">
      <c r="A2613" s="5">
        <v>2552</v>
      </c>
      <c r="B2613" s="138">
        <f>'Acct Summary 7-8'!G20</f>
        <v>115108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2947732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2947732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3205769</v>
      </c>
      <c r="C2634" s="2" t="s">
        <v>594</v>
      </c>
      <c r="D2634" s="2" t="str">
        <f t="shared" si="40"/>
        <v>Error?</v>
      </c>
    </row>
    <row r="2635" spans="1:4" x14ac:dyDescent="0.2">
      <c r="A2635" s="5">
        <v>2574</v>
      </c>
      <c r="B2635" s="138">
        <f>'Acct Summary 7-8'!E17</f>
        <v>3205769</v>
      </c>
      <c r="C2635" s="2" t="s">
        <v>594</v>
      </c>
      <c r="D2635" s="2" t="str">
        <f t="shared" si="40"/>
        <v>Error?</v>
      </c>
    </row>
    <row r="2636" spans="1:4" x14ac:dyDescent="0.2">
      <c r="A2636" s="5">
        <v>2575</v>
      </c>
      <c r="B2636" s="138">
        <f>'Acct Summary 7-8'!E20</f>
        <v>-258037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222306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222306</v>
      </c>
      <c r="C2658" s="2" t="s">
        <v>594</v>
      </c>
      <c r="D2658" s="2" t="str">
        <f t="shared" si="40"/>
        <v>Error?</v>
      </c>
    </row>
    <row r="2659" spans="1:4" x14ac:dyDescent="0.2">
      <c r="A2659" s="5">
        <v>2598</v>
      </c>
      <c r="B2659" s="138">
        <f>'Acct Summary 7-8'!H13</f>
        <v>3661718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3661718</v>
      </c>
      <c r="C2661" s="2" t="s">
        <v>594</v>
      </c>
      <c r="D2661" s="2" t="str">
        <f t="shared" si="40"/>
        <v>Error?</v>
      </c>
    </row>
    <row r="2662" spans="1:4" x14ac:dyDescent="0.2">
      <c r="A2662" s="5">
        <v>2601</v>
      </c>
      <c r="B2662" s="138">
        <f>'Acct Summary 7-8'!H20</f>
        <v>-3439412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460796</v>
      </c>
      <c r="C2789" s="2" t="s">
        <v>594</v>
      </c>
      <c r="D2789" s="2" t="str">
        <f t="shared" si="42"/>
        <v>Error?</v>
      </c>
    </row>
    <row r="2790" spans="1:4" x14ac:dyDescent="0.2">
      <c r="A2790" s="5">
        <v>2729</v>
      </c>
      <c r="B2790" s="138">
        <f>'Expenditures 15-22'!E102</f>
        <v>460796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3481718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7443567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7448441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1177671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1622945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7448441</v>
      </c>
      <c r="D2912" s="2" t="str">
        <f t="shared" si="44"/>
        <v>Error?</v>
      </c>
    </row>
    <row r="2913" spans="1:4" x14ac:dyDescent="0.2">
      <c r="A2913" s="5">
        <v>2852</v>
      </c>
      <c r="B2913" s="138">
        <f>'Assets-Liab 5-6'!I41</f>
        <v>7448441</v>
      </c>
      <c r="C2913" s="2" t="s">
        <v>594</v>
      </c>
      <c r="D2913" s="2" t="str">
        <f t="shared" si="44"/>
        <v>Error?</v>
      </c>
    </row>
    <row r="2914" spans="1:4" x14ac:dyDescent="0.2">
      <c r="A2914" s="5">
        <v>2853</v>
      </c>
      <c r="B2914" s="138">
        <f>'Assets-Liab 5-6'!L33</f>
        <v>362276</v>
      </c>
      <c r="D2914" s="2" t="str">
        <f t="shared" si="44"/>
        <v>Error?</v>
      </c>
    </row>
    <row r="2915" spans="1:4" x14ac:dyDescent="0.2">
      <c r="A2915" s="10">
        <v>2854</v>
      </c>
      <c r="D2915" s="2" t="str">
        <f t="shared" si="44"/>
        <v>OK</v>
      </c>
    </row>
    <row r="2916" spans="1:4" x14ac:dyDescent="0.2">
      <c r="A2916" s="5">
        <v>2855</v>
      </c>
      <c r="B2916" s="138">
        <f>'Assets-Liab 5-6'!L34</f>
        <v>362276</v>
      </c>
      <c r="C2916" s="2" t="s">
        <v>594</v>
      </c>
      <c r="D2916" s="2" t="str">
        <f t="shared" si="44"/>
        <v>Error?</v>
      </c>
    </row>
    <row r="2917" spans="1:4" x14ac:dyDescent="0.2">
      <c r="A2917" s="5">
        <v>2856</v>
      </c>
      <c r="B2917" s="138">
        <f>'Assets-Liab 5-6'!L41</f>
        <v>1622945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460796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6629</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2230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6629</v>
      </c>
      <c r="C2973" s="2" t="s">
        <v>594</v>
      </c>
      <c r="D2973" s="2" t="str">
        <f t="shared" si="45"/>
        <v>Error?</v>
      </c>
    </row>
    <row r="2974" spans="1:4" x14ac:dyDescent="0.2">
      <c r="A2974" s="5">
        <v>2913</v>
      </c>
      <c r="B2974" s="138">
        <f>'Expenditures 15-22'!K79</f>
        <v>460796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2230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145409</v>
      </c>
      <c r="D3055" s="2" t="str">
        <f t="shared" si="46"/>
        <v>Error?</v>
      </c>
    </row>
    <row r="3056" spans="1:4" x14ac:dyDescent="0.2">
      <c r="A3056" s="5">
        <v>2995</v>
      </c>
      <c r="B3056" s="138">
        <f>'Expenditures 15-22'!D10</f>
        <v>26616</v>
      </c>
      <c r="D3056" s="2" t="str">
        <f t="shared" si="46"/>
        <v>Error?</v>
      </c>
    </row>
    <row r="3057" spans="1:4" x14ac:dyDescent="0.2">
      <c r="A3057" s="5">
        <v>2996</v>
      </c>
      <c r="B3057" s="138">
        <f>'Expenditures 15-22'!E10</f>
        <v>229</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172254</v>
      </c>
      <c r="C3062" s="2" t="s">
        <v>594</v>
      </c>
      <c r="D3062" s="2" t="str">
        <f t="shared" si="46"/>
        <v>Error?</v>
      </c>
    </row>
    <row r="3063" spans="1:4" x14ac:dyDescent="0.2">
      <c r="A3063" s="10">
        <v>3002</v>
      </c>
      <c r="D3063" s="2" t="str">
        <f t="shared" si="46"/>
        <v>OK</v>
      </c>
    </row>
    <row r="3064" spans="1:4" x14ac:dyDescent="0.2">
      <c r="A3064" s="5">
        <v>3003</v>
      </c>
      <c r="B3064" s="138">
        <f>'Expenditures 15-22'!D219</f>
        <v>26381</v>
      </c>
      <c r="D3064" s="2" t="str">
        <f t="shared" si="46"/>
        <v>Error?</v>
      </c>
    </row>
    <row r="3065" spans="1:4" x14ac:dyDescent="0.2">
      <c r="A3065" s="5">
        <v>3004</v>
      </c>
      <c r="B3065" s="138">
        <f>'Expenditures 15-22'!K219</f>
        <v>26381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1260669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190890</v>
      </c>
      <c r="C3225" s="2" t="s">
        <v>594</v>
      </c>
      <c r="D3225" s="2" t="str">
        <f t="shared" si="49"/>
        <v>Error?</v>
      </c>
    </row>
    <row r="3226" spans="1:4" x14ac:dyDescent="0.2">
      <c r="A3226" s="5">
        <v>3165</v>
      </c>
      <c r="B3226" s="138">
        <f>'Acct Summary 7-8'!I8</f>
        <v>190890</v>
      </c>
      <c r="C3226" s="2" t="s">
        <v>594</v>
      </c>
      <c r="D3226" s="2" t="str">
        <f t="shared" si="49"/>
        <v>Error?</v>
      </c>
    </row>
    <row r="3227" spans="1:4" x14ac:dyDescent="0.2">
      <c r="A3227" s="5">
        <v>3166</v>
      </c>
      <c r="B3227" s="138">
        <f>'Acct Summary 7-8'!I20</f>
        <v>190890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1250000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1250000</v>
      </c>
      <c r="C3232" s="2" t="s">
        <v>594</v>
      </c>
      <c r="D3232" s="2" t="str">
        <f t="shared" si="49"/>
        <v>Error?</v>
      </c>
    </row>
    <row r="3233" spans="1:4" x14ac:dyDescent="0.2">
      <c r="A3233" s="5">
        <v>3172</v>
      </c>
      <c r="B3233" s="138">
        <f>'Acct Summary 7-8'!C78</f>
        <v>1390675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1250000</v>
      </c>
      <c r="C3238" s="2" t="s">
        <v>594</v>
      </c>
      <c r="D3238" s="2" t="str">
        <f t="shared" si="49"/>
        <v>Error?</v>
      </c>
    </row>
    <row r="3239" spans="1:4" x14ac:dyDescent="0.2">
      <c r="A3239" s="5">
        <v>3178</v>
      </c>
      <c r="B3239" s="138">
        <f>'Acct Summary 7-8'!D78</f>
        <v>-53431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1000000</v>
      </c>
      <c r="C3255" s="2" t="s">
        <v>594</v>
      </c>
      <c r="D3255" s="2" t="str">
        <f t="shared" si="49"/>
        <v>Error?</v>
      </c>
    </row>
    <row r="3256" spans="1:4" x14ac:dyDescent="0.2">
      <c r="A3256" s="5">
        <v>3195</v>
      </c>
      <c r="B3256" s="138">
        <f>'Acct Summary 7-8'!F78</f>
        <v>1258870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115108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-258037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3934049</v>
      </c>
      <c r="D3295" s="2" t="str">
        <f t="shared" si="50"/>
        <v>Error?</v>
      </c>
    </row>
    <row r="3296" spans="1:4" x14ac:dyDescent="0.2">
      <c r="A3296" s="5">
        <v>3235</v>
      </c>
      <c r="B3296" s="138">
        <f>'Acct Summary 7-8'!H44</f>
        <v>3934049</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3934049</v>
      </c>
      <c r="C3299" s="2" t="s">
        <v>594</v>
      </c>
      <c r="D3299" s="2" t="str">
        <f t="shared" si="50"/>
        <v>Error?</v>
      </c>
    </row>
    <row r="3300" spans="1:4" x14ac:dyDescent="0.2">
      <c r="A3300" s="5">
        <v>3239</v>
      </c>
      <c r="B3300" s="138">
        <f>'Acct Summary 7-8'!H78</f>
        <v>494637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5400000</v>
      </c>
      <c r="C3317" s="2" t="s">
        <v>594</v>
      </c>
      <c r="D3317" s="2" t="str">
        <f t="shared" si="50"/>
        <v>Error?</v>
      </c>
    </row>
    <row r="3318" spans="1:4" x14ac:dyDescent="0.2">
      <c r="A3318" s="5">
        <v>3257</v>
      </c>
      <c r="B3318" s="138">
        <f>'Acct Summary 7-8'!I76</f>
        <v>3500000</v>
      </c>
      <c r="C3318" s="2" t="s">
        <v>594</v>
      </c>
      <c r="D3318" s="2" t="str">
        <f t="shared" si="50"/>
        <v>Error?</v>
      </c>
    </row>
    <row r="3319" spans="1:4" x14ac:dyDescent="0.2">
      <c r="A3319" s="5">
        <v>3258</v>
      </c>
      <c r="B3319" s="138">
        <f>'Acct Summary 7-8'!I77</f>
        <v>1900000</v>
      </c>
      <c r="C3319" s="2" t="s">
        <v>594</v>
      </c>
      <c r="D3319" s="2" t="str">
        <f t="shared" si="50"/>
        <v>Error?</v>
      </c>
    </row>
    <row r="3320" spans="1:4" x14ac:dyDescent="0.2">
      <c r="A3320" s="5">
        <v>3259</v>
      </c>
      <c r="B3320" s="138">
        <f>'Acct Summary 7-8'!I78</f>
        <v>2090890</v>
      </c>
      <c r="C3320" s="2" t="s">
        <v>594</v>
      </c>
      <c r="D3320" s="2" t="str">
        <f t="shared" si="50"/>
        <v>Error?</v>
      </c>
    </row>
    <row r="3321" spans="1:4" x14ac:dyDescent="0.2">
      <c r="A3321" s="5">
        <v>3260</v>
      </c>
      <c r="B3321" s="138">
        <f>'Acct Summary 7-8'!I79</f>
        <v>5357551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7448441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1237142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368362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128175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1739643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88411</v>
      </c>
      <c r="D3387" s="2" t="str">
        <f t="shared" si="51"/>
        <v>Error?</v>
      </c>
    </row>
    <row r="3388" spans="1:4" x14ac:dyDescent="0.2">
      <c r="A3388" s="5">
        <v>3327</v>
      </c>
      <c r="B3388" s="138">
        <f>'Expenditures 15-22'!D217</f>
        <v>97871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88411</v>
      </c>
      <c r="C3390" s="2" t="s">
        <v>594</v>
      </c>
      <c r="D3390" s="2" t="str">
        <f t="shared" si="51"/>
        <v>Error?</v>
      </c>
    </row>
    <row r="3391" spans="1:4" x14ac:dyDescent="0.2">
      <c r="A3391" s="5">
        <v>3330</v>
      </c>
      <c r="B3391" s="138">
        <f>'Expenditures 15-22'!K217</f>
        <v>97871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286440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202111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35153</v>
      </c>
      <c r="D3417" s="2" t="str">
        <f t="shared" si="52"/>
        <v>Error?</v>
      </c>
    </row>
    <row r="3418" spans="1:4" x14ac:dyDescent="0.2">
      <c r="A3418" s="10">
        <v>3357</v>
      </c>
      <c r="D3418" s="2" t="str">
        <f t="shared" si="52"/>
        <v>OK</v>
      </c>
    </row>
    <row r="3419" spans="1:4" x14ac:dyDescent="0.2">
      <c r="A3419" s="5">
        <v>3358</v>
      </c>
      <c r="B3419" s="138">
        <f>'Assets-Liab 5-6'!F4</f>
        <v>222409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121688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19916</v>
      </c>
      <c r="D3425" s="2" t="str">
        <f t="shared" si="52"/>
        <v>Error?</v>
      </c>
    </row>
    <row r="3426" spans="1:4" x14ac:dyDescent="0.2">
      <c r="A3426" s="10">
        <v>3365</v>
      </c>
      <c r="D3426" s="2" t="str">
        <f t="shared" si="52"/>
        <v>OK</v>
      </c>
    </row>
    <row r="3427" spans="1:4" x14ac:dyDescent="0.2">
      <c r="A3427" s="5">
        <v>3366</v>
      </c>
      <c r="B3427" s="138">
        <f>'Assets-Liab 5-6'!I4</f>
        <v>4874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445274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290719</v>
      </c>
      <c r="C3446" s="2" t="s">
        <v>594</v>
      </c>
      <c r="D3446" s="2" t="str">
        <f t="shared" si="52"/>
        <v>Error?</v>
      </c>
    </row>
    <row r="3447" spans="1:4" x14ac:dyDescent="0.2">
      <c r="A3447" s="5">
        <v>3386</v>
      </c>
      <c r="B3447" s="138">
        <f>'Tax Sched 23'!D16</f>
        <v>234730</v>
      </c>
      <c r="C3447" s="2" t="s">
        <v>594</v>
      </c>
      <c r="D3447" s="2" t="str">
        <f t="shared" si="52"/>
        <v>Error?</v>
      </c>
    </row>
    <row r="3448" spans="1:4" x14ac:dyDescent="0.2">
      <c r="A3448" s="5">
        <v>3387</v>
      </c>
      <c r="B3448" s="138">
        <f>'Tax Sched 23'!C16</f>
        <v>55989</v>
      </c>
      <c r="D3448" s="2" t="str">
        <f t="shared" si="52"/>
        <v>Error?</v>
      </c>
    </row>
    <row r="3449" spans="1:4" x14ac:dyDescent="0.2">
      <c r="A3449" s="5">
        <v>3388</v>
      </c>
      <c r="B3449" s="138">
        <f>'Tax Sched 23'!F16</f>
        <v>148278</v>
      </c>
      <c r="C3449" s="2" t="s">
        <v>594</v>
      </c>
      <c r="D3449" s="2" t="str">
        <f t="shared" si="52"/>
        <v>Error?</v>
      </c>
    </row>
    <row r="3450" spans="1:4" x14ac:dyDescent="0.2">
      <c r="A3450" s="5">
        <v>3389</v>
      </c>
      <c r="B3450" s="138">
        <f>'Tax Sched 23'!E16</f>
        <v>204267</v>
      </c>
      <c r="D3450" s="2" t="str">
        <f t="shared" si="52"/>
        <v>Error?</v>
      </c>
    </row>
    <row r="3451" spans="1:4" x14ac:dyDescent="0.2">
      <c r="A3451" s="5">
        <v>3390</v>
      </c>
      <c r="B3451" s="138">
        <f>'Cap Outlay Deprec 26'!C15</f>
        <v>113000</v>
      </c>
      <c r="D3451" s="2" t="str">
        <f t="shared" si="52"/>
        <v>Error?</v>
      </c>
    </row>
    <row r="3452" spans="1:4" x14ac:dyDescent="0.2">
      <c r="A3452" s="5">
        <v>3391</v>
      </c>
      <c r="B3452" s="138">
        <f>'Cap Outlay Deprec 26'!D15</f>
        <v>3481718</v>
      </c>
      <c r="D3452" s="2" t="str">
        <f t="shared" si="52"/>
        <v>Error?</v>
      </c>
    </row>
    <row r="3453" spans="1:4" x14ac:dyDescent="0.2">
      <c r="A3453" s="5">
        <v>3392</v>
      </c>
      <c r="B3453" s="138">
        <f>'Cap Outlay Deprec 26'!E15</f>
        <v>113000</v>
      </c>
      <c r="D3453" s="2" t="str">
        <f t="shared" si="52"/>
        <v>Error?</v>
      </c>
    </row>
    <row r="3454" spans="1:4" x14ac:dyDescent="0.2">
      <c r="A3454" s="5">
        <v>3393</v>
      </c>
      <c r="B3454" s="138">
        <f>'Cap Outlay Deprec 26'!F15</f>
        <v>3481718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3481718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101237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101851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101851</v>
      </c>
      <c r="D3567" s="2" t="str">
        <f t="shared" si="54"/>
        <v>Error?</v>
      </c>
    </row>
    <row r="3568" spans="1:4" x14ac:dyDescent="0.2">
      <c r="A3568" s="5">
        <v>3507</v>
      </c>
      <c r="B3568" s="138">
        <f>'Assets-Liab 5-6'!K41</f>
        <v>101851</v>
      </c>
      <c r="C3568" s="2" t="s">
        <v>594</v>
      </c>
      <c r="D3568" s="2" t="str">
        <f t="shared" si="54"/>
        <v>Error?</v>
      </c>
    </row>
    <row r="3569" spans="1:4" x14ac:dyDescent="0.2">
      <c r="A3569" s="5">
        <v>3508</v>
      </c>
      <c r="B3569" s="138">
        <f>'Acct Summary 7-8'!K4</f>
        <v>147238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147238</v>
      </c>
      <c r="C3571" s="2" t="s">
        <v>594</v>
      </c>
      <c r="D3571" s="2" t="str">
        <f t="shared" si="54"/>
        <v>Error?</v>
      </c>
    </row>
    <row r="3572" spans="1:4" x14ac:dyDescent="0.2">
      <c r="A3572" s="5">
        <v>3511</v>
      </c>
      <c r="B3572" s="138">
        <f>'Acct Summary 7-8'!K13</f>
        <v>270000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270000</v>
      </c>
      <c r="C3575" s="2" t="s">
        <v>594</v>
      </c>
      <c r="D3575" s="2" t="str">
        <f t="shared" si="54"/>
        <v>Error?</v>
      </c>
    </row>
    <row r="3576" spans="1:4" x14ac:dyDescent="0.2">
      <c r="A3576" s="5">
        <v>3515</v>
      </c>
      <c r="B3576" s="138">
        <f>'Acct Summary 7-8'!K20</f>
        <v>-122762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-122762</v>
      </c>
      <c r="C3588" s="2" t="s">
        <v>594</v>
      </c>
      <c r="D3588" s="2" t="str">
        <f t="shared" si="55"/>
        <v>Error?</v>
      </c>
    </row>
    <row r="3589" spans="1:4" x14ac:dyDescent="0.2">
      <c r="A3589" s="5">
        <v>3528</v>
      </c>
      <c r="B3589" s="138">
        <f>'Acct Summary 7-8'!K79</f>
        <v>224613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101851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270000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270000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270000</v>
      </c>
      <c r="C3649" s="2" t="s">
        <v>594</v>
      </c>
      <c r="D3649" s="2" t="str">
        <f t="shared" si="56"/>
        <v>Error?</v>
      </c>
    </row>
    <row r="3650" spans="1:4" x14ac:dyDescent="0.2">
      <c r="A3650" s="5">
        <v>3589</v>
      </c>
      <c r="B3650" s="138">
        <f>'Expenditures 15-22'!G367</f>
        <v>270000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270000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270000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270000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270000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-122762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144868</v>
      </c>
      <c r="C3725" s="2" t="s">
        <v>594</v>
      </c>
      <c r="D3725" s="2" t="str">
        <f t="shared" si="57"/>
        <v>Error?</v>
      </c>
    </row>
    <row r="3726" spans="1:4" x14ac:dyDescent="0.2">
      <c r="A3726" s="5">
        <v>3665</v>
      </c>
      <c r="B3726" s="138">
        <f>'Tax Sched 23'!D13</f>
        <v>105069</v>
      </c>
      <c r="C3726" s="2" t="s">
        <v>594</v>
      </c>
      <c r="D3726" s="2" t="str">
        <f t="shared" si="57"/>
        <v>Error?</v>
      </c>
    </row>
    <row r="3727" spans="1:4" x14ac:dyDescent="0.2">
      <c r="A3727" s="5">
        <v>3666</v>
      </c>
      <c r="B3727" s="138">
        <f>'Tax Sched 23'!C13</f>
        <v>39799</v>
      </c>
      <c r="D3727" s="2" t="str">
        <f t="shared" si="57"/>
        <v>Error?</v>
      </c>
    </row>
    <row r="3728" spans="1:4" x14ac:dyDescent="0.2">
      <c r="A3728" s="5">
        <v>3667</v>
      </c>
      <c r="B3728" s="138">
        <f>'Tax Sched 23'!F13</f>
        <v>105401</v>
      </c>
      <c r="C3728" s="2" t="s">
        <v>594</v>
      </c>
      <c r="D3728" s="2" t="str">
        <f t="shared" si="57"/>
        <v>Error?</v>
      </c>
    </row>
    <row r="3729" spans="1:4" x14ac:dyDescent="0.2">
      <c r="A3729" s="5">
        <v>3668</v>
      </c>
      <c r="B3729" s="138">
        <f>'Tax Sched 23'!E13</f>
        <v>145200</v>
      </c>
      <c r="D3729" s="2" t="str">
        <f t="shared" si="57"/>
        <v>Error?</v>
      </c>
    </row>
    <row r="3730" spans="1:4" x14ac:dyDescent="0.2">
      <c r="A3730" s="5">
        <v>3669</v>
      </c>
      <c r="B3730" s="138">
        <f>'ICR Computation 30'!E10</f>
        <v>388225.69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5666822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20159407</v>
      </c>
      <c r="C4122" s="2" t="s">
        <v>594</v>
      </c>
      <c r="D4122" s="2" t="str">
        <f t="shared" si="63"/>
        <v>Error?</v>
      </c>
    </row>
    <row r="4123" spans="1:4" x14ac:dyDescent="0.2">
      <c r="A4123" s="5">
        <v>4062</v>
      </c>
      <c r="B4123" s="138">
        <f>'Acct Summary 7-8'!D10</f>
        <v>1822832</v>
      </c>
      <c r="C4123" s="2" t="s">
        <v>594</v>
      </c>
      <c r="D4123" s="2" t="str">
        <f t="shared" si="63"/>
        <v>Error?</v>
      </c>
    </row>
    <row r="4124" spans="1:4" x14ac:dyDescent="0.2">
      <c r="A4124" s="5">
        <v>4063</v>
      </c>
      <c r="B4124" s="138">
        <f>'Acct Summary 7-8'!E10</f>
        <v>2947732</v>
      </c>
      <c r="C4124" s="2" t="s">
        <v>594</v>
      </c>
      <c r="D4124" s="2" t="str">
        <f t="shared" si="63"/>
        <v>Error?</v>
      </c>
    </row>
    <row r="4125" spans="1:4" x14ac:dyDescent="0.2">
      <c r="A4125" s="5">
        <v>4064</v>
      </c>
      <c r="B4125" s="138">
        <f>'Acct Summary 7-8'!F10</f>
        <v>1876894</v>
      </c>
      <c r="C4125" s="2" t="s">
        <v>594</v>
      </c>
      <c r="D4125" s="2" t="str">
        <f t="shared" si="63"/>
        <v>Error?</v>
      </c>
    </row>
    <row r="4126" spans="1:4" x14ac:dyDescent="0.2">
      <c r="A4126" s="5">
        <v>4065</v>
      </c>
      <c r="B4126" s="138">
        <f>'Acct Summary 7-8'!G10</f>
        <v>843929</v>
      </c>
      <c r="C4126" s="2" t="s">
        <v>594</v>
      </c>
      <c r="D4126" s="2" t="str">
        <f t="shared" si="63"/>
        <v>Error?</v>
      </c>
    </row>
    <row r="4127" spans="1:4" x14ac:dyDescent="0.2">
      <c r="A4127" s="5">
        <v>4066</v>
      </c>
      <c r="B4127" s="138">
        <f>'Acct Summary 7-8'!H10</f>
        <v>222306</v>
      </c>
      <c r="C4127" s="2" t="s">
        <v>594</v>
      </c>
      <c r="D4127" s="2" t="str">
        <f t="shared" si="63"/>
        <v>Error?</v>
      </c>
    </row>
    <row r="4128" spans="1:4" x14ac:dyDescent="0.2">
      <c r="A4128" s="5">
        <v>4067</v>
      </c>
      <c r="B4128" s="138">
        <f>'Acct Summary 7-8'!I10</f>
        <v>190890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147238</v>
      </c>
      <c r="C4130" s="2" t="s">
        <v>594</v>
      </c>
      <c r="D4130" s="2" t="str">
        <f t="shared" si="63"/>
        <v>Error?</v>
      </c>
    </row>
    <row r="4131" spans="1:4" x14ac:dyDescent="0.2">
      <c r="A4131" s="5">
        <v>4070</v>
      </c>
      <c r="B4131" s="138">
        <f>'Acct Summary 7-8'!C18</f>
        <v>5666822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20018732</v>
      </c>
      <c r="C4136" s="2" t="s">
        <v>594</v>
      </c>
      <c r="D4136" s="2" t="str">
        <f t="shared" si="63"/>
        <v>Error?</v>
      </c>
    </row>
    <row r="4137" spans="1:4" x14ac:dyDescent="0.2">
      <c r="A4137" s="5">
        <v>4076</v>
      </c>
      <c r="B4137" s="138">
        <f>'Acct Summary 7-8'!D19</f>
        <v>3126263</v>
      </c>
      <c r="C4137" s="2" t="s">
        <v>594</v>
      </c>
      <c r="D4137" s="2" t="str">
        <f t="shared" si="63"/>
        <v>Error?</v>
      </c>
    </row>
    <row r="4138" spans="1:4" x14ac:dyDescent="0.2">
      <c r="A4138" s="5">
        <v>4077</v>
      </c>
      <c r="B4138" s="138">
        <f>'Acct Summary 7-8'!E19</f>
        <v>3205769</v>
      </c>
      <c r="C4138" s="2" t="s">
        <v>594</v>
      </c>
      <c r="D4138" s="2" t="str">
        <f t="shared" si="63"/>
        <v>Error?</v>
      </c>
    </row>
    <row r="4139" spans="1:4" x14ac:dyDescent="0.2">
      <c r="A4139" s="5">
        <v>4078</v>
      </c>
      <c r="B4139" s="138">
        <f>'Acct Summary 7-8'!F19</f>
        <v>1618024</v>
      </c>
      <c r="C4139" s="2" t="s">
        <v>594</v>
      </c>
      <c r="D4139" s="2" t="str">
        <f t="shared" si="63"/>
        <v>Error?</v>
      </c>
    </row>
    <row r="4140" spans="1:4" x14ac:dyDescent="0.2">
      <c r="A4140" s="5">
        <v>4079</v>
      </c>
      <c r="B4140" s="138">
        <f>'Acct Summary 7-8'!G19</f>
        <v>728821</v>
      </c>
      <c r="C4140" s="2" t="s">
        <v>594</v>
      </c>
      <c r="D4140" s="2" t="str">
        <f t="shared" si="63"/>
        <v>Error?</v>
      </c>
    </row>
    <row r="4141" spans="1:4" x14ac:dyDescent="0.2">
      <c r="A4141" s="5">
        <v>4080</v>
      </c>
      <c r="B4141" s="138">
        <f>'Acct Summary 7-8'!H19</f>
        <v>3661718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270000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20309049</v>
      </c>
      <c r="C4171" s="2" t="s">
        <v>594</v>
      </c>
      <c r="D4171" s="2" t="str">
        <f t="shared" si="64"/>
        <v>Error?</v>
      </c>
    </row>
    <row r="4172" spans="1:4" x14ac:dyDescent="0.2">
      <c r="A4172" s="5">
        <v>4111</v>
      </c>
      <c r="B4172" s="138">
        <f>'Short-Term Long-Term Debt 24'!J49</f>
        <v>19629364</v>
      </c>
      <c r="C4172" s="2" t="s">
        <v>594</v>
      </c>
      <c r="D4172" s="2" t="str">
        <f t="shared" si="64"/>
        <v>Error?</v>
      </c>
    </row>
    <row r="4173" spans="1:4" x14ac:dyDescent="0.2">
      <c r="A4173" s="5">
        <v>4112</v>
      </c>
      <c r="B4173" s="138">
        <f>'Short-Term Long-Term Debt 24'!H49</f>
        <v>2840000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3959049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3599.9999999999995</v>
      </c>
      <c r="C4268" s="2" t="s">
        <v>594</v>
      </c>
      <c r="D4268" s="2" t="str">
        <f t="shared" si="65"/>
        <v>Error?</v>
      </c>
    </row>
    <row r="4269" spans="1:5" x14ac:dyDescent="0.2">
      <c r="A4269" s="12">
        <v>4208</v>
      </c>
      <c r="B4269" s="138">
        <f>'FP Info 3'!J16</f>
        <v>17763910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15940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25645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52056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357</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2383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290400124</v>
      </c>
      <c r="D4995" s="2" t="str">
        <f t="shared" si="77"/>
        <v>Error?</v>
      </c>
    </row>
    <row r="4996" spans="1:4" x14ac:dyDescent="0.2">
      <c r="A4996" s="12">
        <v>4935</v>
      </c>
      <c r="B4996" s="138">
        <f>'FP Info 3'!H31</f>
        <v>40075217.112000003</v>
      </c>
      <c r="D4996" s="2" t="str">
        <f t="shared" si="77"/>
        <v>Error?</v>
      </c>
    </row>
    <row r="4997" spans="1:4" x14ac:dyDescent="0.2">
      <c r="A4997" s="12">
        <v>4936</v>
      </c>
      <c r="B4997" s="138">
        <f>'FP Info 3'!H37</f>
        <v>20309049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144868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8358891</v>
      </c>
      <c r="D5061" s="2" t="str">
        <f t="shared" si="78"/>
        <v>Error?</v>
      </c>
    </row>
    <row r="5062" spans="1:4" x14ac:dyDescent="0.2">
      <c r="A5062" s="10">
        <v>5001</v>
      </c>
      <c r="D5062" s="2" t="str">
        <f t="shared" si="78"/>
        <v>OK</v>
      </c>
    </row>
    <row r="5063" spans="1:4" x14ac:dyDescent="0.2">
      <c r="A5063" s="5">
        <v>5002</v>
      </c>
      <c r="B5063" s="138">
        <f>'Revenues 9-14'!C7</f>
        <v>115894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8619653</v>
      </c>
      <c r="C5066" s="2" t="s">
        <v>594</v>
      </c>
      <c r="D5066" s="2" t="str">
        <f t="shared" si="78"/>
        <v>Error?</v>
      </c>
    </row>
    <row r="5067" spans="1:4" x14ac:dyDescent="0.2">
      <c r="A5067" s="5">
        <v>5006</v>
      </c>
      <c r="B5067" s="138">
        <f>'Revenues 9-14'!C14</f>
        <v>1412</v>
      </c>
      <c r="D5067" s="2" t="str">
        <f t="shared" si="78"/>
        <v>Error?</v>
      </c>
    </row>
    <row r="5068" spans="1:4" x14ac:dyDescent="0.2">
      <c r="A5068" s="5">
        <v>5007</v>
      </c>
      <c r="B5068" s="138">
        <f>'Revenues 9-14'!C15</f>
        <v>101</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1513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75002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75002</v>
      </c>
      <c r="C5090" s="2" t="s">
        <v>594</v>
      </c>
      <c r="D5090" s="2" t="str">
        <f t="shared" si="78"/>
        <v>Error?</v>
      </c>
    </row>
    <row r="5091" spans="1:4" x14ac:dyDescent="0.2">
      <c r="A5091" s="5">
        <v>5030</v>
      </c>
      <c r="B5091" s="138">
        <f>'Revenues 9-14'!C70</f>
        <v>20572</v>
      </c>
      <c r="D5091" s="2" t="str">
        <f t="shared" si="78"/>
        <v>Error?</v>
      </c>
    </row>
    <row r="5092" spans="1:4" x14ac:dyDescent="0.2">
      <c r="A5092" s="5">
        <v>5031</v>
      </c>
      <c r="B5092" s="138">
        <f>'Revenues 9-14'!C71</f>
        <v>19104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409915</v>
      </c>
      <c r="D5095" s="2" t="str">
        <f t="shared" si="78"/>
        <v>Error?</v>
      </c>
    </row>
    <row r="5096" spans="1:4" x14ac:dyDescent="0.2">
      <c r="A5096" s="5">
        <v>5035</v>
      </c>
      <c r="B5096" s="138">
        <f>'Revenues 9-14'!C75</f>
        <v>449591</v>
      </c>
      <c r="C5096" s="2" t="s">
        <v>594</v>
      </c>
      <c r="D5096" s="2" t="str">
        <f t="shared" si="78"/>
        <v>Error?</v>
      </c>
    </row>
    <row r="5097" spans="1:4" x14ac:dyDescent="0.2">
      <c r="A5097" s="5">
        <v>5036</v>
      </c>
      <c r="B5097" s="138">
        <f>'Revenues 9-14'!C77</f>
        <v>24753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81203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525</v>
      </c>
      <c r="D5101" s="2" t="str">
        <f t="shared" si="78"/>
        <v>Error?</v>
      </c>
    </row>
    <row r="5102" spans="1:4" x14ac:dyDescent="0.2">
      <c r="A5102" s="5">
        <v>5041</v>
      </c>
      <c r="B5102" s="138">
        <f>'Revenues 9-14'!C82</f>
        <v>106481</v>
      </c>
      <c r="C5102" s="2" t="s">
        <v>594</v>
      </c>
      <c r="D5102" s="2" t="str">
        <f t="shared" si="78"/>
        <v>Error?</v>
      </c>
    </row>
    <row r="5103" spans="1:4" x14ac:dyDescent="0.2">
      <c r="A5103" s="5">
        <v>5042</v>
      </c>
      <c r="B5103" s="138">
        <f>'Revenues 9-14'!C84</f>
        <v>185055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185055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3650</v>
      </c>
      <c r="D5114" s="2" t="str">
        <f t="shared" si="78"/>
        <v>Error?</v>
      </c>
    </row>
    <row r="5115" spans="1:4" x14ac:dyDescent="0.2">
      <c r="A5115" s="5">
        <v>5054</v>
      </c>
      <c r="B5115" s="138">
        <f>'Revenues 9-14'!C98</f>
        <v>3900</v>
      </c>
      <c r="D5115" s="2" t="str">
        <f t="shared" si="78"/>
        <v>Error?</v>
      </c>
    </row>
    <row r="5116" spans="1:4" x14ac:dyDescent="0.2">
      <c r="A5116" s="5">
        <v>5055</v>
      </c>
      <c r="B5116" s="138">
        <f>'Revenues 9-14'!C99</f>
        <v>7568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19019</v>
      </c>
      <c r="D5119" s="2" t="str">
        <f t="shared" ref="D5119:D5182" si="79">IF(ISBLANK(B5119),"OK",IF(A5119-B5119=0,"OK","Error?"))</f>
        <v>Error?</v>
      </c>
    </row>
    <row r="5120" spans="1:4" x14ac:dyDescent="0.2">
      <c r="A5120" s="5">
        <v>5059</v>
      </c>
      <c r="B5120" s="138">
        <f>'Revenues 9-14'!C108</f>
        <v>82231</v>
      </c>
      <c r="C5120" s="2" t="s">
        <v>594</v>
      </c>
      <c r="D5120" s="2" t="str">
        <f t="shared" si="79"/>
        <v>Error?</v>
      </c>
    </row>
    <row r="5121" spans="1:4" x14ac:dyDescent="0.2">
      <c r="A5121" s="5">
        <v>5060</v>
      </c>
      <c r="B5121" s="138">
        <f>'Revenues 9-14'!C109</f>
        <v>9519526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2919845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2919845</v>
      </c>
      <c r="C5132" s="2" t="s">
        <v>594</v>
      </c>
      <c r="D5132" s="2" t="str">
        <f t="shared" si="79"/>
        <v>Error?</v>
      </c>
    </row>
    <row r="5133" spans="1:4" x14ac:dyDescent="0.2">
      <c r="A5133" s="5">
        <v>5072</v>
      </c>
      <c r="B5133" s="138">
        <f>'Revenues 9-14'!C124</f>
        <v>367106</v>
      </c>
      <c r="D5133" s="2" t="str">
        <f t="shared" si="79"/>
        <v>Error?</v>
      </c>
    </row>
    <row r="5134" spans="1:4" x14ac:dyDescent="0.2">
      <c r="A5134" s="5">
        <v>5073</v>
      </c>
      <c r="B5134" s="138">
        <f>'Revenues 9-14'!C125</f>
        <v>116243</v>
      </c>
      <c r="D5134" s="2" t="str">
        <f t="shared" si="79"/>
        <v>Error?</v>
      </c>
    </row>
    <row r="5135" spans="1:4" x14ac:dyDescent="0.2">
      <c r="A5135" s="5">
        <v>5074</v>
      </c>
      <c r="B5135" s="138">
        <f>'Revenues 9-14'!C126</f>
        <v>134969</v>
      </c>
      <c r="D5135" s="2" t="str">
        <f t="shared" si="79"/>
        <v>Error?</v>
      </c>
    </row>
    <row r="5136" spans="1:4" x14ac:dyDescent="0.2">
      <c r="A5136" s="10">
        <v>5075</v>
      </c>
      <c r="D5136" s="2" t="str">
        <f t="shared" si="79"/>
        <v>OK</v>
      </c>
    </row>
    <row r="5137" spans="1:4" x14ac:dyDescent="0.2">
      <c r="A5137" s="5">
        <v>5076</v>
      </c>
      <c r="B5137" s="138">
        <f>'Revenues 9-14'!C127</f>
        <v>48647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2303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669268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11154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5199</v>
      </c>
      <c r="D5167" s="2" t="str">
        <f t="shared" si="79"/>
        <v>Error?</v>
      </c>
    </row>
    <row r="5168" spans="1:4" x14ac:dyDescent="0.2">
      <c r="A5168" s="5">
        <v>5107</v>
      </c>
      <c r="B5168" s="138">
        <f>'Revenues 9-14'!C147</f>
        <v>13650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267812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969466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3889311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323248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68439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391687</v>
      </c>
      <c r="C5246" s="2" t="s">
        <v>594</v>
      </c>
      <c r="D5246" s="2" t="str">
        <f t="shared" si="80"/>
        <v>Error?</v>
      </c>
    </row>
    <row r="5247" spans="1:4" x14ac:dyDescent="0.2">
      <c r="A5247" s="5">
        <v>5186</v>
      </c>
      <c r="B5247" s="138">
        <f>'Revenues 9-14'!C203</f>
        <v>197006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197006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25477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261744</v>
      </c>
      <c r="D5278" s="2" t="str">
        <f t="shared" si="81"/>
        <v>Error?</v>
      </c>
    </row>
    <row r="5279" spans="1:4" x14ac:dyDescent="0.2">
      <c r="A5279" s="5">
        <v>5218</v>
      </c>
      <c r="B5279" s="138">
        <f>'Revenues 9-14'!C221</f>
        <v>114193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401414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1083748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1083748</v>
      </c>
      <c r="C5326" s="2" t="s">
        <v>594</v>
      </c>
      <c r="D5326" s="2" t="str">
        <f t="shared" si="82"/>
        <v>Error?</v>
      </c>
    </row>
    <row r="5327" spans="1:4" x14ac:dyDescent="0.2">
      <c r="A5327" s="5">
        <v>5266</v>
      </c>
      <c r="B5327" s="138">
        <f>'Revenues 9-14'!C275</f>
        <v>14492585</v>
      </c>
      <c r="C5327" s="2" t="s">
        <v>594</v>
      </c>
      <c r="D5327" s="2" t="str">
        <f t="shared" si="82"/>
        <v>Error?</v>
      </c>
    </row>
    <row r="5328" spans="1:4" x14ac:dyDescent="0.2">
      <c r="A5328" s="5">
        <v>5267</v>
      </c>
      <c r="B5328" s="138">
        <f>'Revenues 9-14'!D5</f>
        <v>1448684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1448684</v>
      </c>
      <c r="C5334" s="2" t="s">
        <v>594</v>
      </c>
      <c r="D5334" s="2" t="str">
        <f t="shared" si="82"/>
        <v>Error?</v>
      </c>
    </row>
    <row r="5335" spans="1:4" x14ac:dyDescent="0.2">
      <c r="A5335" s="5">
        <v>5274</v>
      </c>
      <c r="B5335" s="138">
        <f>'Revenues 9-14'!D14</f>
        <v>238</v>
      </c>
      <c r="D5335" s="2" t="str">
        <f t="shared" si="82"/>
        <v>Error?</v>
      </c>
    </row>
    <row r="5336" spans="1:4" x14ac:dyDescent="0.2">
      <c r="A5336" s="5">
        <v>5275</v>
      </c>
      <c r="B5336" s="138">
        <f>'Revenues 9-14'!D15</f>
        <v>17</v>
      </c>
      <c r="D5336" s="2" t="str">
        <f t="shared" si="82"/>
        <v>Error?</v>
      </c>
    </row>
    <row r="5337" spans="1:4" x14ac:dyDescent="0.2">
      <c r="A5337" s="5">
        <v>5276</v>
      </c>
      <c r="B5337" s="138">
        <f>'Revenues 9-14'!D16</f>
        <v>313713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313968</v>
      </c>
      <c r="C5339" s="2" t="s">
        <v>594</v>
      </c>
      <c r="D5339" s="2" t="str">
        <f t="shared" si="82"/>
        <v>Error?</v>
      </c>
    </row>
    <row r="5340" spans="1:4" x14ac:dyDescent="0.2">
      <c r="A5340" s="5">
        <v>5279</v>
      </c>
      <c r="B5340" s="138">
        <f>'Revenues 9-14'!D65</f>
        <v>17838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17838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1301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41041</v>
      </c>
      <c r="D5354" s="2" t="str">
        <f t="shared" si="82"/>
        <v>Error?</v>
      </c>
    </row>
    <row r="5355" spans="1:4" x14ac:dyDescent="0.2">
      <c r="A5355" s="5">
        <v>5294</v>
      </c>
      <c r="B5355" s="138">
        <f>'Revenues 9-14'!D108</f>
        <v>42342</v>
      </c>
      <c r="C5355" s="2" t="s">
        <v>594</v>
      </c>
      <c r="D5355" s="2" t="str">
        <f t="shared" si="82"/>
        <v>Error?</v>
      </c>
    </row>
    <row r="5356" spans="1:4" x14ac:dyDescent="0.2">
      <c r="A5356" s="5">
        <v>5295</v>
      </c>
      <c r="B5356" s="138">
        <f>'Revenues 9-14'!D109</f>
        <v>1822832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1822832</v>
      </c>
      <c r="C5508" s="2" t="s">
        <v>594</v>
      </c>
      <c r="D5508" s="2" t="str">
        <f t="shared" si="85"/>
        <v>Error?</v>
      </c>
    </row>
    <row r="5509" spans="1:4" x14ac:dyDescent="0.2">
      <c r="A5509" s="5">
        <v>5448</v>
      </c>
      <c r="B5509" s="138">
        <f>'Revenues 9-14'!E5</f>
        <v>2937440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2937440</v>
      </c>
      <c r="C5513" s="2" t="s">
        <v>594</v>
      </c>
      <c r="D5513" s="2" t="str">
        <f t="shared" si="85"/>
        <v>Error?</v>
      </c>
    </row>
    <row r="5514" spans="1:4" x14ac:dyDescent="0.2">
      <c r="A5514" s="5">
        <v>5453</v>
      </c>
      <c r="B5514" s="138">
        <f>'Revenues 9-14'!E14</f>
        <v>493</v>
      </c>
      <c r="D5514" s="2" t="str">
        <f t="shared" si="85"/>
        <v>Error?</v>
      </c>
    </row>
    <row r="5515" spans="1:4" x14ac:dyDescent="0.2">
      <c r="A5515" s="5">
        <v>5454</v>
      </c>
      <c r="B5515" s="138">
        <f>'Revenues 9-14'!E15</f>
        <v>35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528</v>
      </c>
      <c r="C5518" s="2" t="s">
        <v>594</v>
      </c>
      <c r="D5518" s="2" t="str">
        <f t="shared" si="85"/>
        <v>Error?</v>
      </c>
    </row>
    <row r="5519" spans="1:4" x14ac:dyDescent="0.2">
      <c r="A5519" s="5">
        <v>5458</v>
      </c>
      <c r="B5519" s="138">
        <f>'Revenues 9-14'!E65</f>
        <v>9764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9764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2947732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2947732</v>
      </c>
      <c r="C5552" s="2" t="s">
        <v>594</v>
      </c>
      <c r="D5552" s="2" t="str">
        <f t="shared" si="85"/>
        <v>Error?</v>
      </c>
    </row>
    <row r="5553" spans="1:4" x14ac:dyDescent="0.2">
      <c r="A5553" s="5">
        <v>5492</v>
      </c>
      <c r="B5553" s="138">
        <f>'Revenues 9-14'!F5</f>
        <v>579474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579474</v>
      </c>
      <c r="C5557" s="2" t="s">
        <v>594</v>
      </c>
      <c r="D5557" s="2" t="str">
        <f t="shared" si="85"/>
        <v>Error?</v>
      </c>
    </row>
    <row r="5558" spans="1:4" x14ac:dyDescent="0.2">
      <c r="A5558" s="5">
        <v>5497</v>
      </c>
      <c r="B5558" s="138">
        <f>'Revenues 9-14'!F14</f>
        <v>95</v>
      </c>
      <c r="D5558" s="2" t="str">
        <f t="shared" si="85"/>
        <v>Error?</v>
      </c>
    </row>
    <row r="5559" spans="1:4" x14ac:dyDescent="0.2">
      <c r="A5559" s="5">
        <v>5498</v>
      </c>
      <c r="B5559" s="138">
        <f>'Revenues 9-14'!F15</f>
        <v>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10182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10182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67362</v>
      </c>
      <c r="D5586" s="2" t="str">
        <f t="shared" si="86"/>
        <v>Error?</v>
      </c>
    </row>
    <row r="5587" spans="1:4" x14ac:dyDescent="0.2">
      <c r="A5587" s="5">
        <v>5526</v>
      </c>
      <c r="B5587" s="138">
        <f>'Revenues 9-14'!F108</f>
        <v>67362</v>
      </c>
      <c r="C5587" s="2" t="s">
        <v>594</v>
      </c>
      <c r="D5587" s="2" t="str">
        <f t="shared" si="86"/>
        <v>Error?</v>
      </c>
    </row>
    <row r="5588" spans="1:4" x14ac:dyDescent="0.2">
      <c r="A5588" s="5">
        <v>5527</v>
      </c>
      <c r="B5588" s="138">
        <f>'Revenues 9-14'!F109</f>
        <v>657120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825342</v>
      </c>
      <c r="D5615" s="2" t="str">
        <f t="shared" si="86"/>
        <v>Error?</v>
      </c>
    </row>
    <row r="5616" spans="1:4" x14ac:dyDescent="0.2">
      <c r="A5616" s="10">
        <v>5555</v>
      </c>
      <c r="D5616" s="2" t="str">
        <f t="shared" si="86"/>
        <v>OK</v>
      </c>
    </row>
    <row r="5617" spans="1:4" x14ac:dyDescent="0.2">
      <c r="A5617" s="5">
        <v>5556</v>
      </c>
      <c r="B5617" s="138">
        <f>'Revenues 9-14'!F152</f>
        <v>394432</v>
      </c>
      <c r="D5617" s="2" t="str">
        <f t="shared" si="86"/>
        <v>Error?</v>
      </c>
    </row>
    <row r="5618" spans="1:4" x14ac:dyDescent="0.2">
      <c r="A5618" s="5">
        <v>5557</v>
      </c>
      <c r="B5618" s="138">
        <f>'Revenues 9-14'!F154</f>
        <v>1219774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1219774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1219774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1876894</v>
      </c>
      <c r="C5720" s="2" t="s">
        <v>594</v>
      </c>
      <c r="D5720" s="2" t="str">
        <f t="shared" si="88"/>
        <v>Error?</v>
      </c>
    </row>
    <row r="5721" spans="1:4" x14ac:dyDescent="0.2">
      <c r="A5721" s="5">
        <v>5660</v>
      </c>
      <c r="B5721" s="138">
        <f>'Revenues 9-14'!G5</f>
        <v>467297</v>
      </c>
      <c r="D5721" s="2" t="str">
        <f t="shared" si="88"/>
        <v>Error?</v>
      </c>
    </row>
    <row r="5722" spans="1:4" x14ac:dyDescent="0.2">
      <c r="A5722" s="5">
        <v>5661</v>
      </c>
      <c r="B5722" s="138">
        <f>'Revenues 9-14'!G7</f>
        <v>0</v>
      </c>
      <c r="D5722" s="2" t="str">
        <f t="shared" si="88"/>
        <v>Error?</v>
      </c>
    </row>
    <row r="5723" spans="1:4" x14ac:dyDescent="0.2">
      <c r="A5723" s="5">
        <v>5662</v>
      </c>
      <c r="B5723" s="138">
        <f>'Revenues 9-14'!G8</f>
        <v>290719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758016</v>
      </c>
      <c r="C5725" s="2" t="s">
        <v>594</v>
      </c>
      <c r="D5725" s="2" t="str">
        <f t="shared" si="88"/>
        <v>Error?</v>
      </c>
    </row>
    <row r="5726" spans="1:4" x14ac:dyDescent="0.2">
      <c r="A5726" s="5">
        <v>5665</v>
      </c>
      <c r="B5726" s="138">
        <f>'Revenues 9-14'!G14</f>
        <v>125</v>
      </c>
      <c r="D5726" s="2" t="str">
        <f t="shared" si="88"/>
        <v>Error?</v>
      </c>
    </row>
    <row r="5727" spans="1:4" x14ac:dyDescent="0.2">
      <c r="A5727" s="5">
        <v>5666</v>
      </c>
      <c r="B5727" s="138">
        <f>'Revenues 9-14'!G15</f>
        <v>9</v>
      </c>
      <c r="D5727" s="2" t="str">
        <f t="shared" si="88"/>
        <v>Error?</v>
      </c>
    </row>
    <row r="5728" spans="1:4" x14ac:dyDescent="0.2">
      <c r="A5728" s="5">
        <v>5667</v>
      </c>
      <c r="B5728" s="138">
        <f>'Revenues 9-14'!G16</f>
        <v>16800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16934</v>
      </c>
      <c r="C5730" s="2" t="s">
        <v>594</v>
      </c>
      <c r="D5730" s="2" t="str">
        <f t="shared" si="88"/>
        <v>Error?</v>
      </c>
    </row>
    <row r="5731" spans="1:4" x14ac:dyDescent="0.2">
      <c r="A5731" s="5">
        <v>5670</v>
      </c>
      <c r="B5731" s="138">
        <f>'Revenues 9-14'!G65</f>
        <v>8246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8246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248</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248</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248</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24297</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24297</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3581</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32250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35831</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60485</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60485</v>
      </c>
      <c r="C5869" s="2" t="s">
        <v>594</v>
      </c>
      <c r="D5869" s="2" t="str">
        <f t="shared" si="90"/>
        <v>Error?</v>
      </c>
    </row>
    <row r="5870" spans="1:4" x14ac:dyDescent="0.2">
      <c r="A5870" s="5">
        <v>5809</v>
      </c>
      <c r="B5870" s="138">
        <f>'Revenues 9-14'!G275</f>
        <v>843929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18566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18566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203740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222306</v>
      </c>
      <c r="C5915" s="2" t="s">
        <v>594</v>
      </c>
      <c r="D5915" s="2" t="str">
        <f t="shared" si="91"/>
        <v>Error?</v>
      </c>
    </row>
    <row r="5916" spans="1:4" x14ac:dyDescent="0.2">
      <c r="A5916" s="5">
        <v>5855</v>
      </c>
      <c r="B5916" s="138">
        <f>'Revenues 9-14'!I5</f>
        <v>144868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144868</v>
      </c>
      <c r="C5918" s="2" t="s">
        <v>594</v>
      </c>
      <c r="D5918" s="2" t="str">
        <f t="shared" si="91"/>
        <v>Error?</v>
      </c>
    </row>
    <row r="5919" spans="1:4" x14ac:dyDescent="0.2">
      <c r="A5919" s="5">
        <v>5858</v>
      </c>
      <c r="B5919" s="138">
        <f>'Revenues 9-14'!I14</f>
        <v>24</v>
      </c>
      <c r="D5919" s="2" t="str">
        <f t="shared" si="91"/>
        <v>Error?</v>
      </c>
    </row>
    <row r="5920" spans="1:4" x14ac:dyDescent="0.2">
      <c r="A5920" s="5">
        <v>5859</v>
      </c>
      <c r="B5920" s="138">
        <f>'Revenues 9-14'!I15</f>
        <v>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26</v>
      </c>
      <c r="C5923" s="2" t="s">
        <v>594</v>
      </c>
      <c r="D5923" s="2" t="str">
        <f t="shared" si="91"/>
        <v>Error?</v>
      </c>
    </row>
    <row r="5924" spans="1:4" x14ac:dyDescent="0.2">
      <c r="A5924" s="5">
        <v>5863</v>
      </c>
      <c r="B5924" s="138">
        <f>'Revenues 9-14'!I65</f>
        <v>45996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45996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190890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144868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144868</v>
      </c>
      <c r="C5987" s="2" t="s">
        <v>594</v>
      </c>
      <c r="D5987" s="2" t="str">
        <f t="shared" si="92"/>
        <v>Error?</v>
      </c>
    </row>
    <row r="5988" spans="1:4" x14ac:dyDescent="0.2">
      <c r="A5988" s="5">
        <v>5927</v>
      </c>
      <c r="B5988" s="138">
        <f>'Revenues 9-14'!K14</f>
        <v>24</v>
      </c>
      <c r="D5988" s="2" t="str">
        <f t="shared" si="92"/>
        <v>Error?</v>
      </c>
    </row>
    <row r="5989" spans="1:4" x14ac:dyDescent="0.2">
      <c r="A5989" s="5">
        <v>5928</v>
      </c>
      <c r="B5989" s="138">
        <f>'Revenues 9-14'!K15</f>
        <v>2</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26</v>
      </c>
      <c r="C5992" s="2" t="s">
        <v>594</v>
      </c>
      <c r="D5992" s="2" t="str">
        <f t="shared" si="92"/>
        <v>Error?</v>
      </c>
    </row>
    <row r="5993" spans="1:4" x14ac:dyDescent="0.2">
      <c r="A5993" s="5">
        <v>5932</v>
      </c>
      <c r="B5993" s="138">
        <f>'Revenues 9-14'!K65</f>
        <v>2344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2344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147238</v>
      </c>
      <c r="C6023" s="2" t="s">
        <v>594</v>
      </c>
      <c r="D6023" s="2" t="str">
        <f t="shared" si="93"/>
        <v>Error?</v>
      </c>
    </row>
    <row r="6024" spans="1:5" x14ac:dyDescent="0.2">
      <c r="A6024" s="5">
        <v>5963</v>
      </c>
      <c r="B6024" s="138">
        <f>'Revenues 9-14'!G109</f>
        <v>783196</v>
      </c>
      <c r="C6024" s="2" t="s">
        <v>594</v>
      </c>
      <c r="D6024" s="2" t="str">
        <f t="shared" si="93"/>
        <v>Error?</v>
      </c>
    </row>
    <row r="6025" spans="1:5" x14ac:dyDescent="0.2">
      <c r="A6025" s="5">
        <v>5964</v>
      </c>
      <c r="B6025" s="138">
        <f>'Revenues 9-14'!H109</f>
        <v>222306</v>
      </c>
      <c r="C6025" s="2" t="s">
        <v>594</v>
      </c>
      <c r="D6025" s="2" t="str">
        <f t="shared" si="93"/>
        <v>Error?</v>
      </c>
    </row>
    <row r="6026" spans="1:5" x14ac:dyDescent="0.2">
      <c r="A6026" s="5">
        <v>5965</v>
      </c>
      <c r="B6026" s="138">
        <f>'Revenues 9-14'!I109</f>
        <v>190890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147238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74446.61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1640.11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480074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480074</v>
      </c>
      <c r="D6215" s="2" t="str">
        <f t="shared" si="96"/>
        <v>Error?</v>
      </c>
      <c r="E6215" s="2" t="s">
        <v>199</v>
      </c>
    </row>
    <row r="6216" spans="1:5" x14ac:dyDescent="0.2">
      <c r="A6216">
        <v>6155</v>
      </c>
      <c r="B6216" s="138">
        <f>'Assets-Liab 5-6'!J41</f>
        <v>480074</v>
      </c>
      <c r="D6216" s="2" t="str">
        <f t="shared" si="96"/>
        <v>Error?</v>
      </c>
      <c r="E6216" s="2" t="s">
        <v>199</v>
      </c>
    </row>
    <row r="6217" spans="1:5" x14ac:dyDescent="0.2">
      <c r="A6217">
        <v>6156</v>
      </c>
      <c r="B6217" s="138">
        <f>'Assets-Liab 5-6'!J4</f>
        <v>117821</v>
      </c>
      <c r="D6217" s="2" t="str">
        <f t="shared" si="96"/>
        <v>Error?</v>
      </c>
      <c r="E6217" s="2" t="s">
        <v>199</v>
      </c>
    </row>
    <row r="6218" spans="1:5" x14ac:dyDescent="0.2">
      <c r="A6218">
        <v>6157</v>
      </c>
      <c r="B6218" s="138">
        <f>'Assets-Liab 5-6'!J5</f>
        <v>362253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1097786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1097786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1097786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860080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860080</v>
      </c>
      <c r="D6229" s="2" t="str">
        <f t="shared" si="96"/>
        <v>Error?</v>
      </c>
      <c r="E6229" s="2" t="s">
        <v>199</v>
      </c>
    </row>
    <row r="6230" spans="1:5" x14ac:dyDescent="0.2">
      <c r="A6230">
        <v>6169</v>
      </c>
      <c r="B6230" s="138">
        <f>'Acct Summary 7-8'!J20</f>
        <v>237706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237706</v>
      </c>
      <c r="D6263" s="2" t="str">
        <f t="shared" si="96"/>
        <v>Error?</v>
      </c>
      <c r="E6263" s="2" t="s">
        <v>199</v>
      </c>
    </row>
    <row r="6264" spans="1:5" x14ac:dyDescent="0.2">
      <c r="A6264">
        <v>6203</v>
      </c>
      <c r="B6264" s="138">
        <f>'Acct Summary 7-8'!J79</f>
        <v>242368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480074</v>
      </c>
      <c r="D6266" s="2" t="str">
        <f t="shared" si="96"/>
        <v>Error?</v>
      </c>
      <c r="E6266" s="2" t="s">
        <v>199</v>
      </c>
    </row>
    <row r="6267" spans="1:5" x14ac:dyDescent="0.2">
      <c r="A6267">
        <v>6206</v>
      </c>
      <c r="B6267" s="138">
        <f>'Acct Summary 7-8'!C82</f>
        <v>1390675</v>
      </c>
      <c r="D6267" s="2" t="str">
        <f t="shared" si="96"/>
        <v>Error?</v>
      </c>
      <c r="E6267" s="2" t="s">
        <v>199</v>
      </c>
    </row>
    <row r="6268" spans="1:5" x14ac:dyDescent="0.2">
      <c r="A6268">
        <v>6207</v>
      </c>
      <c r="B6268" s="138">
        <f>'Acct Summary 7-8'!D82</f>
        <v>-53431</v>
      </c>
      <c r="D6268" s="2" t="str">
        <f t="shared" si="96"/>
        <v>Error?</v>
      </c>
      <c r="E6268" s="2" t="s">
        <v>199</v>
      </c>
    </row>
    <row r="6269" spans="1:5" x14ac:dyDescent="0.2">
      <c r="A6269">
        <v>6208</v>
      </c>
      <c r="B6269" s="138">
        <f>'Acct Summary 7-8'!E82</f>
        <v>-258037</v>
      </c>
      <c r="D6269" s="2" t="str">
        <f t="shared" si="96"/>
        <v>Error?</v>
      </c>
      <c r="E6269" s="2" t="s">
        <v>199</v>
      </c>
    </row>
    <row r="6270" spans="1:5" x14ac:dyDescent="0.2">
      <c r="A6270">
        <v>6209</v>
      </c>
      <c r="B6270" s="138">
        <f>'Acct Summary 7-8'!F82</f>
        <v>1258870</v>
      </c>
      <c r="D6270" s="2" t="str">
        <f t="shared" si="96"/>
        <v>Error?</v>
      </c>
      <c r="E6270" s="2" t="s">
        <v>199</v>
      </c>
    </row>
    <row r="6271" spans="1:5" x14ac:dyDescent="0.2">
      <c r="A6271">
        <v>6210</v>
      </c>
      <c r="B6271" s="138">
        <f>'Acct Summary 7-8'!G82</f>
        <v>115108</v>
      </c>
      <c r="D6271" s="2" t="str">
        <f t="shared" ref="D6271:D6334" si="97">IF(ISBLANK(B6271),"OK",IF(A6271-B6271=0,"OK","Error?"))</f>
        <v>Error?</v>
      </c>
      <c r="E6271" s="2" t="s">
        <v>199</v>
      </c>
    </row>
    <row r="6272" spans="1:5" x14ac:dyDescent="0.2">
      <c r="A6272">
        <v>6211</v>
      </c>
      <c r="B6272" s="138">
        <f>'Acct Summary 7-8'!H82</f>
        <v>494637</v>
      </c>
      <c r="D6272" s="2" t="str">
        <f t="shared" si="97"/>
        <v>Error?</v>
      </c>
      <c r="E6272" s="2" t="s">
        <v>199</v>
      </c>
    </row>
    <row r="6273" spans="1:5" x14ac:dyDescent="0.2">
      <c r="A6273">
        <v>6212</v>
      </c>
      <c r="B6273" s="138">
        <f>'Acct Summary 7-8'!I82</f>
        <v>2090890</v>
      </c>
      <c r="D6273" s="2" t="str">
        <f t="shared" si="97"/>
        <v>Error?</v>
      </c>
      <c r="E6273" s="2" t="s">
        <v>199</v>
      </c>
    </row>
    <row r="6274" spans="1:5" x14ac:dyDescent="0.2">
      <c r="A6274">
        <v>6213</v>
      </c>
      <c r="B6274" s="138">
        <f>'Acct Summary 7-8'!J82</f>
        <v>237706</v>
      </c>
      <c r="D6274" s="2" t="str">
        <f t="shared" si="97"/>
        <v>Error?</v>
      </c>
      <c r="E6274" s="2" t="s">
        <v>199</v>
      </c>
    </row>
    <row r="6275" spans="1:5" x14ac:dyDescent="0.2">
      <c r="A6275">
        <v>6214</v>
      </c>
      <c r="B6275" s="138">
        <f>'Acct Summary 7-8'!K82</f>
        <v>-122762</v>
      </c>
      <c r="D6275" s="2" t="str">
        <f t="shared" si="97"/>
        <v>Error?</v>
      </c>
      <c r="E6275" s="2" t="s">
        <v>199</v>
      </c>
    </row>
    <row r="6276" spans="1:5" x14ac:dyDescent="0.2">
      <c r="A6276">
        <v>6215</v>
      </c>
      <c r="B6276" s="138">
        <f>'Acct Summary 7-8'!C83</f>
        <v>0.20114062248696257</v>
      </c>
      <c r="D6276" s="2" t="str">
        <f t="shared" si="97"/>
        <v>Error?</v>
      </c>
      <c r="E6276" s="2" t="s">
        <v>199</v>
      </c>
    </row>
    <row r="6277" spans="1:5" x14ac:dyDescent="0.2">
      <c r="A6277">
        <v>6216</v>
      </c>
      <c r="B6277" s="138">
        <f>'Acct Summary 7-8'!D83</f>
        <v>-4.0663016221522914E-2</v>
      </c>
      <c r="D6277" s="2" t="str">
        <f t="shared" si="97"/>
        <v>Error?</v>
      </c>
      <c r="E6277" s="2" t="s">
        <v>199</v>
      </c>
    </row>
    <row r="6278" spans="1:5" x14ac:dyDescent="0.2">
      <c r="A6278">
        <v>6217</v>
      </c>
      <c r="B6278" s="138">
        <f>'Acct Summary 7-8'!E83</f>
        <v>-0.3796420400626761</v>
      </c>
      <c r="D6278" s="2" t="str">
        <f t="shared" si="97"/>
        <v>Error?</v>
      </c>
      <c r="E6278" s="2" t="s">
        <v>199</v>
      </c>
    </row>
    <row r="6279" spans="1:5" x14ac:dyDescent="0.2">
      <c r="A6279">
        <v>6218</v>
      </c>
      <c r="B6279" s="138">
        <f>'Acct Summary 7-8'!F83</f>
        <v>0.60304283052219609</v>
      </c>
      <c r="D6279" s="2" t="str">
        <f t="shared" si="97"/>
        <v>Error?</v>
      </c>
      <c r="E6279" s="2" t="s">
        <v>199</v>
      </c>
    </row>
    <row r="6280" spans="1:5" x14ac:dyDescent="0.2">
      <c r="A6280">
        <v>6219</v>
      </c>
      <c r="B6280" s="138">
        <f>'Acct Summary 7-8'!G83</f>
        <v>0.13769937208186742</v>
      </c>
      <c r="D6280" s="2" t="str">
        <f t="shared" si="97"/>
        <v>Error?</v>
      </c>
      <c r="E6280" s="2" t="s">
        <v>199</v>
      </c>
    </row>
    <row r="6281" spans="1:5" x14ac:dyDescent="0.2">
      <c r="A6281">
        <v>6220</v>
      </c>
      <c r="B6281" s="138">
        <f>'Acct Summary 7-8'!H83</f>
        <v>0.79648356107473761</v>
      </c>
      <c r="D6281" s="2" t="str">
        <f t="shared" si="97"/>
        <v>Error?</v>
      </c>
      <c r="E6281" s="2" t="s">
        <v>199</v>
      </c>
    </row>
    <row r="6282" spans="1:5" x14ac:dyDescent="0.2">
      <c r="A6282">
        <v>6221</v>
      </c>
      <c r="B6282" s="138">
        <f>'Acct Summary 7-8'!I83</f>
        <v>0.28071511877451938</v>
      </c>
      <c r="D6282" s="2" t="str">
        <f t="shared" si="97"/>
        <v>Error?</v>
      </c>
      <c r="E6282" s="2" t="s">
        <v>199</v>
      </c>
    </row>
    <row r="6283" spans="1:5" x14ac:dyDescent="0.2">
      <c r="A6283">
        <v>6222</v>
      </c>
      <c r="B6283" s="138">
        <f>'Acct Summary 7-8'!J83</f>
        <v>0.49514449855647252</v>
      </c>
      <c r="D6283" s="2" t="str">
        <f t="shared" si="97"/>
        <v>Error?</v>
      </c>
      <c r="E6283" s="2" t="s">
        <v>199</v>
      </c>
    </row>
    <row r="6284" spans="1:5" x14ac:dyDescent="0.2">
      <c r="A6284">
        <v>6223</v>
      </c>
      <c r="B6284" s="138">
        <f>'Acct Summary 7-8'!K83</f>
        <v>-1.205309717135816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1093034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1093034</v>
      </c>
      <c r="D6301" s="2" t="str">
        <f t="shared" si="97"/>
        <v>Error?</v>
      </c>
      <c r="E6301" s="2" t="s">
        <v>199</v>
      </c>
    </row>
    <row r="6302" spans="1:5" x14ac:dyDescent="0.2">
      <c r="A6302">
        <v>6241</v>
      </c>
      <c r="B6302" s="138">
        <f>'Revenues 9-14'!J14</f>
        <v>161</v>
      </c>
      <c r="D6302" s="2" t="str">
        <f t="shared" si="97"/>
        <v>Error?</v>
      </c>
      <c r="E6302" s="2" t="s">
        <v>199</v>
      </c>
    </row>
    <row r="6303" spans="1:5" x14ac:dyDescent="0.2">
      <c r="A6303">
        <v>6242</v>
      </c>
      <c r="B6303" s="138">
        <f>'Revenues 9-14'!J15</f>
        <v>12</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173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4579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4579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36216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11878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1097786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11154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38709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477774</v>
      </c>
      <c r="D6880" s="2" t="str">
        <f t="shared" si="106"/>
        <v>Error?</v>
      </c>
    </row>
    <row r="6881" spans="1:4" x14ac:dyDescent="0.2">
      <c r="A6881">
        <v>6820</v>
      </c>
      <c r="B6881" s="138">
        <f>'Expenditures 15-22'!K22</f>
        <v>477774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7940</v>
      </c>
      <c r="D6981" s="2" t="str">
        <f t="shared" si="108"/>
        <v>Error?</v>
      </c>
    </row>
    <row r="6982" spans="1:4" x14ac:dyDescent="0.2">
      <c r="A6982">
        <v>6921</v>
      </c>
      <c r="B6982" s="138">
        <f>'Expenditures 15-22'!K85</f>
        <v>7940</v>
      </c>
      <c r="D6982" s="2" t="str">
        <f t="shared" si="108"/>
        <v>Error?</v>
      </c>
    </row>
    <row r="6983" spans="1:4" x14ac:dyDescent="0.2">
      <c r="A6983">
        <v>6922</v>
      </c>
      <c r="B6983" s="138">
        <f>'Expenditures 15-22'!H86</f>
        <v>36483</v>
      </c>
      <c r="D6983" s="2" t="str">
        <f t="shared" si="108"/>
        <v>Error?</v>
      </c>
    </row>
    <row r="6984" spans="1:4" x14ac:dyDescent="0.2">
      <c r="A6984">
        <v>6923</v>
      </c>
      <c r="B6984" s="138">
        <f>'Expenditures 15-22'!K86</f>
        <v>36483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48650</v>
      </c>
      <c r="D6987" s="2" t="str">
        <f t="shared" si="108"/>
        <v>Error?</v>
      </c>
    </row>
    <row r="6988" spans="1:4" x14ac:dyDescent="0.2">
      <c r="A6988">
        <v>6927</v>
      </c>
      <c r="B6988" s="138">
        <f>'Expenditures 15-22'!K88</f>
        <v>48650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93073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860080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1097786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442</v>
      </c>
      <c r="D7079" s="2" t="str">
        <f t="shared" si="109"/>
        <v>Error?</v>
      </c>
    </row>
    <row r="7080" spans="1:4" x14ac:dyDescent="0.2">
      <c r="A7080">
        <v>7019</v>
      </c>
      <c r="B7080" s="138">
        <f>'Expenditures 15-22'!K226</f>
        <v>442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34861</v>
      </c>
      <c r="D7089" s="2" t="str">
        <f t="shared" si="109"/>
        <v>Error?</v>
      </c>
    </row>
    <row r="7090" spans="1:4" x14ac:dyDescent="0.2">
      <c r="A7090">
        <v>7029</v>
      </c>
      <c r="B7090" s="138">
        <f>'Expenditures 15-22'!K252</f>
        <v>34861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337721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337721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329355</v>
      </c>
      <c r="D7154" s="2" t="str">
        <f t="shared" si="110"/>
        <v>Error?</v>
      </c>
    </row>
    <row r="7155" spans="1:4" x14ac:dyDescent="0.2">
      <c r="A7155">
        <v>7094</v>
      </c>
      <c r="B7155" s="138">
        <f>'Expenditures 15-22'!D323</f>
        <v>76677</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406032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111757</v>
      </c>
      <c r="D7174" s="2" t="str">
        <f t="shared" si="111"/>
        <v>Error?</v>
      </c>
    </row>
    <row r="7175" spans="1:4" x14ac:dyDescent="0.2">
      <c r="A7175">
        <v>7114</v>
      </c>
      <c r="B7175" s="138">
        <f>'Expenditures 15-22'!F325</f>
        <v>4570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116327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329355</v>
      </c>
      <c r="D7199" s="2" t="str">
        <f t="shared" si="111"/>
        <v>Error?</v>
      </c>
    </row>
    <row r="7200" spans="1:4" x14ac:dyDescent="0.2">
      <c r="A7200">
        <v>7139</v>
      </c>
      <c r="B7200" s="138">
        <f>'Expenditures 15-22'!D330</f>
        <v>76677</v>
      </c>
      <c r="D7200" s="2" t="str">
        <f t="shared" si="111"/>
        <v>Error?</v>
      </c>
    </row>
    <row r="7201" spans="1:4" x14ac:dyDescent="0.2">
      <c r="A7201">
        <v>7140</v>
      </c>
      <c r="B7201" s="138">
        <f>'Expenditures 15-22'!E330</f>
        <v>449478</v>
      </c>
      <c r="D7201" s="2" t="str">
        <f t="shared" si="111"/>
        <v>Error?</v>
      </c>
    </row>
    <row r="7202" spans="1:4" x14ac:dyDescent="0.2">
      <c r="A7202">
        <v>7141</v>
      </c>
      <c r="B7202" s="138">
        <f>'Expenditures 15-22'!F330</f>
        <v>4570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860080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329355</v>
      </c>
      <c r="D7216" s="2" t="str">
        <f t="shared" si="111"/>
        <v>Error?</v>
      </c>
    </row>
    <row r="7217" spans="1:4" x14ac:dyDescent="0.2">
      <c r="A7217">
        <v>7156</v>
      </c>
      <c r="B7217" s="138">
        <f>'Expenditures 15-22'!D342</f>
        <v>76677</v>
      </c>
      <c r="D7217" s="2" t="str">
        <f t="shared" si="111"/>
        <v>Error?</v>
      </c>
    </row>
    <row r="7218" spans="1:4" x14ac:dyDescent="0.2">
      <c r="A7218">
        <v>7157</v>
      </c>
      <c r="B7218" s="138">
        <f>'Expenditures 15-22'!E342</f>
        <v>449478</v>
      </c>
      <c r="D7218" s="2" t="str">
        <f t="shared" si="111"/>
        <v>Error?</v>
      </c>
    </row>
    <row r="7219" spans="1:4" x14ac:dyDescent="0.2">
      <c r="A7219">
        <v>7158</v>
      </c>
      <c r="B7219" s="138">
        <f>'Expenditures 15-22'!F342</f>
        <v>4570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860080</v>
      </c>
      <c r="D7224" s="2" t="str">
        <f t="shared" si="111"/>
        <v>Error?</v>
      </c>
    </row>
    <row r="7225" spans="1:4" x14ac:dyDescent="0.2">
      <c r="A7225">
        <v>7164</v>
      </c>
      <c r="B7225" s="138">
        <f>'Expenditures 15-22'!K343</f>
        <v>237706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32512</v>
      </c>
      <c r="D7263" s="2" t="str">
        <f t="shared" si="112"/>
        <v>Error?</v>
      </c>
    </row>
    <row r="7264" spans="1:4" x14ac:dyDescent="0.2">
      <c r="A7264">
        <f t="shared" si="113"/>
        <v>7203</v>
      </c>
      <c r="B7264" s="138">
        <f>'Expenditures 15-22'!D17</f>
        <v>6197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24225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24225</v>
      </c>
      <c r="D7618" s="2" t="str">
        <f t="shared" si="124"/>
        <v>Error?</v>
      </c>
      <c r="E7618" s="2" t="s">
        <v>19</v>
      </c>
    </row>
    <row r="7619" spans="1:5" x14ac:dyDescent="0.2">
      <c r="A7619">
        <f t="shared" si="123"/>
        <v>7558</v>
      </c>
      <c r="B7619" s="138">
        <f>'Cap Outlay Deprec 26'!H14</f>
        <v>16150</v>
      </c>
      <c r="D7619" s="2" t="str">
        <f t="shared" si="124"/>
        <v>Error?</v>
      </c>
      <c r="E7619" s="2" t="s">
        <v>19</v>
      </c>
    </row>
    <row r="7620" spans="1:5" x14ac:dyDescent="0.2">
      <c r="A7620">
        <f t="shared" si="123"/>
        <v>7559</v>
      </c>
      <c r="B7620" s="138">
        <f>'Cap Outlay Deprec 26'!I14</f>
        <v>8075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24225</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1171505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126389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1438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11878.46</v>
      </c>
      <c r="D7712" s="2" t="str">
        <f t="shared" si="126"/>
        <v>Error?</v>
      </c>
      <c r="E7712" s="2" t="s">
        <v>881</v>
      </c>
    </row>
    <row r="7713" spans="1:6" x14ac:dyDescent="0.2">
      <c r="A7713">
        <v>7652</v>
      </c>
      <c r="B7713" s="138">
        <f>'Rest Tax Levies-Tort Im 25'!J8</f>
        <v>203740.17</v>
      </c>
      <c r="D7713" s="2" t="str">
        <f t="shared" si="126"/>
        <v>Error?</v>
      </c>
      <c r="E7713" s="2" t="s">
        <v>881</v>
      </c>
    </row>
    <row r="7714" spans="1:6" x14ac:dyDescent="0.2">
      <c r="A7714">
        <v>7653</v>
      </c>
      <c r="B7714" s="138">
        <f>'Rest Tax Levies-Tort Im 25'!K9</f>
        <v>13649.78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205178.17</v>
      </c>
      <c r="D7718" s="2" t="str">
        <f t="shared" si="126"/>
        <v>Error?</v>
      </c>
      <c r="E7718" s="2" t="s">
        <v>881</v>
      </c>
    </row>
    <row r="7719" spans="1:6" x14ac:dyDescent="0.2">
      <c r="A7719">
        <v>7658</v>
      </c>
      <c r="B7719" s="138">
        <f>'Rest Tax Levies-Tort Im 25'!K12</f>
        <v>25528.239999999998</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180000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180000</v>
      </c>
      <c r="D7730" s="2" t="str">
        <f t="shared" si="126"/>
        <v>Error?</v>
      </c>
      <c r="E7730" s="2" t="s">
        <v>881</v>
      </c>
    </row>
    <row r="7731" spans="1:6" x14ac:dyDescent="0.2">
      <c r="A7731">
        <v>7670</v>
      </c>
      <c r="B7731" s="138">
        <f>'Revenues 9-14'!H103</f>
        <v>203740</v>
      </c>
      <c r="D7731" s="2" t="str">
        <f t="shared" si="126"/>
        <v>Error?</v>
      </c>
      <c r="E7731" s="2" t="s">
        <v>881</v>
      </c>
    </row>
    <row r="7732" spans="1:6" x14ac:dyDescent="0.2">
      <c r="A7732">
        <v>7671</v>
      </c>
      <c r="B7732" s="138">
        <f>'Rest Tax Levies-Tort Im 25'!J24</f>
        <v>151567.17000000004</v>
      </c>
      <c r="D7732" s="2" t="str">
        <f t="shared" si="126"/>
        <v>Error?</v>
      </c>
      <c r="E7732" s="2" t="s">
        <v>881</v>
      </c>
    </row>
    <row r="7733" spans="1:6" x14ac:dyDescent="0.2">
      <c r="A7733">
        <v>7672</v>
      </c>
      <c r="B7733" s="138">
        <f>'Rest Tax Levies-Tort Im 25'!K24</f>
        <v>25528.239999999998</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151567</v>
      </c>
      <c r="D7737" s="2" t="str">
        <f t="shared" si="126"/>
        <v>Error?</v>
      </c>
      <c r="E7737" s="2" t="s">
        <v>881</v>
      </c>
    </row>
    <row r="7738" spans="1:6" x14ac:dyDescent="0.2">
      <c r="A7738">
        <v>7677</v>
      </c>
      <c r="B7738" s="138">
        <f>'Rest Tax Levies-Tort Im 25'!K25</f>
        <v>25528</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0.17000000004190952</v>
      </c>
      <c r="D7742" s="2" t="str">
        <f t="shared" si="126"/>
        <v>Error?</v>
      </c>
      <c r="E7742" s="2" t="s">
        <v>881</v>
      </c>
    </row>
    <row r="7743" spans="1:6" x14ac:dyDescent="0.2">
      <c r="A7743">
        <v>7682</v>
      </c>
      <c r="B7743" s="138">
        <f>'Rest Tax Levies-Tort Im 25'!K26</f>
        <v>0.23999999999796273</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1250000</v>
      </c>
      <c r="D7748" s="2" t="str">
        <f t="shared" si="127"/>
        <v>Error?</v>
      </c>
      <c r="E7748" s="4" t="s">
        <v>1400</v>
      </c>
    </row>
    <row r="7749" spans="1:6" x14ac:dyDescent="0.2">
      <c r="A7749">
        <v>7688</v>
      </c>
      <c r="B7749" s="138">
        <f>'Acct Summary 7-8'!D25</f>
        <v>1250000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63000</v>
      </c>
      <c r="D7797" s="2" t="str">
        <f t="shared" si="127"/>
        <v>Error?</v>
      </c>
      <c r="E7797" s="4" t="s">
        <v>2016</v>
      </c>
    </row>
    <row r="7798" spans="1:5" x14ac:dyDescent="0.2">
      <c r="A7798">
        <v>7737</v>
      </c>
      <c r="B7798" s="138">
        <f>'Contracts Paid in CY 29'!F141</f>
        <v>25000</v>
      </c>
      <c r="D7798" s="2" t="str">
        <f t="shared" si="127"/>
        <v>Error?</v>
      </c>
      <c r="E7798" s="4" t="s">
        <v>2016</v>
      </c>
    </row>
    <row r="7799" spans="1:5" x14ac:dyDescent="0.2">
      <c r="A7799">
        <v>7738</v>
      </c>
      <c r="B7799" s="138">
        <f>'Contracts Paid in CY 29'!G141</f>
        <v>38000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14" t="s">
        <v>1253</v>
      </c>
      <c r="B2" s="2514"/>
      <c r="C2" s="2514"/>
      <c r="D2" s="2514"/>
      <c r="E2" s="2514"/>
      <c r="F2" s="2514"/>
      <c r="G2" s="2514"/>
      <c r="H2" s="2514"/>
      <c r="I2" s="2514"/>
      <c r="J2" s="2514"/>
      <c r="K2" s="2514"/>
      <c r="L2" s="2514"/>
    </row>
    <row r="3" spans="1:29" ht="13.5" customHeight="1" x14ac:dyDescent="0.2">
      <c r="A3" s="2500" t="s">
        <v>1252</v>
      </c>
      <c r="B3" s="2500"/>
      <c r="C3" s="2500"/>
      <c r="D3" s="2500"/>
      <c r="E3" s="2500"/>
      <c r="F3" s="2500"/>
      <c r="G3" s="2500"/>
      <c r="H3" s="2500"/>
      <c r="I3" s="2500"/>
      <c r="J3" s="2500"/>
      <c r="K3" s="2500"/>
      <c r="L3" s="2500"/>
    </row>
    <row r="4" spans="1:29" ht="13.5" customHeight="1" x14ac:dyDescent="0.2">
      <c r="A4" s="2514" t="s">
        <v>1799</v>
      </c>
      <c r="B4" s="2531"/>
      <c r="C4" s="2531"/>
      <c r="D4" s="2531"/>
      <c r="E4" s="2531"/>
      <c r="F4" s="2531"/>
      <c r="G4" s="2531"/>
      <c r="H4" s="2531"/>
      <c r="I4" s="2531"/>
      <c r="J4" s="2531"/>
      <c r="K4" s="2531"/>
      <c r="L4" s="253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32" t="str">
        <f>COVER!A17</f>
        <v>Olympia CUSD 16</v>
      </c>
      <c r="B7" s="2533"/>
      <c r="C7" s="2533"/>
      <c r="D7" s="2534"/>
      <c r="E7" s="2535">
        <f>COVER!A13</f>
        <v>17064016026</v>
      </c>
      <c r="F7" s="2536"/>
      <c r="G7" s="2501" t="str">
        <f>COVER!T23</f>
        <v>066-005027</v>
      </c>
      <c r="H7" s="2502"/>
      <c r="I7" s="2502"/>
      <c r="J7" s="2502"/>
      <c r="K7" s="2502"/>
      <c r="L7" s="250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504"/>
      <c r="B9" s="2505"/>
      <c r="C9" s="2505"/>
      <c r="D9" s="2505"/>
      <c r="E9" s="2505"/>
      <c r="F9" s="2506"/>
      <c r="G9" s="2507" t="str">
        <f>COVER!T13</f>
        <v>Gorenz and Associates, Ltd.</v>
      </c>
      <c r="H9" s="2508"/>
      <c r="I9" s="2508"/>
      <c r="J9" s="2508"/>
      <c r="K9" s="2508"/>
      <c r="L9" s="2509"/>
    </row>
    <row r="10" spans="1:29" ht="13.5" customHeight="1" x14ac:dyDescent="0.2">
      <c r="A10" s="2491" t="str">
        <f>COVER!A38</f>
        <v>Andrew Wise</v>
      </c>
      <c r="B10" s="2492"/>
      <c r="C10" s="2492"/>
      <c r="D10" s="2492"/>
      <c r="E10" s="2492"/>
      <c r="F10" s="2493"/>
      <c r="G10" s="2507" t="str">
        <f>COVER!T17</f>
        <v>4200 N Knoxville Ave</v>
      </c>
      <c r="H10" s="2520"/>
      <c r="I10" s="2520"/>
      <c r="J10" s="2520"/>
      <c r="K10" s="2520"/>
      <c r="L10" s="2521"/>
    </row>
    <row r="11" spans="1:29" ht="13.5" customHeight="1" x14ac:dyDescent="0.2">
      <c r="A11" s="1183" t="s">
        <v>1599</v>
      </c>
      <c r="B11" s="1184"/>
      <c r="C11" s="1185"/>
      <c r="D11" s="1190"/>
      <c r="E11" s="1185"/>
      <c r="F11" s="1189"/>
      <c r="G11" s="2507" t="str">
        <f>COVER!T19</f>
        <v>Peoria</v>
      </c>
      <c r="H11" s="2520"/>
      <c r="I11" s="2520"/>
      <c r="J11" s="2520"/>
      <c r="K11" s="2520"/>
      <c r="L11" s="2521"/>
    </row>
    <row r="12" spans="1:29" ht="13.5" customHeight="1" x14ac:dyDescent="0.2">
      <c r="A12" s="2525" t="s">
        <v>1598</v>
      </c>
      <c r="B12" s="2526"/>
      <c r="C12" s="2526"/>
      <c r="D12" s="2526"/>
      <c r="E12" s="2526"/>
      <c r="F12" s="2527"/>
      <c r="G12" s="2522"/>
      <c r="H12" s="2523"/>
      <c r="I12" s="2523"/>
      <c r="J12" s="2523"/>
      <c r="K12" s="2523"/>
      <c r="L12" s="2524"/>
    </row>
    <row r="13" spans="1:29" ht="13.5" customHeight="1" x14ac:dyDescent="0.2">
      <c r="A13" s="2507"/>
      <c r="B13" s="2520"/>
      <c r="C13" s="2520"/>
      <c r="D13" s="2520"/>
      <c r="E13" s="2520"/>
      <c r="F13" s="2521"/>
      <c r="G13" s="2515" t="s">
        <v>1600</v>
      </c>
      <c r="H13" s="2516"/>
      <c r="I13" s="2528" t="str">
        <f>COVER!T25</f>
        <v>tpeffer@gorenzcpa.com</v>
      </c>
      <c r="J13" s="2529"/>
      <c r="K13" s="2529"/>
      <c r="L13" s="2530"/>
    </row>
    <row r="14" spans="1:29" ht="13.5" customHeight="1" x14ac:dyDescent="0.2">
      <c r="A14" s="2507" t="str">
        <f>COVER!A19</f>
        <v>903 E. 800 North Rd.</v>
      </c>
      <c r="B14" s="2520"/>
      <c r="C14" s="2520"/>
      <c r="D14" s="2520"/>
      <c r="E14" s="2520"/>
      <c r="F14" s="2521"/>
      <c r="G14" s="1194" t="s">
        <v>1247</v>
      </c>
      <c r="H14" s="1192"/>
      <c r="I14" s="1192"/>
      <c r="J14" s="1192"/>
      <c r="K14" s="1192"/>
      <c r="L14" s="1193"/>
    </row>
    <row r="15" spans="1:29" ht="13.5" customHeight="1" x14ac:dyDescent="0.2">
      <c r="A15" s="2507" t="str">
        <f>COVER!A21</f>
        <v>Stanford</v>
      </c>
      <c r="B15" s="2520"/>
      <c r="C15" s="2520"/>
      <c r="D15" s="2520"/>
      <c r="E15" s="2520"/>
      <c r="F15" s="2521"/>
      <c r="G15" s="2517" t="str">
        <f>COVER!T15</f>
        <v>Thomas R. Peffer, CPA</v>
      </c>
      <c r="H15" s="2518"/>
      <c r="I15" s="2518"/>
      <c r="J15" s="2518"/>
      <c r="K15" s="2518"/>
      <c r="L15" s="2519"/>
    </row>
    <row r="16" spans="1:29" ht="12.2" customHeight="1" x14ac:dyDescent="0.2">
      <c r="A16" s="2497">
        <f>COVER!A25</f>
        <v>61774</v>
      </c>
      <c r="B16" s="2498"/>
      <c r="C16" s="2498"/>
      <c r="D16" s="2498"/>
      <c r="E16" s="2498"/>
      <c r="F16" s="2499"/>
      <c r="G16" s="2510"/>
      <c r="H16" s="2511"/>
      <c r="I16" s="2511"/>
      <c r="J16" s="2511"/>
      <c r="K16" s="2511"/>
      <c r="L16" s="2512"/>
    </row>
    <row r="17" spans="1:13" ht="12.2" customHeight="1" x14ac:dyDescent="0.2">
      <c r="A17" s="2513"/>
      <c r="B17" s="2498"/>
      <c r="C17" s="2498"/>
      <c r="D17" s="2498"/>
      <c r="E17" s="2498"/>
      <c r="F17" s="2499"/>
      <c r="G17" s="1194" t="s">
        <v>1246</v>
      </c>
      <c r="H17" s="1192"/>
      <c r="I17" s="1192"/>
      <c r="J17" s="1192"/>
      <c r="K17" s="1196" t="s">
        <v>1245</v>
      </c>
      <c r="L17" s="1189"/>
      <c r="M17" s="1182"/>
    </row>
    <row r="18" spans="1:13" ht="12.2" customHeight="1" x14ac:dyDescent="0.2">
      <c r="A18" s="2491"/>
      <c r="B18" s="2492"/>
      <c r="C18" s="2492"/>
      <c r="D18" s="2492"/>
      <c r="E18" s="2492"/>
      <c r="F18" s="2493"/>
      <c r="G18" s="2494" t="str">
        <f>COVER!T21</f>
        <v>309-685-7621</v>
      </c>
      <c r="H18" s="2495"/>
      <c r="I18" s="2495"/>
      <c r="J18" s="2495"/>
      <c r="K18" s="2494" t="str">
        <f>COVER!X21</f>
        <v>309-685-4758</v>
      </c>
      <c r="L18" s="249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2082</v>
      </c>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t="s">
        <v>2082</v>
      </c>
      <c r="C26" s="1201" t="s">
        <v>1801</v>
      </c>
    </row>
    <row r="27" spans="1:13" s="1197" customFormat="1" ht="9.1999999999999993" customHeight="1" x14ac:dyDescent="0.2">
      <c r="B27" s="1202"/>
      <c r="C27" s="1201"/>
    </row>
    <row r="28" spans="1:13" s="1197" customFormat="1" ht="12.2" customHeight="1" x14ac:dyDescent="0.2">
      <c r="A28" s="1204"/>
      <c r="B28" s="1200" t="s">
        <v>2082</v>
      </c>
      <c r="C28" s="1201" t="s">
        <v>1802</v>
      </c>
    </row>
    <row r="29" spans="1:13" s="1197" customFormat="1" ht="9.1999999999999993" customHeight="1" x14ac:dyDescent="0.2">
      <c r="A29" s="1204"/>
      <c r="B29" s="1202"/>
      <c r="C29" s="1201"/>
    </row>
    <row r="30" spans="1:13" s="1197" customFormat="1" ht="12.2" customHeight="1" x14ac:dyDescent="0.2">
      <c r="B30" s="1200" t="s">
        <v>2082</v>
      </c>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t="s">
        <v>2082</v>
      </c>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t="s">
        <v>2082</v>
      </c>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t="s">
        <v>2082</v>
      </c>
      <c r="C38" s="1201" t="s">
        <v>1647</v>
      </c>
    </row>
    <row r="39" spans="1:8" ht="9.1999999999999993" customHeight="1" x14ac:dyDescent="0.2">
      <c r="B39" s="1202"/>
      <c r="C39" s="1205"/>
    </row>
    <row r="40" spans="1:8" s="1197" customFormat="1" ht="13.5" customHeight="1" x14ac:dyDescent="0.2">
      <c r="B40" s="1200" t="s">
        <v>2082</v>
      </c>
      <c r="C40" s="1201" t="s">
        <v>1648</v>
      </c>
    </row>
    <row r="41" spans="1:8" ht="9.1999999999999993" customHeight="1" x14ac:dyDescent="0.2">
      <c r="A41" s="1206"/>
      <c r="B41" s="1202"/>
      <c r="C41" s="1205"/>
    </row>
    <row r="42" spans="1:8" s="1197" customFormat="1" ht="13.5" customHeight="1" x14ac:dyDescent="0.2">
      <c r="B42" s="1200" t="s">
        <v>1231</v>
      </c>
      <c r="C42" s="1201" t="s">
        <v>1943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2082</v>
      </c>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37" t="str">
        <f>'Single Audit Cover'!A7</f>
        <v>Olympia CUSD 16</v>
      </c>
      <c r="B1" s="2531"/>
      <c r="C1" s="2531"/>
      <c r="D1" s="2531"/>
    </row>
    <row r="2" spans="1:11" s="1213" customFormat="1" ht="12.75" x14ac:dyDescent="0.2">
      <c r="A2" s="2538">
        <f>'Single Audit Cover'!E7</f>
        <v>17064016026</v>
      </c>
      <c r="B2" s="2539"/>
      <c r="C2" s="2539"/>
      <c r="D2" s="2539"/>
    </row>
    <row r="3" spans="1:11" s="1213" customFormat="1" ht="12.75" x14ac:dyDescent="0.2">
      <c r="A3" s="2537" t="s">
        <v>1593</v>
      </c>
      <c r="B3" s="2531"/>
      <c r="C3" s="2531"/>
      <c r="D3" s="2531"/>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1944</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41" t="str">
        <f>'Single Audit Cover'!A7</f>
        <v>Olympia CUSD 16</v>
      </c>
      <c r="B1" s="2541"/>
      <c r="C1" s="2541"/>
      <c r="D1" s="2541"/>
      <c r="E1" s="2541"/>
    </row>
    <row r="2" spans="1:5" x14ac:dyDescent="0.2">
      <c r="A2" s="2542">
        <f>'Single Audit Cover'!E7</f>
        <v>17064016026</v>
      </c>
      <c r="B2" s="2542"/>
      <c r="C2" s="2542"/>
      <c r="D2" s="2542"/>
      <c r="E2" s="2542"/>
    </row>
    <row r="3" spans="1:5" ht="4.5" customHeight="1" x14ac:dyDescent="0.2"/>
    <row r="4" spans="1:5" x14ac:dyDescent="0.2">
      <c r="A4" s="2541" t="s">
        <v>1307</v>
      </c>
      <c r="B4" s="2541"/>
      <c r="C4" s="2541"/>
      <c r="D4" s="2541"/>
      <c r="E4" s="2541"/>
    </row>
    <row r="5" spans="1:5" x14ac:dyDescent="0.2">
      <c r="A5" s="2544" t="str">
        <f>'Single Audit Cover'!A4</f>
        <v>Year Ending June 30, 2018</v>
      </c>
      <c r="B5" s="2544"/>
      <c r="C5" s="2544"/>
      <c r="D5" s="2544"/>
      <c r="E5" s="2544"/>
    </row>
    <row r="6" spans="1:5" x14ac:dyDescent="0.2">
      <c r="A6" s="2541" t="s">
        <v>1306</v>
      </c>
      <c r="B6" s="2541"/>
      <c r="C6" s="2541"/>
      <c r="D6" s="2541"/>
      <c r="E6" s="2541"/>
    </row>
    <row r="8" spans="1:5" x14ac:dyDescent="0.2">
      <c r="A8" s="1258" t="s">
        <v>1305</v>
      </c>
    </row>
    <row r="10" spans="1:5" x14ac:dyDescent="0.2">
      <c r="A10" s="1259" t="s">
        <v>1304</v>
      </c>
      <c r="B10" s="1260" t="s">
        <v>1303</v>
      </c>
      <c r="C10" s="1260"/>
      <c r="D10" s="1261">
        <f>SUM('Acct Summary 7-8'!C7:K7)</f>
        <v>1144233</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74446.61</v>
      </c>
    </row>
    <row r="15" spans="1:5" x14ac:dyDescent="0.2">
      <c r="A15" s="1259"/>
      <c r="B15" s="1260"/>
      <c r="C15" s="1260"/>
    </row>
    <row r="16" spans="1:5" x14ac:dyDescent="0.2">
      <c r="A16" s="1259" t="s">
        <v>1952</v>
      </c>
      <c r="B16" s="1260"/>
      <c r="C16" s="1260"/>
    </row>
    <row r="17" spans="1:4" x14ac:dyDescent="0.2">
      <c r="A17" s="1259" t="s">
        <v>1601</v>
      </c>
      <c r="B17" s="1260" t="s">
        <v>1298</v>
      </c>
      <c r="C17" s="1260"/>
      <c r="D17" s="1262">
        <f>-SUM('Revenues 9-14'!C271:D271,'Revenues 9-14'!F271:G271)</f>
        <v>-25645</v>
      </c>
    </row>
    <row r="19" spans="1:4" ht="13.5" thickBot="1" x14ac:dyDescent="0.25">
      <c r="A19" s="1263" t="s">
        <v>1297</v>
      </c>
      <c r="D19" s="1264">
        <f>SUM(D10:D17)</f>
        <v>1193034.6100000001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43" t="s">
        <v>2125</v>
      </c>
      <c r="B24" s="2543"/>
      <c r="D24" s="1266">
        <v>-74447</v>
      </c>
    </row>
    <row r="25" spans="1:4" x14ac:dyDescent="0.2">
      <c r="A25" s="2540"/>
      <c r="B25" s="2540"/>
      <c r="D25" s="1266"/>
    </row>
    <row r="26" spans="1:4" x14ac:dyDescent="0.2">
      <c r="A26" s="2540"/>
      <c r="B26" s="2540"/>
      <c r="D26" s="1266"/>
    </row>
    <row r="27" spans="1:4" x14ac:dyDescent="0.2">
      <c r="A27" s="2540"/>
      <c r="B27" s="2540"/>
      <c r="D27" s="1266"/>
    </row>
    <row r="28" spans="1:4" x14ac:dyDescent="0.2">
      <c r="A28" s="2540"/>
      <c r="B28" s="2540"/>
      <c r="D28" s="1266"/>
    </row>
    <row r="29" spans="1:4" x14ac:dyDescent="0.2">
      <c r="A29" s="2540"/>
      <c r="B29" s="2540"/>
      <c r="D29" s="1266"/>
    </row>
    <row r="30" spans="1:4" x14ac:dyDescent="0.2">
      <c r="A30" s="2540"/>
      <c r="B30" s="2540"/>
      <c r="D30" s="1266"/>
    </row>
    <row r="32" spans="1:4" x14ac:dyDescent="0.2">
      <c r="A32" s="1258" t="s">
        <v>1295</v>
      </c>
      <c r="D32" s="1261">
        <f>SUM(D19:D30)</f>
        <v>1118587.6100000001</v>
      </c>
    </row>
    <row r="33" spans="1:4" x14ac:dyDescent="0.2">
      <c r="D33" s="1267"/>
    </row>
    <row r="34" spans="1:4" x14ac:dyDescent="0.2">
      <c r="A34" s="317" t="s">
        <v>1294</v>
      </c>
    </row>
    <row r="35" spans="1:4" x14ac:dyDescent="0.2">
      <c r="A35" s="317" t="s">
        <v>1293</v>
      </c>
      <c r="B35" s="1256" t="s">
        <v>1292</v>
      </c>
      <c r="D35" s="1268">
        <v>1118588</v>
      </c>
    </row>
    <row r="37" spans="1:4" x14ac:dyDescent="0.2">
      <c r="A37" s="1258" t="s">
        <v>1291</v>
      </c>
    </row>
    <row r="39" spans="1:4" ht="13.35" customHeight="1" x14ac:dyDescent="0.2">
      <c r="A39" s="1265" t="s">
        <v>1290</v>
      </c>
    </row>
    <row r="40" spans="1:4" x14ac:dyDescent="0.2">
      <c r="A40" s="2540"/>
      <c r="B40" s="2540"/>
      <c r="D40" s="1266"/>
    </row>
    <row r="41" spans="1:4" x14ac:dyDescent="0.2">
      <c r="A41" s="2540"/>
      <c r="B41" s="2540"/>
      <c r="D41" s="1269"/>
    </row>
    <row r="42" spans="1:4" x14ac:dyDescent="0.2">
      <c r="A42" s="2540"/>
      <c r="B42" s="2540"/>
      <c r="D42" s="1269"/>
    </row>
    <row r="43" spans="1:4" x14ac:dyDescent="0.2">
      <c r="A43" s="2540"/>
      <c r="B43" s="2540"/>
      <c r="D43" s="1269"/>
    </row>
    <row r="44" spans="1:4" x14ac:dyDescent="0.2">
      <c r="A44" s="2540"/>
      <c r="B44" s="2540"/>
      <c r="D44" s="1269"/>
    </row>
    <row r="45" spans="1:4" x14ac:dyDescent="0.2">
      <c r="A45" s="2540"/>
      <c r="B45" s="2540"/>
      <c r="D45" s="1269"/>
    </row>
    <row r="47" spans="1:4" x14ac:dyDescent="0.2">
      <c r="B47" s="1270" t="s">
        <v>1289</v>
      </c>
      <c r="C47" s="1270"/>
      <c r="D47" s="1271">
        <f>SUM(D35:D45)</f>
        <v>1118588</v>
      </c>
    </row>
    <row r="49" spans="2:4" x14ac:dyDescent="0.2">
      <c r="B49" s="1270" t="s">
        <v>1288</v>
      </c>
      <c r="C49" s="1270"/>
      <c r="D49" s="1271">
        <f>D32-D47</f>
        <v>-0.38999999989755452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46" t="str">
        <f>'Single Audit Cover'!A7</f>
        <v>Olympia CUSD 16</v>
      </c>
      <c r="B1" s="2546"/>
      <c r="C1" s="2546"/>
      <c r="D1" s="2546"/>
      <c r="E1" s="2546"/>
      <c r="F1" s="2546"/>
    </row>
    <row r="2" spans="1:7" ht="13.5" customHeight="1" x14ac:dyDescent="0.2">
      <c r="A2" s="2547">
        <f>'Single Audit Cover'!E7</f>
        <v>17064016026</v>
      </c>
      <c r="B2" s="2547"/>
      <c r="C2" s="2547"/>
      <c r="D2" s="2547"/>
      <c r="E2" s="2547"/>
      <c r="F2" s="2547"/>
      <c r="G2" s="1273"/>
    </row>
    <row r="3" spans="1:7" ht="15.95" customHeight="1" x14ac:dyDescent="0.2">
      <c r="A3" s="2548" t="s">
        <v>1333</v>
      </c>
      <c r="B3" s="2548"/>
      <c r="C3" s="2548"/>
      <c r="D3" s="2548"/>
      <c r="E3" s="2548"/>
      <c r="F3" s="2548"/>
    </row>
    <row r="4" spans="1:7" ht="13.5" customHeight="1" x14ac:dyDescent="0.2">
      <c r="A4" s="2549" t="str">
        <f>'Single Audit Cover'!A4</f>
        <v>Year Ending June 30, 2018</v>
      </c>
      <c r="B4" s="2549"/>
      <c r="C4" s="2549"/>
      <c r="D4" s="2549"/>
      <c r="E4" s="2549"/>
      <c r="F4" s="2549"/>
    </row>
    <row r="5" spans="1:7" ht="8.25" customHeight="1" x14ac:dyDescent="0.2">
      <c r="C5" s="317"/>
      <c r="D5" s="317"/>
    </row>
    <row r="6" spans="1:7" ht="13.5" customHeight="1" x14ac:dyDescent="0.2">
      <c r="A6" s="1274" t="s">
        <v>1831</v>
      </c>
      <c r="C6" s="317"/>
      <c r="D6" s="317"/>
    </row>
    <row r="7" spans="1:7" ht="60.95" customHeight="1" x14ac:dyDescent="0.2">
      <c r="A7" s="2545" t="s">
        <v>2109</v>
      </c>
      <c r="B7" s="2545"/>
      <c r="C7" s="2545"/>
      <c r="D7" s="2545"/>
      <c r="E7" s="2545"/>
      <c r="F7" s="2545"/>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2082</v>
      </c>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545" t="s">
        <v>2110</v>
      </c>
      <c r="B13" s="2545"/>
      <c r="C13" s="2545"/>
      <c r="D13" s="2545"/>
      <c r="E13" s="2545"/>
      <c r="F13" s="2545"/>
    </row>
    <row r="14" spans="1:7" ht="9.75" customHeight="1" x14ac:dyDescent="0.2">
      <c r="C14" s="1258"/>
      <c r="D14" s="1258"/>
    </row>
    <row r="15" spans="1:7" ht="13.5" customHeight="1" x14ac:dyDescent="0.2">
      <c r="C15" s="1869" t="s">
        <v>1332</v>
      </c>
      <c r="D15" s="2551" t="s">
        <v>1331</v>
      </c>
      <c r="E15" s="2551"/>
      <c r="F15" s="2551"/>
    </row>
    <row r="16" spans="1:7" ht="13.5" customHeight="1" x14ac:dyDescent="0.2">
      <c r="A16" s="1280"/>
      <c r="B16" s="1274" t="s">
        <v>1330</v>
      </c>
      <c r="C16" s="1869" t="s">
        <v>1329</v>
      </c>
      <c r="D16" s="2552" t="s">
        <v>1670</v>
      </c>
      <c r="E16" s="2552"/>
      <c r="F16" s="2552"/>
    </row>
    <row r="17" spans="1:6" ht="20.45" customHeight="1" x14ac:dyDescent="0.2">
      <c r="A17" s="1281"/>
      <c r="B17" s="1954" t="s">
        <v>2111</v>
      </c>
      <c r="C17" s="1283"/>
      <c r="D17" s="2550"/>
      <c r="E17" s="2550"/>
      <c r="F17" s="2550"/>
    </row>
    <row r="18" spans="1:6" ht="20.65" hidden="1" customHeight="1" x14ac:dyDescent="0.2">
      <c r="A18" s="1281"/>
      <c r="B18" s="1282"/>
      <c r="C18" s="1283"/>
      <c r="D18" s="2550"/>
      <c r="E18" s="2550"/>
      <c r="F18" s="2550"/>
    </row>
    <row r="19" spans="1:6" ht="20.65" hidden="1" customHeight="1" x14ac:dyDescent="0.2">
      <c r="A19" s="1281"/>
      <c r="B19" s="1282"/>
      <c r="C19" s="1283"/>
      <c r="D19" s="2550"/>
      <c r="E19" s="2550"/>
      <c r="F19" s="2550"/>
    </row>
    <row r="20" spans="1:6" ht="20.65" hidden="1" customHeight="1" x14ac:dyDescent="0.2">
      <c r="A20" s="1281"/>
      <c r="B20" s="1282"/>
      <c r="C20" s="1283"/>
      <c r="D20" s="2550"/>
      <c r="E20" s="2550"/>
      <c r="F20" s="2550"/>
    </row>
    <row r="21" spans="1:6" ht="20.65" hidden="1" customHeight="1" x14ac:dyDescent="0.2">
      <c r="A21" s="1281"/>
      <c r="B21" s="1282"/>
      <c r="C21" s="1283"/>
      <c r="D21" s="2550"/>
      <c r="E21" s="2550"/>
      <c r="F21" s="2550"/>
    </row>
    <row r="22" spans="1:6" ht="20.65" hidden="1" customHeight="1" x14ac:dyDescent="0.2">
      <c r="A22" s="1281"/>
      <c r="B22" s="1282"/>
      <c r="C22" s="1283"/>
      <c r="D22" s="2550"/>
      <c r="E22" s="2550"/>
      <c r="F22" s="2550"/>
    </row>
    <row r="23" spans="1:6" ht="20.65" hidden="1" customHeight="1" x14ac:dyDescent="0.2">
      <c r="A23" s="1281"/>
      <c r="B23" s="1282"/>
      <c r="C23" s="1283"/>
      <c r="D23" s="2550"/>
      <c r="E23" s="2550"/>
      <c r="F23" s="2550"/>
    </row>
    <row r="24" spans="1:6" ht="20.65" hidden="1" customHeight="1" x14ac:dyDescent="0.2">
      <c r="A24" s="1281"/>
      <c r="B24" s="1282"/>
      <c r="C24" s="1283"/>
      <c r="D24" s="2550"/>
      <c r="E24" s="2550"/>
      <c r="F24" s="2550"/>
    </row>
    <row r="25" spans="1:6" ht="20.65" hidden="1" customHeight="1" x14ac:dyDescent="0.2">
      <c r="A25" s="1281"/>
      <c r="B25" s="1282"/>
      <c r="C25" s="1283"/>
      <c r="D25" s="2550"/>
      <c r="E25" s="2550"/>
      <c r="F25" s="2550"/>
    </row>
    <row r="26" spans="1:6" ht="20.65" hidden="1" customHeight="1" x14ac:dyDescent="0.2">
      <c r="A26" s="1281"/>
      <c r="B26" s="1282"/>
      <c r="C26" s="1283"/>
      <c r="D26" s="2550"/>
      <c r="E26" s="2550"/>
      <c r="F26" s="2550"/>
    </row>
    <row r="27" spans="1:6" ht="20.65" hidden="1" customHeight="1" x14ac:dyDescent="0.2">
      <c r="A27" s="1281"/>
      <c r="B27" s="1282"/>
      <c r="C27" s="1283"/>
      <c r="D27" s="2550"/>
      <c r="E27" s="2550"/>
      <c r="F27" s="2550"/>
    </row>
    <row r="28" spans="1:6" ht="20.65" hidden="1" customHeight="1" x14ac:dyDescent="0.2">
      <c r="A28" s="1281"/>
      <c r="B28" s="1282"/>
      <c r="C28" s="1283"/>
      <c r="D28" s="2550"/>
      <c r="E28" s="2550"/>
      <c r="F28" s="2550"/>
    </row>
    <row r="29" spans="1:6" ht="20.65" hidden="1" customHeight="1" x14ac:dyDescent="0.2">
      <c r="A29" s="1281"/>
      <c r="B29" s="1282"/>
      <c r="C29" s="1283"/>
      <c r="D29" s="2550"/>
      <c r="E29" s="2550"/>
      <c r="F29" s="2550"/>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54" t="s">
        <v>2112</v>
      </c>
      <c r="B32" s="2554"/>
      <c r="C32" s="2554"/>
      <c r="D32" s="2554"/>
      <c r="E32" s="2554"/>
      <c r="F32" s="2554"/>
    </row>
    <row r="33" spans="1:6" ht="13.5" customHeight="1" x14ac:dyDescent="0.2">
      <c r="A33" s="328" t="s">
        <v>1509</v>
      </c>
      <c r="B33" s="328"/>
      <c r="C33" s="1286">
        <v>41143</v>
      </c>
      <c r="D33" s="1926"/>
      <c r="E33" s="1284"/>
    </row>
    <row r="34" spans="1:6" ht="13.5" customHeight="1" x14ac:dyDescent="0.2">
      <c r="A34" s="328" t="s">
        <v>1945</v>
      </c>
      <c r="B34" s="328"/>
      <c r="C34" s="1287">
        <v>33304</v>
      </c>
      <c r="D34" s="1926" t="s">
        <v>1671</v>
      </c>
      <c r="E34" s="2555">
        <f>+C33+C34</f>
        <v>74447</v>
      </c>
      <c r="F34" s="2556"/>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v>0</v>
      </c>
      <c r="D38" s="1926"/>
      <c r="E38" s="1284"/>
    </row>
    <row r="39" spans="1:6" ht="14.25" customHeight="1" x14ac:dyDescent="0.2">
      <c r="A39" s="328"/>
      <c r="B39" s="328" t="s">
        <v>1511</v>
      </c>
      <c r="C39" s="1290">
        <v>0</v>
      </c>
      <c r="D39" s="1926"/>
      <c r="E39" s="1284"/>
    </row>
    <row r="40" spans="1:6" ht="14.25" customHeight="1" x14ac:dyDescent="0.2">
      <c r="A40" s="328"/>
      <c r="B40" s="328" t="s">
        <v>1512</v>
      </c>
      <c r="C40" s="1290">
        <v>0</v>
      </c>
      <c r="D40" s="1926"/>
      <c r="E40" s="1284"/>
    </row>
    <row r="41" spans="1:6" ht="14.25" customHeight="1" x14ac:dyDescent="0.2">
      <c r="A41" s="328"/>
      <c r="B41" s="328" t="s">
        <v>1513</v>
      </c>
      <c r="C41" s="1290">
        <v>0</v>
      </c>
      <c r="D41" s="1926"/>
      <c r="E41" s="1284"/>
    </row>
    <row r="42" spans="1:6" ht="14.25" customHeight="1" x14ac:dyDescent="0.2">
      <c r="A42" s="328" t="s">
        <v>1514</v>
      </c>
      <c r="B42" s="328"/>
      <c r="C42" s="1924">
        <v>0</v>
      </c>
      <c r="D42" s="1926"/>
      <c r="E42" s="1284"/>
    </row>
    <row r="43" spans="1:6" ht="14.25" customHeight="1" x14ac:dyDescent="0.2">
      <c r="A43" s="328" t="s">
        <v>1515</v>
      </c>
      <c r="B43" s="328"/>
      <c r="C43" s="1291" t="s">
        <v>401</v>
      </c>
      <c r="D43" s="1926"/>
      <c r="E43" s="1284"/>
    </row>
    <row r="44" spans="1:6" ht="14.25" customHeight="1" x14ac:dyDescent="0.2">
      <c r="A44" s="328"/>
      <c r="B44" s="328"/>
      <c r="C44" s="1928" t="s">
        <v>1516</v>
      </c>
      <c r="D44" s="1926"/>
      <c r="E44" s="1284"/>
    </row>
    <row r="45" spans="1:6" ht="14.25" customHeight="1" x14ac:dyDescent="0.2">
      <c r="A45" s="328"/>
      <c r="B45" s="328"/>
      <c r="C45" s="1928"/>
      <c r="D45" s="1926"/>
      <c r="E45" s="1284"/>
    </row>
    <row r="46" spans="1:6" ht="14.25" customHeight="1" x14ac:dyDescent="0.2">
      <c r="A46" s="1285" t="s">
        <v>2113</v>
      </c>
      <c r="B46" s="328"/>
      <c r="C46" s="1928"/>
      <c r="D46" s="1926"/>
      <c r="E46" s="1284"/>
    </row>
    <row r="47" spans="1:6" ht="14.25" customHeight="1" x14ac:dyDescent="0.2">
      <c r="A47" s="328"/>
      <c r="B47" s="2558" t="s">
        <v>2114</v>
      </c>
      <c r="C47" s="2559"/>
      <c r="D47" s="2559"/>
      <c r="E47" s="1284"/>
    </row>
    <row r="48" spans="1:6" ht="14.25" customHeight="1" x14ac:dyDescent="0.2">
      <c r="A48" s="328"/>
      <c r="B48" s="2559"/>
      <c r="C48" s="2559"/>
      <c r="D48" s="2559"/>
      <c r="E48" s="1284"/>
    </row>
    <row r="49" spans="1:6" ht="14.25" customHeight="1" x14ac:dyDescent="0.2">
      <c r="A49" s="328"/>
      <c r="B49" s="2559"/>
      <c r="C49" s="2559"/>
      <c r="D49" s="2559"/>
      <c r="E49" s="1284"/>
    </row>
    <row r="50" spans="1:6" ht="13.5" customHeight="1" x14ac:dyDescent="0.2">
      <c r="B50" s="322"/>
      <c r="C50" s="1292"/>
      <c r="D50" s="1292"/>
    </row>
    <row r="51" spans="1:6" x14ac:dyDescent="0.2">
      <c r="A51" s="1293" t="s">
        <v>1833</v>
      </c>
      <c r="C51" s="317"/>
      <c r="D51" s="317"/>
    </row>
    <row r="52" spans="1:6" s="322" customFormat="1" ht="11.25" customHeight="1" x14ac:dyDescent="0.2">
      <c r="A52" s="1294"/>
      <c r="B52" s="1295"/>
      <c r="C52" s="1295"/>
      <c r="D52" s="1295"/>
      <c r="E52" s="1295"/>
      <c r="F52" s="1295"/>
    </row>
    <row r="53" spans="1:6" s="322" customFormat="1" ht="6" customHeight="1" x14ac:dyDescent="0.2">
      <c r="A53" s="1296"/>
    </row>
    <row r="54" spans="1:6" s="1298" customFormat="1" ht="23.45" customHeight="1" x14ac:dyDescent="0.2">
      <c r="A54" s="1297">
        <v>5</v>
      </c>
      <c r="B54" s="2557" t="s">
        <v>1672</v>
      </c>
      <c r="C54" s="2557"/>
      <c r="D54" s="2557"/>
      <c r="E54" s="1397"/>
    </row>
    <row r="55" spans="1:6" s="1298" customFormat="1" ht="3.75" customHeight="1" x14ac:dyDescent="0.2">
      <c r="A55" s="1297"/>
      <c r="B55" s="1868"/>
      <c r="C55" s="1868"/>
      <c r="D55" s="1868"/>
      <c r="E55" s="1397"/>
    </row>
    <row r="56" spans="1:6" s="1298" customFormat="1" ht="20.25" customHeight="1" x14ac:dyDescent="0.2">
      <c r="A56" s="1299">
        <v>6</v>
      </c>
      <c r="B56" s="2553" t="s">
        <v>1632</v>
      </c>
      <c r="C56" s="2553"/>
      <c r="D56" s="2553"/>
    </row>
    <row r="57" spans="1:6" ht="14.25" customHeight="1" x14ac:dyDescent="0.2">
      <c r="A57" s="1299"/>
      <c r="B57" s="2553"/>
      <c r="C57" s="2553"/>
      <c r="D57" s="2553"/>
    </row>
  </sheetData>
  <mergeCells count="27">
    <mergeCell ref="B56:D56"/>
    <mergeCell ref="B57:D57"/>
    <mergeCell ref="D27:F27"/>
    <mergeCell ref="D28:F28"/>
    <mergeCell ref="D29:F29"/>
    <mergeCell ref="A32:F32"/>
    <mergeCell ref="E34:F34"/>
    <mergeCell ref="B54:D54"/>
    <mergeCell ref="B47: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V109"/>
  <sheetViews>
    <sheetView showGridLines="0" zoomScaleNormal="100" zoomScaleSheetLayoutView="85" workbookViewId="0">
      <selection sqref="A1:S1"/>
    </sheetView>
  </sheetViews>
  <sheetFormatPr defaultColWidth="16.7109375" defaultRowHeight="12.75" x14ac:dyDescent="0.2"/>
  <cols>
    <col min="1" max="1" width="6.5703125" style="2048" customWidth="1"/>
    <col min="2" max="2" width="45.85546875" style="1961" customWidth="1"/>
    <col min="3" max="3" width="9.85546875" style="1961" customWidth="1"/>
    <col min="4" max="4" width="1.85546875" style="1961" customWidth="1"/>
    <col min="5" max="5" width="11" style="1961" customWidth="1"/>
    <col min="6" max="6" width="5.28515625" style="2047" customWidth="1"/>
    <col min="7" max="7" width="13" style="1961" bestFit="1" customWidth="1"/>
    <col min="8" max="8" width="1.85546875" style="1961" customWidth="1"/>
    <col min="9" max="9" width="12.28515625" style="1961" customWidth="1"/>
    <col min="10" max="10" width="3.85546875" style="2047" customWidth="1"/>
    <col min="11" max="11" width="13.140625" style="1961" bestFit="1" customWidth="1"/>
    <col min="12" max="12" width="1.85546875" style="1961" customWidth="1"/>
    <col min="13" max="13" width="12.28515625" style="1961" customWidth="1"/>
    <col min="14" max="14" width="2.5703125" style="1961" customWidth="1"/>
    <col min="15" max="15" width="11" style="1961" customWidth="1"/>
    <col min="16" max="16" width="4.28515625" style="2047" customWidth="1"/>
    <col min="17" max="17" width="13.28515625" style="1961" bestFit="1" customWidth="1"/>
    <col min="18" max="18" width="1.85546875" style="1961" customWidth="1"/>
    <col min="19" max="19" width="12.42578125" style="1961" bestFit="1" customWidth="1"/>
    <col min="20" max="20" width="16.7109375" style="1961" customWidth="1"/>
    <col min="21" max="249" width="16.7109375" style="1961"/>
    <col min="250" max="250" width="6.5703125" style="1961" customWidth="1"/>
    <col min="251" max="251" width="45.85546875" style="1961" customWidth="1"/>
    <col min="252" max="252" width="9.85546875" style="1961" customWidth="1"/>
    <col min="253" max="253" width="1.85546875" style="1961" customWidth="1"/>
    <col min="254" max="254" width="11" style="1961" customWidth="1"/>
    <col min="255" max="255" width="5.28515625" style="1961" customWidth="1"/>
    <col min="256" max="256" width="13" style="1961" bestFit="1" customWidth="1"/>
    <col min="257" max="257" width="1.85546875" style="1961" customWidth="1"/>
    <col min="258" max="258" width="12.28515625" style="1961" customWidth="1"/>
    <col min="259" max="259" width="3.85546875" style="1961" customWidth="1"/>
    <col min="260" max="260" width="13.140625" style="1961" bestFit="1" customWidth="1"/>
    <col min="261" max="261" width="1.85546875" style="1961" customWidth="1"/>
    <col min="262" max="262" width="12.28515625" style="1961" customWidth="1"/>
    <col min="263" max="263" width="2.5703125" style="1961" customWidth="1"/>
    <col min="264" max="264" width="11" style="1961" customWidth="1"/>
    <col min="265" max="265" width="4.28515625" style="1961" customWidth="1"/>
    <col min="266" max="266" width="13.28515625" style="1961" bestFit="1" customWidth="1"/>
    <col min="267" max="267" width="1.85546875" style="1961" customWidth="1"/>
    <col min="268" max="268" width="12.42578125" style="1961" bestFit="1" customWidth="1"/>
    <col min="269" max="276" width="16.7109375" style="1961" customWidth="1"/>
    <col min="277" max="505" width="16.7109375" style="1961"/>
    <col min="506" max="506" width="6.5703125" style="1961" customWidth="1"/>
    <col min="507" max="507" width="45.85546875" style="1961" customWidth="1"/>
    <col min="508" max="508" width="9.85546875" style="1961" customWidth="1"/>
    <col min="509" max="509" width="1.85546875" style="1961" customWidth="1"/>
    <col min="510" max="510" width="11" style="1961" customWidth="1"/>
    <col min="511" max="511" width="5.28515625" style="1961" customWidth="1"/>
    <col min="512" max="512" width="13" style="1961" bestFit="1" customWidth="1"/>
    <col min="513" max="513" width="1.85546875" style="1961" customWidth="1"/>
    <col min="514" max="514" width="12.28515625" style="1961" customWidth="1"/>
    <col min="515" max="515" width="3.85546875" style="1961" customWidth="1"/>
    <col min="516" max="516" width="13.140625" style="1961" bestFit="1" customWidth="1"/>
    <col min="517" max="517" width="1.85546875" style="1961" customWidth="1"/>
    <col min="518" max="518" width="12.28515625" style="1961" customWidth="1"/>
    <col min="519" max="519" width="2.5703125" style="1961" customWidth="1"/>
    <col min="520" max="520" width="11" style="1961" customWidth="1"/>
    <col min="521" max="521" width="4.28515625" style="1961" customWidth="1"/>
    <col min="522" max="522" width="13.28515625" style="1961" bestFit="1" customWidth="1"/>
    <col min="523" max="523" width="1.85546875" style="1961" customWidth="1"/>
    <col min="524" max="524" width="12.42578125" style="1961" bestFit="1" customWidth="1"/>
    <col min="525" max="532" width="16.7109375" style="1961" customWidth="1"/>
    <col min="533" max="761" width="16.7109375" style="1961"/>
    <col min="762" max="762" width="6.5703125" style="1961" customWidth="1"/>
    <col min="763" max="763" width="45.85546875" style="1961" customWidth="1"/>
    <col min="764" max="764" width="9.85546875" style="1961" customWidth="1"/>
    <col min="765" max="765" width="1.85546875" style="1961" customWidth="1"/>
    <col min="766" max="766" width="11" style="1961" customWidth="1"/>
    <col min="767" max="767" width="5.28515625" style="1961" customWidth="1"/>
    <col min="768" max="768" width="13" style="1961" bestFit="1" customWidth="1"/>
    <col min="769" max="769" width="1.85546875" style="1961" customWidth="1"/>
    <col min="770" max="770" width="12.28515625" style="1961" customWidth="1"/>
    <col min="771" max="771" width="3.85546875" style="1961" customWidth="1"/>
    <col min="772" max="772" width="13.140625" style="1961" bestFit="1" customWidth="1"/>
    <col min="773" max="773" width="1.85546875" style="1961" customWidth="1"/>
    <col min="774" max="774" width="12.28515625" style="1961" customWidth="1"/>
    <col min="775" max="775" width="2.5703125" style="1961" customWidth="1"/>
    <col min="776" max="776" width="11" style="1961" customWidth="1"/>
    <col min="777" max="777" width="4.28515625" style="1961" customWidth="1"/>
    <col min="778" max="778" width="13.28515625" style="1961" bestFit="1" customWidth="1"/>
    <col min="779" max="779" width="1.85546875" style="1961" customWidth="1"/>
    <col min="780" max="780" width="12.42578125" style="1961" bestFit="1" customWidth="1"/>
    <col min="781" max="788" width="16.7109375" style="1961" customWidth="1"/>
    <col min="789" max="1017" width="16.7109375" style="1961"/>
    <col min="1018" max="1018" width="6.5703125" style="1961" customWidth="1"/>
    <col min="1019" max="1019" width="45.85546875" style="1961" customWidth="1"/>
    <col min="1020" max="1020" width="9.85546875" style="1961" customWidth="1"/>
    <col min="1021" max="1021" width="1.85546875" style="1961" customWidth="1"/>
    <col min="1022" max="1022" width="11" style="1961" customWidth="1"/>
    <col min="1023" max="1023" width="5.28515625" style="1961" customWidth="1"/>
    <col min="1024" max="1024" width="13" style="1961" bestFit="1" customWidth="1"/>
    <col min="1025" max="1025" width="1.85546875" style="1961" customWidth="1"/>
    <col min="1026" max="1026" width="12.28515625" style="1961" customWidth="1"/>
    <col min="1027" max="1027" width="3.85546875" style="1961" customWidth="1"/>
    <col min="1028" max="1028" width="13.140625" style="1961" bestFit="1" customWidth="1"/>
    <col min="1029" max="1029" width="1.85546875" style="1961" customWidth="1"/>
    <col min="1030" max="1030" width="12.28515625" style="1961" customWidth="1"/>
    <col min="1031" max="1031" width="2.5703125" style="1961" customWidth="1"/>
    <col min="1032" max="1032" width="11" style="1961" customWidth="1"/>
    <col min="1033" max="1033" width="4.28515625" style="1961" customWidth="1"/>
    <col min="1034" max="1034" width="13.28515625" style="1961" bestFit="1" customWidth="1"/>
    <col min="1035" max="1035" width="1.85546875" style="1961" customWidth="1"/>
    <col min="1036" max="1036" width="12.42578125" style="1961" bestFit="1" customWidth="1"/>
    <col min="1037" max="1044" width="16.7109375" style="1961" customWidth="1"/>
    <col min="1045" max="1273" width="16.7109375" style="1961"/>
    <col min="1274" max="1274" width="6.5703125" style="1961" customWidth="1"/>
    <col min="1275" max="1275" width="45.85546875" style="1961" customWidth="1"/>
    <col min="1276" max="1276" width="9.85546875" style="1961" customWidth="1"/>
    <col min="1277" max="1277" width="1.85546875" style="1961" customWidth="1"/>
    <col min="1278" max="1278" width="11" style="1961" customWidth="1"/>
    <col min="1279" max="1279" width="5.28515625" style="1961" customWidth="1"/>
    <col min="1280" max="1280" width="13" style="1961" bestFit="1" customWidth="1"/>
    <col min="1281" max="1281" width="1.85546875" style="1961" customWidth="1"/>
    <col min="1282" max="1282" width="12.28515625" style="1961" customWidth="1"/>
    <col min="1283" max="1283" width="3.85546875" style="1961" customWidth="1"/>
    <col min="1284" max="1284" width="13.140625" style="1961" bestFit="1" customWidth="1"/>
    <col min="1285" max="1285" width="1.85546875" style="1961" customWidth="1"/>
    <col min="1286" max="1286" width="12.28515625" style="1961" customWidth="1"/>
    <col min="1287" max="1287" width="2.5703125" style="1961" customWidth="1"/>
    <col min="1288" max="1288" width="11" style="1961" customWidth="1"/>
    <col min="1289" max="1289" width="4.28515625" style="1961" customWidth="1"/>
    <col min="1290" max="1290" width="13.28515625" style="1961" bestFit="1" customWidth="1"/>
    <col min="1291" max="1291" width="1.85546875" style="1961" customWidth="1"/>
    <col min="1292" max="1292" width="12.42578125" style="1961" bestFit="1" customWidth="1"/>
    <col min="1293" max="1300" width="16.7109375" style="1961" customWidth="1"/>
    <col min="1301" max="1529" width="16.7109375" style="1961"/>
    <col min="1530" max="1530" width="6.5703125" style="1961" customWidth="1"/>
    <col min="1531" max="1531" width="45.85546875" style="1961" customWidth="1"/>
    <col min="1532" max="1532" width="9.85546875" style="1961" customWidth="1"/>
    <col min="1533" max="1533" width="1.85546875" style="1961" customWidth="1"/>
    <col min="1534" max="1534" width="11" style="1961" customWidth="1"/>
    <col min="1535" max="1535" width="5.28515625" style="1961" customWidth="1"/>
    <col min="1536" max="1536" width="13" style="1961" bestFit="1" customWidth="1"/>
    <col min="1537" max="1537" width="1.85546875" style="1961" customWidth="1"/>
    <col min="1538" max="1538" width="12.28515625" style="1961" customWidth="1"/>
    <col min="1539" max="1539" width="3.85546875" style="1961" customWidth="1"/>
    <col min="1540" max="1540" width="13.140625" style="1961" bestFit="1" customWidth="1"/>
    <col min="1541" max="1541" width="1.85546875" style="1961" customWidth="1"/>
    <col min="1542" max="1542" width="12.28515625" style="1961" customWidth="1"/>
    <col min="1543" max="1543" width="2.5703125" style="1961" customWidth="1"/>
    <col min="1544" max="1544" width="11" style="1961" customWidth="1"/>
    <col min="1545" max="1545" width="4.28515625" style="1961" customWidth="1"/>
    <col min="1546" max="1546" width="13.28515625" style="1961" bestFit="1" customWidth="1"/>
    <col min="1547" max="1547" width="1.85546875" style="1961" customWidth="1"/>
    <col min="1548" max="1548" width="12.42578125" style="1961" bestFit="1" customWidth="1"/>
    <col min="1549" max="1556" width="16.7109375" style="1961" customWidth="1"/>
    <col min="1557" max="1785" width="16.7109375" style="1961"/>
    <col min="1786" max="1786" width="6.5703125" style="1961" customWidth="1"/>
    <col min="1787" max="1787" width="45.85546875" style="1961" customWidth="1"/>
    <col min="1788" max="1788" width="9.85546875" style="1961" customWidth="1"/>
    <col min="1789" max="1789" width="1.85546875" style="1961" customWidth="1"/>
    <col min="1790" max="1790" width="11" style="1961" customWidth="1"/>
    <col min="1791" max="1791" width="5.28515625" style="1961" customWidth="1"/>
    <col min="1792" max="1792" width="13" style="1961" bestFit="1" customWidth="1"/>
    <col min="1793" max="1793" width="1.85546875" style="1961" customWidth="1"/>
    <col min="1794" max="1794" width="12.28515625" style="1961" customWidth="1"/>
    <col min="1795" max="1795" width="3.85546875" style="1961" customWidth="1"/>
    <col min="1796" max="1796" width="13.140625" style="1961" bestFit="1" customWidth="1"/>
    <col min="1797" max="1797" width="1.85546875" style="1961" customWidth="1"/>
    <col min="1798" max="1798" width="12.28515625" style="1961" customWidth="1"/>
    <col min="1799" max="1799" width="2.5703125" style="1961" customWidth="1"/>
    <col min="1800" max="1800" width="11" style="1961" customWidth="1"/>
    <col min="1801" max="1801" width="4.28515625" style="1961" customWidth="1"/>
    <col min="1802" max="1802" width="13.28515625" style="1961" bestFit="1" customWidth="1"/>
    <col min="1803" max="1803" width="1.85546875" style="1961" customWidth="1"/>
    <col min="1804" max="1804" width="12.42578125" style="1961" bestFit="1" customWidth="1"/>
    <col min="1805" max="1812" width="16.7109375" style="1961" customWidth="1"/>
    <col min="1813" max="2041" width="16.7109375" style="1961"/>
    <col min="2042" max="2042" width="6.5703125" style="1961" customWidth="1"/>
    <col min="2043" max="2043" width="45.85546875" style="1961" customWidth="1"/>
    <col min="2044" max="2044" width="9.85546875" style="1961" customWidth="1"/>
    <col min="2045" max="2045" width="1.85546875" style="1961" customWidth="1"/>
    <col min="2046" max="2046" width="11" style="1961" customWidth="1"/>
    <col min="2047" max="2047" width="5.28515625" style="1961" customWidth="1"/>
    <col min="2048" max="2048" width="13" style="1961" bestFit="1" customWidth="1"/>
    <col min="2049" max="2049" width="1.85546875" style="1961" customWidth="1"/>
    <col min="2050" max="2050" width="12.28515625" style="1961" customWidth="1"/>
    <col min="2051" max="2051" width="3.85546875" style="1961" customWidth="1"/>
    <col min="2052" max="2052" width="13.140625" style="1961" bestFit="1" customWidth="1"/>
    <col min="2053" max="2053" width="1.85546875" style="1961" customWidth="1"/>
    <col min="2054" max="2054" width="12.28515625" style="1961" customWidth="1"/>
    <col min="2055" max="2055" width="2.5703125" style="1961" customWidth="1"/>
    <col min="2056" max="2056" width="11" style="1961" customWidth="1"/>
    <col min="2057" max="2057" width="4.28515625" style="1961" customWidth="1"/>
    <col min="2058" max="2058" width="13.28515625" style="1961" bestFit="1" customWidth="1"/>
    <col min="2059" max="2059" width="1.85546875" style="1961" customWidth="1"/>
    <col min="2060" max="2060" width="12.42578125" style="1961" bestFit="1" customWidth="1"/>
    <col min="2061" max="2068" width="16.7109375" style="1961" customWidth="1"/>
    <col min="2069" max="2297" width="16.7109375" style="1961"/>
    <col min="2298" max="2298" width="6.5703125" style="1961" customWidth="1"/>
    <col min="2299" max="2299" width="45.85546875" style="1961" customWidth="1"/>
    <col min="2300" max="2300" width="9.85546875" style="1961" customWidth="1"/>
    <col min="2301" max="2301" width="1.85546875" style="1961" customWidth="1"/>
    <col min="2302" max="2302" width="11" style="1961" customWidth="1"/>
    <col min="2303" max="2303" width="5.28515625" style="1961" customWidth="1"/>
    <col min="2304" max="2304" width="13" style="1961" bestFit="1" customWidth="1"/>
    <col min="2305" max="2305" width="1.85546875" style="1961" customWidth="1"/>
    <col min="2306" max="2306" width="12.28515625" style="1961" customWidth="1"/>
    <col min="2307" max="2307" width="3.85546875" style="1961" customWidth="1"/>
    <col min="2308" max="2308" width="13.140625" style="1961" bestFit="1" customWidth="1"/>
    <col min="2309" max="2309" width="1.85546875" style="1961" customWidth="1"/>
    <col min="2310" max="2310" width="12.28515625" style="1961" customWidth="1"/>
    <col min="2311" max="2311" width="2.5703125" style="1961" customWidth="1"/>
    <col min="2312" max="2312" width="11" style="1961" customWidth="1"/>
    <col min="2313" max="2313" width="4.28515625" style="1961" customWidth="1"/>
    <col min="2314" max="2314" width="13.28515625" style="1961" bestFit="1" customWidth="1"/>
    <col min="2315" max="2315" width="1.85546875" style="1961" customWidth="1"/>
    <col min="2316" max="2316" width="12.42578125" style="1961" bestFit="1" customWidth="1"/>
    <col min="2317" max="2324" width="16.7109375" style="1961" customWidth="1"/>
    <col min="2325" max="2553" width="16.7109375" style="1961"/>
    <col min="2554" max="2554" width="6.5703125" style="1961" customWidth="1"/>
    <col min="2555" max="2555" width="45.85546875" style="1961" customWidth="1"/>
    <col min="2556" max="2556" width="9.85546875" style="1961" customWidth="1"/>
    <col min="2557" max="2557" width="1.85546875" style="1961" customWidth="1"/>
    <col min="2558" max="2558" width="11" style="1961" customWidth="1"/>
    <col min="2559" max="2559" width="5.28515625" style="1961" customWidth="1"/>
    <col min="2560" max="2560" width="13" style="1961" bestFit="1" customWidth="1"/>
    <col min="2561" max="2561" width="1.85546875" style="1961" customWidth="1"/>
    <col min="2562" max="2562" width="12.28515625" style="1961" customWidth="1"/>
    <col min="2563" max="2563" width="3.85546875" style="1961" customWidth="1"/>
    <col min="2564" max="2564" width="13.140625" style="1961" bestFit="1" customWidth="1"/>
    <col min="2565" max="2565" width="1.85546875" style="1961" customWidth="1"/>
    <col min="2566" max="2566" width="12.28515625" style="1961" customWidth="1"/>
    <col min="2567" max="2567" width="2.5703125" style="1961" customWidth="1"/>
    <col min="2568" max="2568" width="11" style="1961" customWidth="1"/>
    <col min="2569" max="2569" width="4.28515625" style="1961" customWidth="1"/>
    <col min="2570" max="2570" width="13.28515625" style="1961" bestFit="1" customWidth="1"/>
    <col min="2571" max="2571" width="1.85546875" style="1961" customWidth="1"/>
    <col min="2572" max="2572" width="12.42578125" style="1961" bestFit="1" customWidth="1"/>
    <col min="2573" max="2580" width="16.7109375" style="1961" customWidth="1"/>
    <col min="2581" max="2809" width="16.7109375" style="1961"/>
    <col min="2810" max="2810" width="6.5703125" style="1961" customWidth="1"/>
    <col min="2811" max="2811" width="45.85546875" style="1961" customWidth="1"/>
    <col min="2812" max="2812" width="9.85546875" style="1961" customWidth="1"/>
    <col min="2813" max="2813" width="1.85546875" style="1961" customWidth="1"/>
    <col min="2814" max="2814" width="11" style="1961" customWidth="1"/>
    <col min="2815" max="2815" width="5.28515625" style="1961" customWidth="1"/>
    <col min="2816" max="2816" width="13" style="1961" bestFit="1" customWidth="1"/>
    <col min="2817" max="2817" width="1.85546875" style="1961" customWidth="1"/>
    <col min="2818" max="2818" width="12.28515625" style="1961" customWidth="1"/>
    <col min="2819" max="2819" width="3.85546875" style="1961" customWidth="1"/>
    <col min="2820" max="2820" width="13.140625" style="1961" bestFit="1" customWidth="1"/>
    <col min="2821" max="2821" width="1.85546875" style="1961" customWidth="1"/>
    <col min="2822" max="2822" width="12.28515625" style="1961" customWidth="1"/>
    <col min="2823" max="2823" width="2.5703125" style="1961" customWidth="1"/>
    <col min="2824" max="2824" width="11" style="1961" customWidth="1"/>
    <col min="2825" max="2825" width="4.28515625" style="1961" customWidth="1"/>
    <col min="2826" max="2826" width="13.28515625" style="1961" bestFit="1" customWidth="1"/>
    <col min="2827" max="2827" width="1.85546875" style="1961" customWidth="1"/>
    <col min="2828" max="2828" width="12.42578125" style="1961" bestFit="1" customWidth="1"/>
    <col min="2829" max="2836" width="16.7109375" style="1961" customWidth="1"/>
    <col min="2837" max="3065" width="16.7109375" style="1961"/>
    <col min="3066" max="3066" width="6.5703125" style="1961" customWidth="1"/>
    <col min="3067" max="3067" width="45.85546875" style="1961" customWidth="1"/>
    <col min="3068" max="3068" width="9.85546875" style="1961" customWidth="1"/>
    <col min="3069" max="3069" width="1.85546875" style="1961" customWidth="1"/>
    <col min="3070" max="3070" width="11" style="1961" customWidth="1"/>
    <col min="3071" max="3071" width="5.28515625" style="1961" customWidth="1"/>
    <col min="3072" max="3072" width="13" style="1961" bestFit="1" customWidth="1"/>
    <col min="3073" max="3073" width="1.85546875" style="1961" customWidth="1"/>
    <col min="3074" max="3074" width="12.28515625" style="1961" customWidth="1"/>
    <col min="3075" max="3075" width="3.85546875" style="1961" customWidth="1"/>
    <col min="3076" max="3076" width="13.140625" style="1961" bestFit="1" customWidth="1"/>
    <col min="3077" max="3077" width="1.85546875" style="1961" customWidth="1"/>
    <col min="3078" max="3078" width="12.28515625" style="1961" customWidth="1"/>
    <col min="3079" max="3079" width="2.5703125" style="1961" customWidth="1"/>
    <col min="3080" max="3080" width="11" style="1961" customWidth="1"/>
    <col min="3081" max="3081" width="4.28515625" style="1961" customWidth="1"/>
    <col min="3082" max="3082" width="13.28515625" style="1961" bestFit="1" customWidth="1"/>
    <col min="3083" max="3083" width="1.85546875" style="1961" customWidth="1"/>
    <col min="3084" max="3084" width="12.42578125" style="1961" bestFit="1" customWidth="1"/>
    <col min="3085" max="3092" width="16.7109375" style="1961" customWidth="1"/>
    <col min="3093" max="3321" width="16.7109375" style="1961"/>
    <col min="3322" max="3322" width="6.5703125" style="1961" customWidth="1"/>
    <col min="3323" max="3323" width="45.85546875" style="1961" customWidth="1"/>
    <col min="3324" max="3324" width="9.85546875" style="1961" customWidth="1"/>
    <col min="3325" max="3325" width="1.85546875" style="1961" customWidth="1"/>
    <col min="3326" max="3326" width="11" style="1961" customWidth="1"/>
    <col min="3327" max="3327" width="5.28515625" style="1961" customWidth="1"/>
    <col min="3328" max="3328" width="13" style="1961" bestFit="1" customWidth="1"/>
    <col min="3329" max="3329" width="1.85546875" style="1961" customWidth="1"/>
    <col min="3330" max="3330" width="12.28515625" style="1961" customWidth="1"/>
    <col min="3331" max="3331" width="3.85546875" style="1961" customWidth="1"/>
    <col min="3332" max="3332" width="13.140625" style="1961" bestFit="1" customWidth="1"/>
    <col min="3333" max="3333" width="1.85546875" style="1961" customWidth="1"/>
    <col min="3334" max="3334" width="12.28515625" style="1961" customWidth="1"/>
    <col min="3335" max="3335" width="2.5703125" style="1961" customWidth="1"/>
    <col min="3336" max="3336" width="11" style="1961" customWidth="1"/>
    <col min="3337" max="3337" width="4.28515625" style="1961" customWidth="1"/>
    <col min="3338" max="3338" width="13.28515625" style="1961" bestFit="1" customWidth="1"/>
    <col min="3339" max="3339" width="1.85546875" style="1961" customWidth="1"/>
    <col min="3340" max="3340" width="12.42578125" style="1961" bestFit="1" customWidth="1"/>
    <col min="3341" max="3348" width="16.7109375" style="1961" customWidth="1"/>
    <col min="3349" max="3577" width="16.7109375" style="1961"/>
    <col min="3578" max="3578" width="6.5703125" style="1961" customWidth="1"/>
    <col min="3579" max="3579" width="45.85546875" style="1961" customWidth="1"/>
    <col min="3580" max="3580" width="9.85546875" style="1961" customWidth="1"/>
    <col min="3581" max="3581" width="1.85546875" style="1961" customWidth="1"/>
    <col min="3582" max="3582" width="11" style="1961" customWidth="1"/>
    <col min="3583" max="3583" width="5.28515625" style="1961" customWidth="1"/>
    <col min="3584" max="3584" width="13" style="1961" bestFit="1" customWidth="1"/>
    <col min="3585" max="3585" width="1.85546875" style="1961" customWidth="1"/>
    <col min="3586" max="3586" width="12.28515625" style="1961" customWidth="1"/>
    <col min="3587" max="3587" width="3.85546875" style="1961" customWidth="1"/>
    <col min="3588" max="3588" width="13.140625" style="1961" bestFit="1" customWidth="1"/>
    <col min="3589" max="3589" width="1.85546875" style="1961" customWidth="1"/>
    <col min="3590" max="3590" width="12.28515625" style="1961" customWidth="1"/>
    <col min="3591" max="3591" width="2.5703125" style="1961" customWidth="1"/>
    <col min="3592" max="3592" width="11" style="1961" customWidth="1"/>
    <col min="3593" max="3593" width="4.28515625" style="1961" customWidth="1"/>
    <col min="3594" max="3594" width="13.28515625" style="1961" bestFit="1" customWidth="1"/>
    <col min="3595" max="3595" width="1.85546875" style="1961" customWidth="1"/>
    <col min="3596" max="3596" width="12.42578125" style="1961" bestFit="1" customWidth="1"/>
    <col min="3597" max="3604" width="16.7109375" style="1961" customWidth="1"/>
    <col min="3605" max="3833" width="16.7109375" style="1961"/>
    <col min="3834" max="3834" width="6.5703125" style="1961" customWidth="1"/>
    <col min="3835" max="3835" width="45.85546875" style="1961" customWidth="1"/>
    <col min="3836" max="3836" width="9.85546875" style="1961" customWidth="1"/>
    <col min="3837" max="3837" width="1.85546875" style="1961" customWidth="1"/>
    <col min="3838" max="3838" width="11" style="1961" customWidth="1"/>
    <col min="3839" max="3839" width="5.28515625" style="1961" customWidth="1"/>
    <col min="3840" max="3840" width="13" style="1961" bestFit="1" customWidth="1"/>
    <col min="3841" max="3841" width="1.85546875" style="1961" customWidth="1"/>
    <col min="3842" max="3842" width="12.28515625" style="1961" customWidth="1"/>
    <col min="3843" max="3843" width="3.85546875" style="1961" customWidth="1"/>
    <col min="3844" max="3844" width="13.140625" style="1961" bestFit="1" customWidth="1"/>
    <col min="3845" max="3845" width="1.85546875" style="1961" customWidth="1"/>
    <col min="3846" max="3846" width="12.28515625" style="1961" customWidth="1"/>
    <col min="3847" max="3847" width="2.5703125" style="1961" customWidth="1"/>
    <col min="3848" max="3848" width="11" style="1961" customWidth="1"/>
    <col min="3849" max="3849" width="4.28515625" style="1961" customWidth="1"/>
    <col min="3850" max="3850" width="13.28515625" style="1961" bestFit="1" customWidth="1"/>
    <col min="3851" max="3851" width="1.85546875" style="1961" customWidth="1"/>
    <col min="3852" max="3852" width="12.42578125" style="1961" bestFit="1" customWidth="1"/>
    <col min="3853" max="3860" width="16.7109375" style="1961" customWidth="1"/>
    <col min="3861" max="4089" width="16.7109375" style="1961"/>
    <col min="4090" max="4090" width="6.5703125" style="1961" customWidth="1"/>
    <col min="4091" max="4091" width="45.85546875" style="1961" customWidth="1"/>
    <col min="4092" max="4092" width="9.85546875" style="1961" customWidth="1"/>
    <col min="4093" max="4093" width="1.85546875" style="1961" customWidth="1"/>
    <col min="4094" max="4094" width="11" style="1961" customWidth="1"/>
    <col min="4095" max="4095" width="5.28515625" style="1961" customWidth="1"/>
    <col min="4096" max="4096" width="13" style="1961" bestFit="1" customWidth="1"/>
    <col min="4097" max="4097" width="1.85546875" style="1961" customWidth="1"/>
    <col min="4098" max="4098" width="12.28515625" style="1961" customWidth="1"/>
    <col min="4099" max="4099" width="3.85546875" style="1961" customWidth="1"/>
    <col min="4100" max="4100" width="13.140625" style="1961" bestFit="1" customWidth="1"/>
    <col min="4101" max="4101" width="1.85546875" style="1961" customWidth="1"/>
    <col min="4102" max="4102" width="12.28515625" style="1961" customWidth="1"/>
    <col min="4103" max="4103" width="2.5703125" style="1961" customWidth="1"/>
    <col min="4104" max="4104" width="11" style="1961" customWidth="1"/>
    <col min="4105" max="4105" width="4.28515625" style="1961" customWidth="1"/>
    <col min="4106" max="4106" width="13.28515625" style="1961" bestFit="1" customWidth="1"/>
    <col min="4107" max="4107" width="1.85546875" style="1961" customWidth="1"/>
    <col min="4108" max="4108" width="12.42578125" style="1961" bestFit="1" customWidth="1"/>
    <col min="4109" max="4116" width="16.7109375" style="1961" customWidth="1"/>
    <col min="4117" max="4345" width="16.7109375" style="1961"/>
    <col min="4346" max="4346" width="6.5703125" style="1961" customWidth="1"/>
    <col min="4347" max="4347" width="45.85546875" style="1961" customWidth="1"/>
    <col min="4348" max="4348" width="9.85546875" style="1961" customWidth="1"/>
    <col min="4349" max="4349" width="1.85546875" style="1961" customWidth="1"/>
    <col min="4350" max="4350" width="11" style="1961" customWidth="1"/>
    <col min="4351" max="4351" width="5.28515625" style="1961" customWidth="1"/>
    <col min="4352" max="4352" width="13" style="1961" bestFit="1" customWidth="1"/>
    <col min="4353" max="4353" width="1.85546875" style="1961" customWidth="1"/>
    <col min="4354" max="4354" width="12.28515625" style="1961" customWidth="1"/>
    <col min="4355" max="4355" width="3.85546875" style="1961" customWidth="1"/>
    <col min="4356" max="4356" width="13.140625" style="1961" bestFit="1" customWidth="1"/>
    <col min="4357" max="4357" width="1.85546875" style="1961" customWidth="1"/>
    <col min="4358" max="4358" width="12.28515625" style="1961" customWidth="1"/>
    <col min="4359" max="4359" width="2.5703125" style="1961" customWidth="1"/>
    <col min="4360" max="4360" width="11" style="1961" customWidth="1"/>
    <col min="4361" max="4361" width="4.28515625" style="1961" customWidth="1"/>
    <col min="4362" max="4362" width="13.28515625" style="1961" bestFit="1" customWidth="1"/>
    <col min="4363" max="4363" width="1.85546875" style="1961" customWidth="1"/>
    <col min="4364" max="4364" width="12.42578125" style="1961" bestFit="1" customWidth="1"/>
    <col min="4365" max="4372" width="16.7109375" style="1961" customWidth="1"/>
    <col min="4373" max="4601" width="16.7109375" style="1961"/>
    <col min="4602" max="4602" width="6.5703125" style="1961" customWidth="1"/>
    <col min="4603" max="4603" width="45.85546875" style="1961" customWidth="1"/>
    <col min="4604" max="4604" width="9.85546875" style="1961" customWidth="1"/>
    <col min="4605" max="4605" width="1.85546875" style="1961" customWidth="1"/>
    <col min="4606" max="4606" width="11" style="1961" customWidth="1"/>
    <col min="4607" max="4607" width="5.28515625" style="1961" customWidth="1"/>
    <col min="4608" max="4608" width="13" style="1961" bestFit="1" customWidth="1"/>
    <col min="4609" max="4609" width="1.85546875" style="1961" customWidth="1"/>
    <col min="4610" max="4610" width="12.28515625" style="1961" customWidth="1"/>
    <col min="4611" max="4611" width="3.85546875" style="1961" customWidth="1"/>
    <col min="4612" max="4612" width="13.140625" style="1961" bestFit="1" customWidth="1"/>
    <col min="4613" max="4613" width="1.85546875" style="1961" customWidth="1"/>
    <col min="4614" max="4614" width="12.28515625" style="1961" customWidth="1"/>
    <col min="4615" max="4615" width="2.5703125" style="1961" customWidth="1"/>
    <col min="4616" max="4616" width="11" style="1961" customWidth="1"/>
    <col min="4617" max="4617" width="4.28515625" style="1961" customWidth="1"/>
    <col min="4618" max="4618" width="13.28515625" style="1961" bestFit="1" customWidth="1"/>
    <col min="4619" max="4619" width="1.85546875" style="1961" customWidth="1"/>
    <col min="4620" max="4620" width="12.42578125" style="1961" bestFit="1" customWidth="1"/>
    <col min="4621" max="4628" width="16.7109375" style="1961" customWidth="1"/>
    <col min="4629" max="4857" width="16.7109375" style="1961"/>
    <col min="4858" max="4858" width="6.5703125" style="1961" customWidth="1"/>
    <col min="4859" max="4859" width="45.85546875" style="1961" customWidth="1"/>
    <col min="4860" max="4860" width="9.85546875" style="1961" customWidth="1"/>
    <col min="4861" max="4861" width="1.85546875" style="1961" customWidth="1"/>
    <col min="4862" max="4862" width="11" style="1961" customWidth="1"/>
    <col min="4863" max="4863" width="5.28515625" style="1961" customWidth="1"/>
    <col min="4864" max="4864" width="13" style="1961" bestFit="1" customWidth="1"/>
    <col min="4865" max="4865" width="1.85546875" style="1961" customWidth="1"/>
    <col min="4866" max="4866" width="12.28515625" style="1961" customWidth="1"/>
    <col min="4867" max="4867" width="3.85546875" style="1961" customWidth="1"/>
    <col min="4868" max="4868" width="13.140625" style="1961" bestFit="1" customWidth="1"/>
    <col min="4869" max="4869" width="1.85546875" style="1961" customWidth="1"/>
    <col min="4870" max="4870" width="12.28515625" style="1961" customWidth="1"/>
    <col min="4871" max="4871" width="2.5703125" style="1961" customWidth="1"/>
    <col min="4872" max="4872" width="11" style="1961" customWidth="1"/>
    <col min="4873" max="4873" width="4.28515625" style="1961" customWidth="1"/>
    <col min="4874" max="4874" width="13.28515625" style="1961" bestFit="1" customWidth="1"/>
    <col min="4875" max="4875" width="1.85546875" style="1961" customWidth="1"/>
    <col min="4876" max="4876" width="12.42578125" style="1961" bestFit="1" customWidth="1"/>
    <col min="4877" max="4884" width="16.7109375" style="1961" customWidth="1"/>
    <col min="4885" max="5113" width="16.7109375" style="1961"/>
    <col min="5114" max="5114" width="6.5703125" style="1961" customWidth="1"/>
    <col min="5115" max="5115" width="45.85546875" style="1961" customWidth="1"/>
    <col min="5116" max="5116" width="9.85546875" style="1961" customWidth="1"/>
    <col min="5117" max="5117" width="1.85546875" style="1961" customWidth="1"/>
    <col min="5118" max="5118" width="11" style="1961" customWidth="1"/>
    <col min="5119" max="5119" width="5.28515625" style="1961" customWidth="1"/>
    <col min="5120" max="5120" width="13" style="1961" bestFit="1" customWidth="1"/>
    <col min="5121" max="5121" width="1.85546875" style="1961" customWidth="1"/>
    <col min="5122" max="5122" width="12.28515625" style="1961" customWidth="1"/>
    <col min="5123" max="5123" width="3.85546875" style="1961" customWidth="1"/>
    <col min="5124" max="5124" width="13.140625" style="1961" bestFit="1" customWidth="1"/>
    <col min="5125" max="5125" width="1.85546875" style="1961" customWidth="1"/>
    <col min="5126" max="5126" width="12.28515625" style="1961" customWidth="1"/>
    <col min="5127" max="5127" width="2.5703125" style="1961" customWidth="1"/>
    <col min="5128" max="5128" width="11" style="1961" customWidth="1"/>
    <col min="5129" max="5129" width="4.28515625" style="1961" customWidth="1"/>
    <col min="5130" max="5130" width="13.28515625" style="1961" bestFit="1" customWidth="1"/>
    <col min="5131" max="5131" width="1.85546875" style="1961" customWidth="1"/>
    <col min="5132" max="5132" width="12.42578125" style="1961" bestFit="1" customWidth="1"/>
    <col min="5133" max="5140" width="16.7109375" style="1961" customWidth="1"/>
    <col min="5141" max="5369" width="16.7109375" style="1961"/>
    <col min="5370" max="5370" width="6.5703125" style="1961" customWidth="1"/>
    <col min="5371" max="5371" width="45.85546875" style="1961" customWidth="1"/>
    <col min="5372" max="5372" width="9.85546875" style="1961" customWidth="1"/>
    <col min="5373" max="5373" width="1.85546875" style="1961" customWidth="1"/>
    <col min="5374" max="5374" width="11" style="1961" customWidth="1"/>
    <col min="5375" max="5375" width="5.28515625" style="1961" customWidth="1"/>
    <col min="5376" max="5376" width="13" style="1961" bestFit="1" customWidth="1"/>
    <col min="5377" max="5377" width="1.85546875" style="1961" customWidth="1"/>
    <col min="5378" max="5378" width="12.28515625" style="1961" customWidth="1"/>
    <col min="5379" max="5379" width="3.85546875" style="1961" customWidth="1"/>
    <col min="5380" max="5380" width="13.140625" style="1961" bestFit="1" customWidth="1"/>
    <col min="5381" max="5381" width="1.85546875" style="1961" customWidth="1"/>
    <col min="5382" max="5382" width="12.28515625" style="1961" customWidth="1"/>
    <col min="5383" max="5383" width="2.5703125" style="1961" customWidth="1"/>
    <col min="5384" max="5384" width="11" style="1961" customWidth="1"/>
    <col min="5385" max="5385" width="4.28515625" style="1961" customWidth="1"/>
    <col min="5386" max="5386" width="13.28515625" style="1961" bestFit="1" customWidth="1"/>
    <col min="5387" max="5387" width="1.85546875" style="1961" customWidth="1"/>
    <col min="5388" max="5388" width="12.42578125" style="1961" bestFit="1" customWidth="1"/>
    <col min="5389" max="5396" width="16.7109375" style="1961" customWidth="1"/>
    <col min="5397" max="5625" width="16.7109375" style="1961"/>
    <col min="5626" max="5626" width="6.5703125" style="1961" customWidth="1"/>
    <col min="5627" max="5627" width="45.85546875" style="1961" customWidth="1"/>
    <col min="5628" max="5628" width="9.85546875" style="1961" customWidth="1"/>
    <col min="5629" max="5629" width="1.85546875" style="1961" customWidth="1"/>
    <col min="5630" max="5630" width="11" style="1961" customWidth="1"/>
    <col min="5631" max="5631" width="5.28515625" style="1961" customWidth="1"/>
    <col min="5632" max="5632" width="13" style="1961" bestFit="1" customWidth="1"/>
    <col min="5633" max="5633" width="1.85546875" style="1961" customWidth="1"/>
    <col min="5634" max="5634" width="12.28515625" style="1961" customWidth="1"/>
    <col min="5635" max="5635" width="3.85546875" style="1961" customWidth="1"/>
    <col min="5636" max="5636" width="13.140625" style="1961" bestFit="1" customWidth="1"/>
    <col min="5637" max="5637" width="1.85546875" style="1961" customWidth="1"/>
    <col min="5638" max="5638" width="12.28515625" style="1961" customWidth="1"/>
    <col min="5639" max="5639" width="2.5703125" style="1961" customWidth="1"/>
    <col min="5640" max="5640" width="11" style="1961" customWidth="1"/>
    <col min="5641" max="5641" width="4.28515625" style="1961" customWidth="1"/>
    <col min="5642" max="5642" width="13.28515625" style="1961" bestFit="1" customWidth="1"/>
    <col min="5643" max="5643" width="1.85546875" style="1961" customWidth="1"/>
    <col min="5644" max="5644" width="12.42578125" style="1961" bestFit="1" customWidth="1"/>
    <col min="5645" max="5652" width="16.7109375" style="1961" customWidth="1"/>
    <col min="5653" max="5881" width="16.7109375" style="1961"/>
    <col min="5882" max="5882" width="6.5703125" style="1961" customWidth="1"/>
    <col min="5883" max="5883" width="45.85546875" style="1961" customWidth="1"/>
    <col min="5884" max="5884" width="9.85546875" style="1961" customWidth="1"/>
    <col min="5885" max="5885" width="1.85546875" style="1961" customWidth="1"/>
    <col min="5886" max="5886" width="11" style="1961" customWidth="1"/>
    <col min="5887" max="5887" width="5.28515625" style="1961" customWidth="1"/>
    <col min="5888" max="5888" width="13" style="1961" bestFit="1" customWidth="1"/>
    <col min="5889" max="5889" width="1.85546875" style="1961" customWidth="1"/>
    <col min="5890" max="5890" width="12.28515625" style="1961" customWidth="1"/>
    <col min="5891" max="5891" width="3.85546875" style="1961" customWidth="1"/>
    <col min="5892" max="5892" width="13.140625" style="1961" bestFit="1" customWidth="1"/>
    <col min="5893" max="5893" width="1.85546875" style="1961" customWidth="1"/>
    <col min="5894" max="5894" width="12.28515625" style="1961" customWidth="1"/>
    <col min="5895" max="5895" width="2.5703125" style="1961" customWidth="1"/>
    <col min="5896" max="5896" width="11" style="1961" customWidth="1"/>
    <col min="5897" max="5897" width="4.28515625" style="1961" customWidth="1"/>
    <col min="5898" max="5898" width="13.28515625" style="1961" bestFit="1" customWidth="1"/>
    <col min="5899" max="5899" width="1.85546875" style="1961" customWidth="1"/>
    <col min="5900" max="5900" width="12.42578125" style="1961" bestFit="1" customWidth="1"/>
    <col min="5901" max="5908" width="16.7109375" style="1961" customWidth="1"/>
    <col min="5909" max="6137" width="16.7109375" style="1961"/>
    <col min="6138" max="6138" width="6.5703125" style="1961" customWidth="1"/>
    <col min="6139" max="6139" width="45.85546875" style="1961" customWidth="1"/>
    <col min="6140" max="6140" width="9.85546875" style="1961" customWidth="1"/>
    <col min="6141" max="6141" width="1.85546875" style="1961" customWidth="1"/>
    <col min="6142" max="6142" width="11" style="1961" customWidth="1"/>
    <col min="6143" max="6143" width="5.28515625" style="1961" customWidth="1"/>
    <col min="6144" max="6144" width="13" style="1961" bestFit="1" customWidth="1"/>
    <col min="6145" max="6145" width="1.85546875" style="1961" customWidth="1"/>
    <col min="6146" max="6146" width="12.28515625" style="1961" customWidth="1"/>
    <col min="6147" max="6147" width="3.85546875" style="1961" customWidth="1"/>
    <col min="6148" max="6148" width="13.140625" style="1961" bestFit="1" customWidth="1"/>
    <col min="6149" max="6149" width="1.85546875" style="1961" customWidth="1"/>
    <col min="6150" max="6150" width="12.28515625" style="1961" customWidth="1"/>
    <col min="6151" max="6151" width="2.5703125" style="1961" customWidth="1"/>
    <col min="6152" max="6152" width="11" style="1961" customWidth="1"/>
    <col min="6153" max="6153" width="4.28515625" style="1961" customWidth="1"/>
    <col min="6154" max="6154" width="13.28515625" style="1961" bestFit="1" customWidth="1"/>
    <col min="6155" max="6155" width="1.85546875" style="1961" customWidth="1"/>
    <col min="6156" max="6156" width="12.42578125" style="1961" bestFit="1" customWidth="1"/>
    <col min="6157" max="6164" width="16.7109375" style="1961" customWidth="1"/>
    <col min="6165" max="6393" width="16.7109375" style="1961"/>
    <col min="6394" max="6394" width="6.5703125" style="1961" customWidth="1"/>
    <col min="6395" max="6395" width="45.85546875" style="1961" customWidth="1"/>
    <col min="6396" max="6396" width="9.85546875" style="1961" customWidth="1"/>
    <col min="6397" max="6397" width="1.85546875" style="1961" customWidth="1"/>
    <col min="6398" max="6398" width="11" style="1961" customWidth="1"/>
    <col min="6399" max="6399" width="5.28515625" style="1961" customWidth="1"/>
    <col min="6400" max="6400" width="13" style="1961" bestFit="1" customWidth="1"/>
    <col min="6401" max="6401" width="1.85546875" style="1961" customWidth="1"/>
    <col min="6402" max="6402" width="12.28515625" style="1961" customWidth="1"/>
    <col min="6403" max="6403" width="3.85546875" style="1961" customWidth="1"/>
    <col min="6404" max="6404" width="13.140625" style="1961" bestFit="1" customWidth="1"/>
    <col min="6405" max="6405" width="1.85546875" style="1961" customWidth="1"/>
    <col min="6406" max="6406" width="12.28515625" style="1961" customWidth="1"/>
    <col min="6407" max="6407" width="2.5703125" style="1961" customWidth="1"/>
    <col min="6408" max="6408" width="11" style="1961" customWidth="1"/>
    <col min="6409" max="6409" width="4.28515625" style="1961" customWidth="1"/>
    <col min="6410" max="6410" width="13.28515625" style="1961" bestFit="1" customWidth="1"/>
    <col min="6411" max="6411" width="1.85546875" style="1961" customWidth="1"/>
    <col min="6412" max="6412" width="12.42578125" style="1961" bestFit="1" customWidth="1"/>
    <col min="6413" max="6420" width="16.7109375" style="1961" customWidth="1"/>
    <col min="6421" max="6649" width="16.7109375" style="1961"/>
    <col min="6650" max="6650" width="6.5703125" style="1961" customWidth="1"/>
    <col min="6651" max="6651" width="45.85546875" style="1961" customWidth="1"/>
    <col min="6652" max="6652" width="9.85546875" style="1961" customWidth="1"/>
    <col min="6653" max="6653" width="1.85546875" style="1961" customWidth="1"/>
    <col min="6654" max="6654" width="11" style="1961" customWidth="1"/>
    <col min="6655" max="6655" width="5.28515625" style="1961" customWidth="1"/>
    <col min="6656" max="6656" width="13" style="1961" bestFit="1" customWidth="1"/>
    <col min="6657" max="6657" width="1.85546875" style="1961" customWidth="1"/>
    <col min="6658" max="6658" width="12.28515625" style="1961" customWidth="1"/>
    <col min="6659" max="6659" width="3.85546875" style="1961" customWidth="1"/>
    <col min="6660" max="6660" width="13.140625" style="1961" bestFit="1" customWidth="1"/>
    <col min="6661" max="6661" width="1.85546875" style="1961" customWidth="1"/>
    <col min="6662" max="6662" width="12.28515625" style="1961" customWidth="1"/>
    <col min="6663" max="6663" width="2.5703125" style="1961" customWidth="1"/>
    <col min="6664" max="6664" width="11" style="1961" customWidth="1"/>
    <col min="6665" max="6665" width="4.28515625" style="1961" customWidth="1"/>
    <col min="6666" max="6666" width="13.28515625" style="1961" bestFit="1" customWidth="1"/>
    <col min="6667" max="6667" width="1.85546875" style="1961" customWidth="1"/>
    <col min="6668" max="6668" width="12.42578125" style="1961" bestFit="1" customWidth="1"/>
    <col min="6669" max="6676" width="16.7109375" style="1961" customWidth="1"/>
    <col min="6677" max="6905" width="16.7109375" style="1961"/>
    <col min="6906" max="6906" width="6.5703125" style="1961" customWidth="1"/>
    <col min="6907" max="6907" width="45.85546875" style="1961" customWidth="1"/>
    <col min="6908" max="6908" width="9.85546875" style="1961" customWidth="1"/>
    <col min="6909" max="6909" width="1.85546875" style="1961" customWidth="1"/>
    <col min="6910" max="6910" width="11" style="1961" customWidth="1"/>
    <col min="6911" max="6911" width="5.28515625" style="1961" customWidth="1"/>
    <col min="6912" max="6912" width="13" style="1961" bestFit="1" customWidth="1"/>
    <col min="6913" max="6913" width="1.85546875" style="1961" customWidth="1"/>
    <col min="6914" max="6914" width="12.28515625" style="1961" customWidth="1"/>
    <col min="6915" max="6915" width="3.85546875" style="1961" customWidth="1"/>
    <col min="6916" max="6916" width="13.140625" style="1961" bestFit="1" customWidth="1"/>
    <col min="6917" max="6917" width="1.85546875" style="1961" customWidth="1"/>
    <col min="6918" max="6918" width="12.28515625" style="1961" customWidth="1"/>
    <col min="6919" max="6919" width="2.5703125" style="1961" customWidth="1"/>
    <col min="6920" max="6920" width="11" style="1961" customWidth="1"/>
    <col min="6921" max="6921" width="4.28515625" style="1961" customWidth="1"/>
    <col min="6922" max="6922" width="13.28515625" style="1961" bestFit="1" customWidth="1"/>
    <col min="6923" max="6923" width="1.85546875" style="1961" customWidth="1"/>
    <col min="6924" max="6924" width="12.42578125" style="1961" bestFit="1" customWidth="1"/>
    <col min="6925" max="6932" width="16.7109375" style="1961" customWidth="1"/>
    <col min="6933" max="7161" width="16.7109375" style="1961"/>
    <col min="7162" max="7162" width="6.5703125" style="1961" customWidth="1"/>
    <col min="7163" max="7163" width="45.85546875" style="1961" customWidth="1"/>
    <col min="7164" max="7164" width="9.85546875" style="1961" customWidth="1"/>
    <col min="7165" max="7165" width="1.85546875" style="1961" customWidth="1"/>
    <col min="7166" max="7166" width="11" style="1961" customWidth="1"/>
    <col min="7167" max="7167" width="5.28515625" style="1961" customWidth="1"/>
    <col min="7168" max="7168" width="13" style="1961" bestFit="1" customWidth="1"/>
    <col min="7169" max="7169" width="1.85546875" style="1961" customWidth="1"/>
    <col min="7170" max="7170" width="12.28515625" style="1961" customWidth="1"/>
    <col min="7171" max="7171" width="3.85546875" style="1961" customWidth="1"/>
    <col min="7172" max="7172" width="13.140625" style="1961" bestFit="1" customWidth="1"/>
    <col min="7173" max="7173" width="1.85546875" style="1961" customWidth="1"/>
    <col min="7174" max="7174" width="12.28515625" style="1961" customWidth="1"/>
    <col min="7175" max="7175" width="2.5703125" style="1961" customWidth="1"/>
    <col min="7176" max="7176" width="11" style="1961" customWidth="1"/>
    <col min="7177" max="7177" width="4.28515625" style="1961" customWidth="1"/>
    <col min="7178" max="7178" width="13.28515625" style="1961" bestFit="1" customWidth="1"/>
    <col min="7179" max="7179" width="1.85546875" style="1961" customWidth="1"/>
    <col min="7180" max="7180" width="12.42578125" style="1961" bestFit="1" customWidth="1"/>
    <col min="7181" max="7188" width="16.7109375" style="1961" customWidth="1"/>
    <col min="7189" max="7417" width="16.7109375" style="1961"/>
    <col min="7418" max="7418" width="6.5703125" style="1961" customWidth="1"/>
    <col min="7419" max="7419" width="45.85546875" style="1961" customWidth="1"/>
    <col min="7420" max="7420" width="9.85546875" style="1961" customWidth="1"/>
    <col min="7421" max="7421" width="1.85546875" style="1961" customWidth="1"/>
    <col min="7422" max="7422" width="11" style="1961" customWidth="1"/>
    <col min="7423" max="7423" width="5.28515625" style="1961" customWidth="1"/>
    <col min="7424" max="7424" width="13" style="1961" bestFit="1" customWidth="1"/>
    <col min="7425" max="7425" width="1.85546875" style="1961" customWidth="1"/>
    <col min="7426" max="7426" width="12.28515625" style="1961" customWidth="1"/>
    <col min="7427" max="7427" width="3.85546875" style="1961" customWidth="1"/>
    <col min="7428" max="7428" width="13.140625" style="1961" bestFit="1" customWidth="1"/>
    <col min="7429" max="7429" width="1.85546875" style="1961" customWidth="1"/>
    <col min="7430" max="7430" width="12.28515625" style="1961" customWidth="1"/>
    <col min="7431" max="7431" width="2.5703125" style="1961" customWidth="1"/>
    <col min="7432" max="7432" width="11" style="1961" customWidth="1"/>
    <col min="7433" max="7433" width="4.28515625" style="1961" customWidth="1"/>
    <col min="7434" max="7434" width="13.28515625" style="1961" bestFit="1" customWidth="1"/>
    <col min="7435" max="7435" width="1.85546875" style="1961" customWidth="1"/>
    <col min="7436" max="7436" width="12.42578125" style="1961" bestFit="1" customWidth="1"/>
    <col min="7437" max="7444" width="16.7109375" style="1961" customWidth="1"/>
    <col min="7445" max="7673" width="16.7109375" style="1961"/>
    <col min="7674" max="7674" width="6.5703125" style="1961" customWidth="1"/>
    <col min="7675" max="7675" width="45.85546875" style="1961" customWidth="1"/>
    <col min="7676" max="7676" width="9.85546875" style="1961" customWidth="1"/>
    <col min="7677" max="7677" width="1.85546875" style="1961" customWidth="1"/>
    <col min="7678" max="7678" width="11" style="1961" customWidth="1"/>
    <col min="7679" max="7679" width="5.28515625" style="1961" customWidth="1"/>
    <col min="7680" max="7680" width="13" style="1961" bestFit="1" customWidth="1"/>
    <col min="7681" max="7681" width="1.85546875" style="1961" customWidth="1"/>
    <col min="7682" max="7682" width="12.28515625" style="1961" customWidth="1"/>
    <col min="7683" max="7683" width="3.85546875" style="1961" customWidth="1"/>
    <col min="7684" max="7684" width="13.140625" style="1961" bestFit="1" customWidth="1"/>
    <col min="7685" max="7685" width="1.85546875" style="1961" customWidth="1"/>
    <col min="7686" max="7686" width="12.28515625" style="1961" customWidth="1"/>
    <col min="7687" max="7687" width="2.5703125" style="1961" customWidth="1"/>
    <col min="7688" max="7688" width="11" style="1961" customWidth="1"/>
    <col min="7689" max="7689" width="4.28515625" style="1961" customWidth="1"/>
    <col min="7690" max="7690" width="13.28515625" style="1961" bestFit="1" customWidth="1"/>
    <col min="7691" max="7691" width="1.85546875" style="1961" customWidth="1"/>
    <col min="7692" max="7692" width="12.42578125" style="1961" bestFit="1" customWidth="1"/>
    <col min="7693" max="7700" width="16.7109375" style="1961" customWidth="1"/>
    <col min="7701" max="7929" width="16.7109375" style="1961"/>
    <col min="7930" max="7930" width="6.5703125" style="1961" customWidth="1"/>
    <col min="7931" max="7931" width="45.85546875" style="1961" customWidth="1"/>
    <col min="7932" max="7932" width="9.85546875" style="1961" customWidth="1"/>
    <col min="7933" max="7933" width="1.85546875" style="1961" customWidth="1"/>
    <col min="7934" max="7934" width="11" style="1961" customWidth="1"/>
    <col min="7935" max="7935" width="5.28515625" style="1961" customWidth="1"/>
    <col min="7936" max="7936" width="13" style="1961" bestFit="1" customWidth="1"/>
    <col min="7937" max="7937" width="1.85546875" style="1961" customWidth="1"/>
    <col min="7938" max="7938" width="12.28515625" style="1961" customWidth="1"/>
    <col min="7939" max="7939" width="3.85546875" style="1961" customWidth="1"/>
    <col min="7940" max="7940" width="13.140625" style="1961" bestFit="1" customWidth="1"/>
    <col min="7941" max="7941" width="1.85546875" style="1961" customWidth="1"/>
    <col min="7942" max="7942" width="12.28515625" style="1961" customWidth="1"/>
    <col min="7943" max="7943" width="2.5703125" style="1961" customWidth="1"/>
    <col min="7944" max="7944" width="11" style="1961" customWidth="1"/>
    <col min="7945" max="7945" width="4.28515625" style="1961" customWidth="1"/>
    <col min="7946" max="7946" width="13.28515625" style="1961" bestFit="1" customWidth="1"/>
    <col min="7947" max="7947" width="1.85546875" style="1961" customWidth="1"/>
    <col min="7948" max="7948" width="12.42578125" style="1961" bestFit="1" customWidth="1"/>
    <col min="7949" max="7956" width="16.7109375" style="1961" customWidth="1"/>
    <col min="7957" max="8185" width="16.7109375" style="1961"/>
    <col min="8186" max="8186" width="6.5703125" style="1961" customWidth="1"/>
    <col min="8187" max="8187" width="45.85546875" style="1961" customWidth="1"/>
    <col min="8188" max="8188" width="9.85546875" style="1961" customWidth="1"/>
    <col min="8189" max="8189" width="1.85546875" style="1961" customWidth="1"/>
    <col min="8190" max="8190" width="11" style="1961" customWidth="1"/>
    <col min="8191" max="8191" width="5.28515625" style="1961" customWidth="1"/>
    <col min="8192" max="8192" width="13" style="1961" bestFit="1" customWidth="1"/>
    <col min="8193" max="8193" width="1.85546875" style="1961" customWidth="1"/>
    <col min="8194" max="8194" width="12.28515625" style="1961" customWidth="1"/>
    <col min="8195" max="8195" width="3.85546875" style="1961" customWidth="1"/>
    <col min="8196" max="8196" width="13.140625" style="1961" bestFit="1" customWidth="1"/>
    <col min="8197" max="8197" width="1.85546875" style="1961" customWidth="1"/>
    <col min="8198" max="8198" width="12.28515625" style="1961" customWidth="1"/>
    <col min="8199" max="8199" width="2.5703125" style="1961" customWidth="1"/>
    <col min="8200" max="8200" width="11" style="1961" customWidth="1"/>
    <col min="8201" max="8201" width="4.28515625" style="1961" customWidth="1"/>
    <col min="8202" max="8202" width="13.28515625" style="1961" bestFit="1" customWidth="1"/>
    <col min="8203" max="8203" width="1.85546875" style="1961" customWidth="1"/>
    <col min="8204" max="8204" width="12.42578125" style="1961" bestFit="1" customWidth="1"/>
    <col min="8205" max="8212" width="16.7109375" style="1961" customWidth="1"/>
    <col min="8213" max="8441" width="16.7109375" style="1961"/>
    <col min="8442" max="8442" width="6.5703125" style="1961" customWidth="1"/>
    <col min="8443" max="8443" width="45.85546875" style="1961" customWidth="1"/>
    <col min="8444" max="8444" width="9.85546875" style="1961" customWidth="1"/>
    <col min="8445" max="8445" width="1.85546875" style="1961" customWidth="1"/>
    <col min="8446" max="8446" width="11" style="1961" customWidth="1"/>
    <col min="8447" max="8447" width="5.28515625" style="1961" customWidth="1"/>
    <col min="8448" max="8448" width="13" style="1961" bestFit="1" customWidth="1"/>
    <col min="8449" max="8449" width="1.85546875" style="1961" customWidth="1"/>
    <col min="8450" max="8450" width="12.28515625" style="1961" customWidth="1"/>
    <col min="8451" max="8451" width="3.85546875" style="1961" customWidth="1"/>
    <col min="8452" max="8452" width="13.140625" style="1961" bestFit="1" customWidth="1"/>
    <col min="8453" max="8453" width="1.85546875" style="1961" customWidth="1"/>
    <col min="8454" max="8454" width="12.28515625" style="1961" customWidth="1"/>
    <col min="8455" max="8455" width="2.5703125" style="1961" customWidth="1"/>
    <col min="8456" max="8456" width="11" style="1961" customWidth="1"/>
    <col min="8457" max="8457" width="4.28515625" style="1961" customWidth="1"/>
    <col min="8458" max="8458" width="13.28515625" style="1961" bestFit="1" customWidth="1"/>
    <col min="8459" max="8459" width="1.85546875" style="1961" customWidth="1"/>
    <col min="8460" max="8460" width="12.42578125" style="1961" bestFit="1" customWidth="1"/>
    <col min="8461" max="8468" width="16.7109375" style="1961" customWidth="1"/>
    <col min="8469" max="8697" width="16.7109375" style="1961"/>
    <col min="8698" max="8698" width="6.5703125" style="1961" customWidth="1"/>
    <col min="8699" max="8699" width="45.85546875" style="1961" customWidth="1"/>
    <col min="8700" max="8700" width="9.85546875" style="1961" customWidth="1"/>
    <col min="8701" max="8701" width="1.85546875" style="1961" customWidth="1"/>
    <col min="8702" max="8702" width="11" style="1961" customWidth="1"/>
    <col min="8703" max="8703" width="5.28515625" style="1961" customWidth="1"/>
    <col min="8704" max="8704" width="13" style="1961" bestFit="1" customWidth="1"/>
    <col min="8705" max="8705" width="1.85546875" style="1961" customWidth="1"/>
    <col min="8706" max="8706" width="12.28515625" style="1961" customWidth="1"/>
    <col min="8707" max="8707" width="3.85546875" style="1961" customWidth="1"/>
    <col min="8708" max="8708" width="13.140625" style="1961" bestFit="1" customWidth="1"/>
    <col min="8709" max="8709" width="1.85546875" style="1961" customWidth="1"/>
    <col min="8710" max="8710" width="12.28515625" style="1961" customWidth="1"/>
    <col min="8711" max="8711" width="2.5703125" style="1961" customWidth="1"/>
    <col min="8712" max="8712" width="11" style="1961" customWidth="1"/>
    <col min="8713" max="8713" width="4.28515625" style="1961" customWidth="1"/>
    <col min="8714" max="8714" width="13.28515625" style="1961" bestFit="1" customWidth="1"/>
    <col min="8715" max="8715" width="1.85546875" style="1961" customWidth="1"/>
    <col min="8716" max="8716" width="12.42578125" style="1961" bestFit="1" customWidth="1"/>
    <col min="8717" max="8724" width="16.7109375" style="1961" customWidth="1"/>
    <col min="8725" max="8953" width="16.7109375" style="1961"/>
    <col min="8954" max="8954" width="6.5703125" style="1961" customWidth="1"/>
    <col min="8955" max="8955" width="45.85546875" style="1961" customWidth="1"/>
    <col min="8956" max="8956" width="9.85546875" style="1961" customWidth="1"/>
    <col min="8957" max="8957" width="1.85546875" style="1961" customWidth="1"/>
    <col min="8958" max="8958" width="11" style="1961" customWidth="1"/>
    <col min="8959" max="8959" width="5.28515625" style="1961" customWidth="1"/>
    <col min="8960" max="8960" width="13" style="1961" bestFit="1" customWidth="1"/>
    <col min="8961" max="8961" width="1.85546875" style="1961" customWidth="1"/>
    <col min="8962" max="8962" width="12.28515625" style="1961" customWidth="1"/>
    <col min="8963" max="8963" width="3.85546875" style="1961" customWidth="1"/>
    <col min="8964" max="8964" width="13.140625" style="1961" bestFit="1" customWidth="1"/>
    <col min="8965" max="8965" width="1.85546875" style="1961" customWidth="1"/>
    <col min="8966" max="8966" width="12.28515625" style="1961" customWidth="1"/>
    <col min="8967" max="8967" width="2.5703125" style="1961" customWidth="1"/>
    <col min="8968" max="8968" width="11" style="1961" customWidth="1"/>
    <col min="8969" max="8969" width="4.28515625" style="1961" customWidth="1"/>
    <col min="8970" max="8970" width="13.28515625" style="1961" bestFit="1" customWidth="1"/>
    <col min="8971" max="8971" width="1.85546875" style="1961" customWidth="1"/>
    <col min="8972" max="8972" width="12.42578125" style="1961" bestFit="1" customWidth="1"/>
    <col min="8973" max="8980" width="16.7109375" style="1961" customWidth="1"/>
    <col min="8981" max="9209" width="16.7109375" style="1961"/>
    <col min="9210" max="9210" width="6.5703125" style="1961" customWidth="1"/>
    <col min="9211" max="9211" width="45.85546875" style="1961" customWidth="1"/>
    <col min="9212" max="9212" width="9.85546875" style="1961" customWidth="1"/>
    <col min="9213" max="9213" width="1.85546875" style="1961" customWidth="1"/>
    <col min="9214" max="9214" width="11" style="1961" customWidth="1"/>
    <col min="9215" max="9215" width="5.28515625" style="1961" customWidth="1"/>
    <col min="9216" max="9216" width="13" style="1961" bestFit="1" customWidth="1"/>
    <col min="9217" max="9217" width="1.85546875" style="1961" customWidth="1"/>
    <col min="9218" max="9218" width="12.28515625" style="1961" customWidth="1"/>
    <col min="9219" max="9219" width="3.85546875" style="1961" customWidth="1"/>
    <col min="9220" max="9220" width="13.140625" style="1961" bestFit="1" customWidth="1"/>
    <col min="9221" max="9221" width="1.85546875" style="1961" customWidth="1"/>
    <col min="9222" max="9222" width="12.28515625" style="1961" customWidth="1"/>
    <col min="9223" max="9223" width="2.5703125" style="1961" customWidth="1"/>
    <col min="9224" max="9224" width="11" style="1961" customWidth="1"/>
    <col min="9225" max="9225" width="4.28515625" style="1961" customWidth="1"/>
    <col min="9226" max="9226" width="13.28515625" style="1961" bestFit="1" customWidth="1"/>
    <col min="9227" max="9227" width="1.85546875" style="1961" customWidth="1"/>
    <col min="9228" max="9228" width="12.42578125" style="1961" bestFit="1" customWidth="1"/>
    <col min="9229" max="9236" width="16.7109375" style="1961" customWidth="1"/>
    <col min="9237" max="9465" width="16.7109375" style="1961"/>
    <col min="9466" max="9466" width="6.5703125" style="1961" customWidth="1"/>
    <col min="9467" max="9467" width="45.85546875" style="1961" customWidth="1"/>
    <col min="9468" max="9468" width="9.85546875" style="1961" customWidth="1"/>
    <col min="9469" max="9469" width="1.85546875" style="1961" customWidth="1"/>
    <col min="9470" max="9470" width="11" style="1961" customWidth="1"/>
    <col min="9471" max="9471" width="5.28515625" style="1961" customWidth="1"/>
    <col min="9472" max="9472" width="13" style="1961" bestFit="1" customWidth="1"/>
    <col min="9473" max="9473" width="1.85546875" style="1961" customWidth="1"/>
    <col min="9474" max="9474" width="12.28515625" style="1961" customWidth="1"/>
    <col min="9475" max="9475" width="3.85546875" style="1961" customWidth="1"/>
    <col min="9476" max="9476" width="13.140625" style="1961" bestFit="1" customWidth="1"/>
    <col min="9477" max="9477" width="1.85546875" style="1961" customWidth="1"/>
    <col min="9478" max="9478" width="12.28515625" style="1961" customWidth="1"/>
    <col min="9479" max="9479" width="2.5703125" style="1961" customWidth="1"/>
    <col min="9480" max="9480" width="11" style="1961" customWidth="1"/>
    <col min="9481" max="9481" width="4.28515625" style="1961" customWidth="1"/>
    <col min="9482" max="9482" width="13.28515625" style="1961" bestFit="1" customWidth="1"/>
    <col min="9483" max="9483" width="1.85546875" style="1961" customWidth="1"/>
    <col min="9484" max="9484" width="12.42578125" style="1961" bestFit="1" customWidth="1"/>
    <col min="9485" max="9492" width="16.7109375" style="1961" customWidth="1"/>
    <col min="9493" max="9721" width="16.7109375" style="1961"/>
    <col min="9722" max="9722" width="6.5703125" style="1961" customWidth="1"/>
    <col min="9723" max="9723" width="45.85546875" style="1961" customWidth="1"/>
    <col min="9724" max="9724" width="9.85546875" style="1961" customWidth="1"/>
    <col min="9725" max="9725" width="1.85546875" style="1961" customWidth="1"/>
    <col min="9726" max="9726" width="11" style="1961" customWidth="1"/>
    <col min="9727" max="9727" width="5.28515625" style="1961" customWidth="1"/>
    <col min="9728" max="9728" width="13" style="1961" bestFit="1" customWidth="1"/>
    <col min="9729" max="9729" width="1.85546875" style="1961" customWidth="1"/>
    <col min="9730" max="9730" width="12.28515625" style="1961" customWidth="1"/>
    <col min="9731" max="9731" width="3.85546875" style="1961" customWidth="1"/>
    <col min="9732" max="9732" width="13.140625" style="1961" bestFit="1" customWidth="1"/>
    <col min="9733" max="9733" width="1.85546875" style="1961" customWidth="1"/>
    <col min="9734" max="9734" width="12.28515625" style="1961" customWidth="1"/>
    <col min="9735" max="9735" width="2.5703125" style="1961" customWidth="1"/>
    <col min="9736" max="9736" width="11" style="1961" customWidth="1"/>
    <col min="9737" max="9737" width="4.28515625" style="1961" customWidth="1"/>
    <col min="9738" max="9738" width="13.28515625" style="1961" bestFit="1" customWidth="1"/>
    <col min="9739" max="9739" width="1.85546875" style="1961" customWidth="1"/>
    <col min="9740" max="9740" width="12.42578125" style="1961" bestFit="1" customWidth="1"/>
    <col min="9741" max="9748" width="16.7109375" style="1961" customWidth="1"/>
    <col min="9749" max="9977" width="16.7109375" style="1961"/>
    <col min="9978" max="9978" width="6.5703125" style="1961" customWidth="1"/>
    <col min="9979" max="9979" width="45.85546875" style="1961" customWidth="1"/>
    <col min="9980" max="9980" width="9.85546875" style="1961" customWidth="1"/>
    <col min="9981" max="9981" width="1.85546875" style="1961" customWidth="1"/>
    <col min="9982" max="9982" width="11" style="1961" customWidth="1"/>
    <col min="9983" max="9983" width="5.28515625" style="1961" customWidth="1"/>
    <col min="9984" max="9984" width="13" style="1961" bestFit="1" customWidth="1"/>
    <col min="9985" max="9985" width="1.85546875" style="1961" customWidth="1"/>
    <col min="9986" max="9986" width="12.28515625" style="1961" customWidth="1"/>
    <col min="9987" max="9987" width="3.85546875" style="1961" customWidth="1"/>
    <col min="9988" max="9988" width="13.140625" style="1961" bestFit="1" customWidth="1"/>
    <col min="9989" max="9989" width="1.85546875" style="1961" customWidth="1"/>
    <col min="9990" max="9990" width="12.28515625" style="1961" customWidth="1"/>
    <col min="9991" max="9991" width="2.5703125" style="1961" customWidth="1"/>
    <col min="9992" max="9992" width="11" style="1961" customWidth="1"/>
    <col min="9993" max="9993" width="4.28515625" style="1961" customWidth="1"/>
    <col min="9994" max="9994" width="13.28515625" style="1961" bestFit="1" customWidth="1"/>
    <col min="9995" max="9995" width="1.85546875" style="1961" customWidth="1"/>
    <col min="9996" max="9996" width="12.42578125" style="1961" bestFit="1" customWidth="1"/>
    <col min="9997" max="10004" width="16.7109375" style="1961" customWidth="1"/>
    <col min="10005" max="10233" width="16.7109375" style="1961"/>
    <col min="10234" max="10234" width="6.5703125" style="1961" customWidth="1"/>
    <col min="10235" max="10235" width="45.85546875" style="1961" customWidth="1"/>
    <col min="10236" max="10236" width="9.85546875" style="1961" customWidth="1"/>
    <col min="10237" max="10237" width="1.85546875" style="1961" customWidth="1"/>
    <col min="10238" max="10238" width="11" style="1961" customWidth="1"/>
    <col min="10239" max="10239" width="5.28515625" style="1961" customWidth="1"/>
    <col min="10240" max="10240" width="13" style="1961" bestFit="1" customWidth="1"/>
    <col min="10241" max="10241" width="1.85546875" style="1961" customWidth="1"/>
    <col min="10242" max="10242" width="12.28515625" style="1961" customWidth="1"/>
    <col min="10243" max="10243" width="3.85546875" style="1961" customWidth="1"/>
    <col min="10244" max="10244" width="13.140625" style="1961" bestFit="1" customWidth="1"/>
    <col min="10245" max="10245" width="1.85546875" style="1961" customWidth="1"/>
    <col min="10246" max="10246" width="12.28515625" style="1961" customWidth="1"/>
    <col min="10247" max="10247" width="2.5703125" style="1961" customWidth="1"/>
    <col min="10248" max="10248" width="11" style="1961" customWidth="1"/>
    <col min="10249" max="10249" width="4.28515625" style="1961" customWidth="1"/>
    <col min="10250" max="10250" width="13.28515625" style="1961" bestFit="1" customWidth="1"/>
    <col min="10251" max="10251" width="1.85546875" style="1961" customWidth="1"/>
    <col min="10252" max="10252" width="12.42578125" style="1961" bestFit="1" customWidth="1"/>
    <col min="10253" max="10260" width="16.7109375" style="1961" customWidth="1"/>
    <col min="10261" max="10489" width="16.7109375" style="1961"/>
    <col min="10490" max="10490" width="6.5703125" style="1961" customWidth="1"/>
    <col min="10491" max="10491" width="45.85546875" style="1961" customWidth="1"/>
    <col min="10492" max="10492" width="9.85546875" style="1961" customWidth="1"/>
    <col min="10493" max="10493" width="1.85546875" style="1961" customWidth="1"/>
    <col min="10494" max="10494" width="11" style="1961" customWidth="1"/>
    <col min="10495" max="10495" width="5.28515625" style="1961" customWidth="1"/>
    <col min="10496" max="10496" width="13" style="1961" bestFit="1" customWidth="1"/>
    <col min="10497" max="10497" width="1.85546875" style="1961" customWidth="1"/>
    <col min="10498" max="10498" width="12.28515625" style="1961" customWidth="1"/>
    <col min="10499" max="10499" width="3.85546875" style="1961" customWidth="1"/>
    <col min="10500" max="10500" width="13.140625" style="1961" bestFit="1" customWidth="1"/>
    <col min="10501" max="10501" width="1.85546875" style="1961" customWidth="1"/>
    <col min="10502" max="10502" width="12.28515625" style="1961" customWidth="1"/>
    <col min="10503" max="10503" width="2.5703125" style="1961" customWidth="1"/>
    <col min="10504" max="10504" width="11" style="1961" customWidth="1"/>
    <col min="10505" max="10505" width="4.28515625" style="1961" customWidth="1"/>
    <col min="10506" max="10506" width="13.28515625" style="1961" bestFit="1" customWidth="1"/>
    <col min="10507" max="10507" width="1.85546875" style="1961" customWidth="1"/>
    <col min="10508" max="10508" width="12.42578125" style="1961" bestFit="1" customWidth="1"/>
    <col min="10509" max="10516" width="16.7109375" style="1961" customWidth="1"/>
    <col min="10517" max="10745" width="16.7109375" style="1961"/>
    <col min="10746" max="10746" width="6.5703125" style="1961" customWidth="1"/>
    <col min="10747" max="10747" width="45.85546875" style="1961" customWidth="1"/>
    <col min="10748" max="10748" width="9.85546875" style="1961" customWidth="1"/>
    <col min="10749" max="10749" width="1.85546875" style="1961" customWidth="1"/>
    <col min="10750" max="10750" width="11" style="1961" customWidth="1"/>
    <col min="10751" max="10751" width="5.28515625" style="1961" customWidth="1"/>
    <col min="10752" max="10752" width="13" style="1961" bestFit="1" customWidth="1"/>
    <col min="10753" max="10753" width="1.85546875" style="1961" customWidth="1"/>
    <col min="10754" max="10754" width="12.28515625" style="1961" customWidth="1"/>
    <col min="10755" max="10755" width="3.85546875" style="1961" customWidth="1"/>
    <col min="10756" max="10756" width="13.140625" style="1961" bestFit="1" customWidth="1"/>
    <col min="10757" max="10757" width="1.85546875" style="1961" customWidth="1"/>
    <col min="10758" max="10758" width="12.28515625" style="1961" customWidth="1"/>
    <col min="10759" max="10759" width="2.5703125" style="1961" customWidth="1"/>
    <col min="10760" max="10760" width="11" style="1961" customWidth="1"/>
    <col min="10761" max="10761" width="4.28515625" style="1961" customWidth="1"/>
    <col min="10762" max="10762" width="13.28515625" style="1961" bestFit="1" customWidth="1"/>
    <col min="10763" max="10763" width="1.85546875" style="1961" customWidth="1"/>
    <col min="10764" max="10764" width="12.42578125" style="1961" bestFit="1" customWidth="1"/>
    <col min="10765" max="10772" width="16.7109375" style="1961" customWidth="1"/>
    <col min="10773" max="11001" width="16.7109375" style="1961"/>
    <col min="11002" max="11002" width="6.5703125" style="1961" customWidth="1"/>
    <col min="11003" max="11003" width="45.85546875" style="1961" customWidth="1"/>
    <col min="11004" max="11004" width="9.85546875" style="1961" customWidth="1"/>
    <col min="11005" max="11005" width="1.85546875" style="1961" customWidth="1"/>
    <col min="11006" max="11006" width="11" style="1961" customWidth="1"/>
    <col min="11007" max="11007" width="5.28515625" style="1961" customWidth="1"/>
    <col min="11008" max="11008" width="13" style="1961" bestFit="1" customWidth="1"/>
    <col min="11009" max="11009" width="1.85546875" style="1961" customWidth="1"/>
    <col min="11010" max="11010" width="12.28515625" style="1961" customWidth="1"/>
    <col min="11011" max="11011" width="3.85546875" style="1961" customWidth="1"/>
    <col min="11012" max="11012" width="13.140625" style="1961" bestFit="1" customWidth="1"/>
    <col min="11013" max="11013" width="1.85546875" style="1961" customWidth="1"/>
    <col min="11014" max="11014" width="12.28515625" style="1961" customWidth="1"/>
    <col min="11015" max="11015" width="2.5703125" style="1961" customWidth="1"/>
    <col min="11016" max="11016" width="11" style="1961" customWidth="1"/>
    <col min="11017" max="11017" width="4.28515625" style="1961" customWidth="1"/>
    <col min="11018" max="11018" width="13.28515625" style="1961" bestFit="1" customWidth="1"/>
    <col min="11019" max="11019" width="1.85546875" style="1961" customWidth="1"/>
    <col min="11020" max="11020" width="12.42578125" style="1961" bestFit="1" customWidth="1"/>
    <col min="11021" max="11028" width="16.7109375" style="1961" customWidth="1"/>
    <col min="11029" max="11257" width="16.7109375" style="1961"/>
    <col min="11258" max="11258" width="6.5703125" style="1961" customWidth="1"/>
    <col min="11259" max="11259" width="45.85546875" style="1961" customWidth="1"/>
    <col min="11260" max="11260" width="9.85546875" style="1961" customWidth="1"/>
    <col min="11261" max="11261" width="1.85546875" style="1961" customWidth="1"/>
    <col min="11262" max="11262" width="11" style="1961" customWidth="1"/>
    <col min="11263" max="11263" width="5.28515625" style="1961" customWidth="1"/>
    <col min="11264" max="11264" width="13" style="1961" bestFit="1" customWidth="1"/>
    <col min="11265" max="11265" width="1.85546875" style="1961" customWidth="1"/>
    <col min="11266" max="11266" width="12.28515625" style="1961" customWidth="1"/>
    <col min="11267" max="11267" width="3.85546875" style="1961" customWidth="1"/>
    <col min="11268" max="11268" width="13.140625" style="1961" bestFit="1" customWidth="1"/>
    <col min="11269" max="11269" width="1.85546875" style="1961" customWidth="1"/>
    <col min="11270" max="11270" width="12.28515625" style="1961" customWidth="1"/>
    <col min="11271" max="11271" width="2.5703125" style="1961" customWidth="1"/>
    <col min="11272" max="11272" width="11" style="1961" customWidth="1"/>
    <col min="11273" max="11273" width="4.28515625" style="1961" customWidth="1"/>
    <col min="11274" max="11274" width="13.28515625" style="1961" bestFit="1" customWidth="1"/>
    <col min="11275" max="11275" width="1.85546875" style="1961" customWidth="1"/>
    <col min="11276" max="11276" width="12.42578125" style="1961" bestFit="1" customWidth="1"/>
    <col min="11277" max="11284" width="16.7109375" style="1961" customWidth="1"/>
    <col min="11285" max="11513" width="16.7109375" style="1961"/>
    <col min="11514" max="11514" width="6.5703125" style="1961" customWidth="1"/>
    <col min="11515" max="11515" width="45.85546875" style="1961" customWidth="1"/>
    <col min="11516" max="11516" width="9.85546875" style="1961" customWidth="1"/>
    <col min="11517" max="11517" width="1.85546875" style="1961" customWidth="1"/>
    <col min="11518" max="11518" width="11" style="1961" customWidth="1"/>
    <col min="11519" max="11519" width="5.28515625" style="1961" customWidth="1"/>
    <col min="11520" max="11520" width="13" style="1961" bestFit="1" customWidth="1"/>
    <col min="11521" max="11521" width="1.85546875" style="1961" customWidth="1"/>
    <col min="11522" max="11522" width="12.28515625" style="1961" customWidth="1"/>
    <col min="11523" max="11523" width="3.85546875" style="1961" customWidth="1"/>
    <col min="11524" max="11524" width="13.140625" style="1961" bestFit="1" customWidth="1"/>
    <col min="11525" max="11525" width="1.85546875" style="1961" customWidth="1"/>
    <col min="11526" max="11526" width="12.28515625" style="1961" customWidth="1"/>
    <col min="11527" max="11527" width="2.5703125" style="1961" customWidth="1"/>
    <col min="11528" max="11528" width="11" style="1961" customWidth="1"/>
    <col min="11529" max="11529" width="4.28515625" style="1961" customWidth="1"/>
    <col min="11530" max="11530" width="13.28515625" style="1961" bestFit="1" customWidth="1"/>
    <col min="11531" max="11531" width="1.85546875" style="1961" customWidth="1"/>
    <col min="11532" max="11532" width="12.42578125" style="1961" bestFit="1" customWidth="1"/>
    <col min="11533" max="11540" width="16.7109375" style="1961" customWidth="1"/>
    <col min="11541" max="11769" width="16.7109375" style="1961"/>
    <col min="11770" max="11770" width="6.5703125" style="1961" customWidth="1"/>
    <col min="11771" max="11771" width="45.85546875" style="1961" customWidth="1"/>
    <col min="11772" max="11772" width="9.85546875" style="1961" customWidth="1"/>
    <col min="11773" max="11773" width="1.85546875" style="1961" customWidth="1"/>
    <col min="11774" max="11774" width="11" style="1961" customWidth="1"/>
    <col min="11775" max="11775" width="5.28515625" style="1961" customWidth="1"/>
    <col min="11776" max="11776" width="13" style="1961" bestFit="1" customWidth="1"/>
    <col min="11777" max="11777" width="1.85546875" style="1961" customWidth="1"/>
    <col min="11778" max="11778" width="12.28515625" style="1961" customWidth="1"/>
    <col min="11779" max="11779" width="3.85546875" style="1961" customWidth="1"/>
    <col min="11780" max="11780" width="13.140625" style="1961" bestFit="1" customWidth="1"/>
    <col min="11781" max="11781" width="1.85546875" style="1961" customWidth="1"/>
    <col min="11782" max="11782" width="12.28515625" style="1961" customWidth="1"/>
    <col min="11783" max="11783" width="2.5703125" style="1961" customWidth="1"/>
    <col min="11784" max="11784" width="11" style="1961" customWidth="1"/>
    <col min="11785" max="11785" width="4.28515625" style="1961" customWidth="1"/>
    <col min="11786" max="11786" width="13.28515625" style="1961" bestFit="1" customWidth="1"/>
    <col min="11787" max="11787" width="1.85546875" style="1961" customWidth="1"/>
    <col min="11788" max="11788" width="12.42578125" style="1961" bestFit="1" customWidth="1"/>
    <col min="11789" max="11796" width="16.7109375" style="1961" customWidth="1"/>
    <col min="11797" max="12025" width="16.7109375" style="1961"/>
    <col min="12026" max="12026" width="6.5703125" style="1961" customWidth="1"/>
    <col min="12027" max="12027" width="45.85546875" style="1961" customWidth="1"/>
    <col min="12028" max="12028" width="9.85546875" style="1961" customWidth="1"/>
    <col min="12029" max="12029" width="1.85546875" style="1961" customWidth="1"/>
    <col min="12030" max="12030" width="11" style="1961" customWidth="1"/>
    <col min="12031" max="12031" width="5.28515625" style="1961" customWidth="1"/>
    <col min="12032" max="12032" width="13" style="1961" bestFit="1" customWidth="1"/>
    <col min="12033" max="12033" width="1.85546875" style="1961" customWidth="1"/>
    <col min="12034" max="12034" width="12.28515625" style="1961" customWidth="1"/>
    <col min="12035" max="12035" width="3.85546875" style="1961" customWidth="1"/>
    <col min="12036" max="12036" width="13.140625" style="1961" bestFit="1" customWidth="1"/>
    <col min="12037" max="12037" width="1.85546875" style="1961" customWidth="1"/>
    <col min="12038" max="12038" width="12.28515625" style="1961" customWidth="1"/>
    <col min="12039" max="12039" width="2.5703125" style="1961" customWidth="1"/>
    <col min="12040" max="12040" width="11" style="1961" customWidth="1"/>
    <col min="12041" max="12041" width="4.28515625" style="1961" customWidth="1"/>
    <col min="12042" max="12042" width="13.28515625" style="1961" bestFit="1" customWidth="1"/>
    <col min="12043" max="12043" width="1.85546875" style="1961" customWidth="1"/>
    <col min="12044" max="12044" width="12.42578125" style="1961" bestFit="1" customWidth="1"/>
    <col min="12045" max="12052" width="16.7109375" style="1961" customWidth="1"/>
    <col min="12053" max="12281" width="16.7109375" style="1961"/>
    <col min="12282" max="12282" width="6.5703125" style="1961" customWidth="1"/>
    <col min="12283" max="12283" width="45.85546875" style="1961" customWidth="1"/>
    <col min="12284" max="12284" width="9.85546875" style="1961" customWidth="1"/>
    <col min="12285" max="12285" width="1.85546875" style="1961" customWidth="1"/>
    <col min="12286" max="12286" width="11" style="1961" customWidth="1"/>
    <col min="12287" max="12287" width="5.28515625" style="1961" customWidth="1"/>
    <col min="12288" max="12288" width="13" style="1961" bestFit="1" customWidth="1"/>
    <col min="12289" max="12289" width="1.85546875" style="1961" customWidth="1"/>
    <col min="12290" max="12290" width="12.28515625" style="1961" customWidth="1"/>
    <col min="12291" max="12291" width="3.85546875" style="1961" customWidth="1"/>
    <col min="12292" max="12292" width="13.140625" style="1961" bestFit="1" customWidth="1"/>
    <col min="12293" max="12293" width="1.85546875" style="1961" customWidth="1"/>
    <col min="12294" max="12294" width="12.28515625" style="1961" customWidth="1"/>
    <col min="12295" max="12295" width="2.5703125" style="1961" customWidth="1"/>
    <col min="12296" max="12296" width="11" style="1961" customWidth="1"/>
    <col min="12297" max="12297" width="4.28515625" style="1961" customWidth="1"/>
    <col min="12298" max="12298" width="13.28515625" style="1961" bestFit="1" customWidth="1"/>
    <col min="12299" max="12299" width="1.85546875" style="1961" customWidth="1"/>
    <col min="12300" max="12300" width="12.42578125" style="1961" bestFit="1" customWidth="1"/>
    <col min="12301" max="12308" width="16.7109375" style="1961" customWidth="1"/>
    <col min="12309" max="12537" width="16.7109375" style="1961"/>
    <col min="12538" max="12538" width="6.5703125" style="1961" customWidth="1"/>
    <col min="12539" max="12539" width="45.85546875" style="1961" customWidth="1"/>
    <col min="12540" max="12540" width="9.85546875" style="1961" customWidth="1"/>
    <col min="12541" max="12541" width="1.85546875" style="1961" customWidth="1"/>
    <col min="12542" max="12542" width="11" style="1961" customWidth="1"/>
    <col min="12543" max="12543" width="5.28515625" style="1961" customWidth="1"/>
    <col min="12544" max="12544" width="13" style="1961" bestFit="1" customWidth="1"/>
    <col min="12545" max="12545" width="1.85546875" style="1961" customWidth="1"/>
    <col min="12546" max="12546" width="12.28515625" style="1961" customWidth="1"/>
    <col min="12547" max="12547" width="3.85546875" style="1961" customWidth="1"/>
    <col min="12548" max="12548" width="13.140625" style="1961" bestFit="1" customWidth="1"/>
    <col min="12549" max="12549" width="1.85546875" style="1961" customWidth="1"/>
    <col min="12550" max="12550" width="12.28515625" style="1961" customWidth="1"/>
    <col min="12551" max="12551" width="2.5703125" style="1961" customWidth="1"/>
    <col min="12552" max="12552" width="11" style="1961" customWidth="1"/>
    <col min="12553" max="12553" width="4.28515625" style="1961" customWidth="1"/>
    <col min="12554" max="12554" width="13.28515625" style="1961" bestFit="1" customWidth="1"/>
    <col min="12555" max="12555" width="1.85546875" style="1961" customWidth="1"/>
    <col min="12556" max="12556" width="12.42578125" style="1961" bestFit="1" customWidth="1"/>
    <col min="12557" max="12564" width="16.7109375" style="1961" customWidth="1"/>
    <col min="12565" max="12793" width="16.7109375" style="1961"/>
    <col min="12794" max="12794" width="6.5703125" style="1961" customWidth="1"/>
    <col min="12795" max="12795" width="45.85546875" style="1961" customWidth="1"/>
    <col min="12796" max="12796" width="9.85546875" style="1961" customWidth="1"/>
    <col min="12797" max="12797" width="1.85546875" style="1961" customWidth="1"/>
    <col min="12798" max="12798" width="11" style="1961" customWidth="1"/>
    <col min="12799" max="12799" width="5.28515625" style="1961" customWidth="1"/>
    <col min="12800" max="12800" width="13" style="1961" bestFit="1" customWidth="1"/>
    <col min="12801" max="12801" width="1.85546875" style="1961" customWidth="1"/>
    <col min="12802" max="12802" width="12.28515625" style="1961" customWidth="1"/>
    <col min="12803" max="12803" width="3.85546875" style="1961" customWidth="1"/>
    <col min="12804" max="12804" width="13.140625" style="1961" bestFit="1" customWidth="1"/>
    <col min="12805" max="12805" width="1.85546875" style="1961" customWidth="1"/>
    <col min="12806" max="12806" width="12.28515625" style="1961" customWidth="1"/>
    <col min="12807" max="12807" width="2.5703125" style="1961" customWidth="1"/>
    <col min="12808" max="12808" width="11" style="1961" customWidth="1"/>
    <col min="12809" max="12809" width="4.28515625" style="1961" customWidth="1"/>
    <col min="12810" max="12810" width="13.28515625" style="1961" bestFit="1" customWidth="1"/>
    <col min="12811" max="12811" width="1.85546875" style="1961" customWidth="1"/>
    <col min="12812" max="12812" width="12.42578125" style="1961" bestFit="1" customWidth="1"/>
    <col min="12813" max="12820" width="16.7109375" style="1961" customWidth="1"/>
    <col min="12821" max="13049" width="16.7109375" style="1961"/>
    <col min="13050" max="13050" width="6.5703125" style="1961" customWidth="1"/>
    <col min="13051" max="13051" width="45.85546875" style="1961" customWidth="1"/>
    <col min="13052" max="13052" width="9.85546875" style="1961" customWidth="1"/>
    <col min="13053" max="13053" width="1.85546875" style="1961" customWidth="1"/>
    <col min="13054" max="13054" width="11" style="1961" customWidth="1"/>
    <col min="13055" max="13055" width="5.28515625" style="1961" customWidth="1"/>
    <col min="13056" max="13056" width="13" style="1961" bestFit="1" customWidth="1"/>
    <col min="13057" max="13057" width="1.85546875" style="1961" customWidth="1"/>
    <col min="13058" max="13058" width="12.28515625" style="1961" customWidth="1"/>
    <col min="13059" max="13059" width="3.85546875" style="1961" customWidth="1"/>
    <col min="13060" max="13060" width="13.140625" style="1961" bestFit="1" customWidth="1"/>
    <col min="13061" max="13061" width="1.85546875" style="1961" customWidth="1"/>
    <col min="13062" max="13062" width="12.28515625" style="1961" customWidth="1"/>
    <col min="13063" max="13063" width="2.5703125" style="1961" customWidth="1"/>
    <col min="13064" max="13064" width="11" style="1961" customWidth="1"/>
    <col min="13065" max="13065" width="4.28515625" style="1961" customWidth="1"/>
    <col min="13066" max="13066" width="13.28515625" style="1961" bestFit="1" customWidth="1"/>
    <col min="13067" max="13067" width="1.85546875" style="1961" customWidth="1"/>
    <col min="13068" max="13068" width="12.42578125" style="1961" bestFit="1" customWidth="1"/>
    <col min="13069" max="13076" width="16.7109375" style="1961" customWidth="1"/>
    <col min="13077" max="13305" width="16.7109375" style="1961"/>
    <col min="13306" max="13306" width="6.5703125" style="1961" customWidth="1"/>
    <col min="13307" max="13307" width="45.85546875" style="1961" customWidth="1"/>
    <col min="13308" max="13308" width="9.85546875" style="1961" customWidth="1"/>
    <col min="13309" max="13309" width="1.85546875" style="1961" customWidth="1"/>
    <col min="13310" max="13310" width="11" style="1961" customWidth="1"/>
    <col min="13311" max="13311" width="5.28515625" style="1961" customWidth="1"/>
    <col min="13312" max="13312" width="13" style="1961" bestFit="1" customWidth="1"/>
    <col min="13313" max="13313" width="1.85546875" style="1961" customWidth="1"/>
    <col min="13314" max="13314" width="12.28515625" style="1961" customWidth="1"/>
    <col min="13315" max="13315" width="3.85546875" style="1961" customWidth="1"/>
    <col min="13316" max="13316" width="13.140625" style="1961" bestFit="1" customWidth="1"/>
    <col min="13317" max="13317" width="1.85546875" style="1961" customWidth="1"/>
    <col min="13318" max="13318" width="12.28515625" style="1961" customWidth="1"/>
    <col min="13319" max="13319" width="2.5703125" style="1961" customWidth="1"/>
    <col min="13320" max="13320" width="11" style="1961" customWidth="1"/>
    <col min="13321" max="13321" width="4.28515625" style="1961" customWidth="1"/>
    <col min="13322" max="13322" width="13.28515625" style="1961" bestFit="1" customWidth="1"/>
    <col min="13323" max="13323" width="1.85546875" style="1961" customWidth="1"/>
    <col min="13324" max="13324" width="12.42578125" style="1961" bestFit="1" customWidth="1"/>
    <col min="13325" max="13332" width="16.7109375" style="1961" customWidth="1"/>
    <col min="13333" max="13561" width="16.7109375" style="1961"/>
    <col min="13562" max="13562" width="6.5703125" style="1961" customWidth="1"/>
    <col min="13563" max="13563" width="45.85546875" style="1961" customWidth="1"/>
    <col min="13564" max="13564" width="9.85546875" style="1961" customWidth="1"/>
    <col min="13565" max="13565" width="1.85546875" style="1961" customWidth="1"/>
    <col min="13566" max="13566" width="11" style="1961" customWidth="1"/>
    <col min="13567" max="13567" width="5.28515625" style="1961" customWidth="1"/>
    <col min="13568" max="13568" width="13" style="1961" bestFit="1" customWidth="1"/>
    <col min="13569" max="13569" width="1.85546875" style="1961" customWidth="1"/>
    <col min="13570" max="13570" width="12.28515625" style="1961" customWidth="1"/>
    <col min="13571" max="13571" width="3.85546875" style="1961" customWidth="1"/>
    <col min="13572" max="13572" width="13.140625" style="1961" bestFit="1" customWidth="1"/>
    <col min="13573" max="13573" width="1.85546875" style="1961" customWidth="1"/>
    <col min="13574" max="13574" width="12.28515625" style="1961" customWidth="1"/>
    <col min="13575" max="13575" width="2.5703125" style="1961" customWidth="1"/>
    <col min="13576" max="13576" width="11" style="1961" customWidth="1"/>
    <col min="13577" max="13577" width="4.28515625" style="1961" customWidth="1"/>
    <col min="13578" max="13578" width="13.28515625" style="1961" bestFit="1" customWidth="1"/>
    <col min="13579" max="13579" width="1.85546875" style="1961" customWidth="1"/>
    <col min="13580" max="13580" width="12.42578125" style="1961" bestFit="1" customWidth="1"/>
    <col min="13581" max="13588" width="16.7109375" style="1961" customWidth="1"/>
    <col min="13589" max="13817" width="16.7109375" style="1961"/>
    <col min="13818" max="13818" width="6.5703125" style="1961" customWidth="1"/>
    <col min="13819" max="13819" width="45.85546875" style="1961" customWidth="1"/>
    <col min="13820" max="13820" width="9.85546875" style="1961" customWidth="1"/>
    <col min="13821" max="13821" width="1.85546875" style="1961" customWidth="1"/>
    <col min="13822" max="13822" width="11" style="1961" customWidth="1"/>
    <col min="13823" max="13823" width="5.28515625" style="1961" customWidth="1"/>
    <col min="13824" max="13824" width="13" style="1961" bestFit="1" customWidth="1"/>
    <col min="13825" max="13825" width="1.85546875" style="1961" customWidth="1"/>
    <col min="13826" max="13826" width="12.28515625" style="1961" customWidth="1"/>
    <col min="13827" max="13827" width="3.85546875" style="1961" customWidth="1"/>
    <col min="13828" max="13828" width="13.140625" style="1961" bestFit="1" customWidth="1"/>
    <col min="13829" max="13829" width="1.85546875" style="1961" customWidth="1"/>
    <col min="13830" max="13830" width="12.28515625" style="1961" customWidth="1"/>
    <col min="13831" max="13831" width="2.5703125" style="1961" customWidth="1"/>
    <col min="13832" max="13832" width="11" style="1961" customWidth="1"/>
    <col min="13833" max="13833" width="4.28515625" style="1961" customWidth="1"/>
    <col min="13834" max="13834" width="13.28515625" style="1961" bestFit="1" customWidth="1"/>
    <col min="13835" max="13835" width="1.85546875" style="1961" customWidth="1"/>
    <col min="13836" max="13836" width="12.42578125" style="1961" bestFit="1" customWidth="1"/>
    <col min="13837" max="13844" width="16.7109375" style="1961" customWidth="1"/>
    <col min="13845" max="14073" width="16.7109375" style="1961"/>
    <col min="14074" max="14074" width="6.5703125" style="1961" customWidth="1"/>
    <col min="14075" max="14075" width="45.85546875" style="1961" customWidth="1"/>
    <col min="14076" max="14076" width="9.85546875" style="1961" customWidth="1"/>
    <col min="14077" max="14077" width="1.85546875" style="1961" customWidth="1"/>
    <col min="14078" max="14078" width="11" style="1961" customWidth="1"/>
    <col min="14079" max="14079" width="5.28515625" style="1961" customWidth="1"/>
    <col min="14080" max="14080" width="13" style="1961" bestFit="1" customWidth="1"/>
    <col min="14081" max="14081" width="1.85546875" style="1961" customWidth="1"/>
    <col min="14082" max="14082" width="12.28515625" style="1961" customWidth="1"/>
    <col min="14083" max="14083" width="3.85546875" style="1961" customWidth="1"/>
    <col min="14084" max="14084" width="13.140625" style="1961" bestFit="1" customWidth="1"/>
    <col min="14085" max="14085" width="1.85546875" style="1961" customWidth="1"/>
    <col min="14086" max="14086" width="12.28515625" style="1961" customWidth="1"/>
    <col min="14087" max="14087" width="2.5703125" style="1961" customWidth="1"/>
    <col min="14088" max="14088" width="11" style="1961" customWidth="1"/>
    <col min="14089" max="14089" width="4.28515625" style="1961" customWidth="1"/>
    <col min="14090" max="14090" width="13.28515625" style="1961" bestFit="1" customWidth="1"/>
    <col min="14091" max="14091" width="1.85546875" style="1961" customWidth="1"/>
    <col min="14092" max="14092" width="12.42578125" style="1961" bestFit="1" customWidth="1"/>
    <col min="14093" max="14100" width="16.7109375" style="1961" customWidth="1"/>
    <col min="14101" max="14329" width="16.7109375" style="1961"/>
    <col min="14330" max="14330" width="6.5703125" style="1961" customWidth="1"/>
    <col min="14331" max="14331" width="45.85546875" style="1961" customWidth="1"/>
    <col min="14332" max="14332" width="9.85546875" style="1961" customWidth="1"/>
    <col min="14333" max="14333" width="1.85546875" style="1961" customWidth="1"/>
    <col min="14334" max="14334" width="11" style="1961" customWidth="1"/>
    <col min="14335" max="14335" width="5.28515625" style="1961" customWidth="1"/>
    <col min="14336" max="14336" width="13" style="1961" bestFit="1" customWidth="1"/>
    <col min="14337" max="14337" width="1.85546875" style="1961" customWidth="1"/>
    <col min="14338" max="14338" width="12.28515625" style="1961" customWidth="1"/>
    <col min="14339" max="14339" width="3.85546875" style="1961" customWidth="1"/>
    <col min="14340" max="14340" width="13.140625" style="1961" bestFit="1" customWidth="1"/>
    <col min="14341" max="14341" width="1.85546875" style="1961" customWidth="1"/>
    <col min="14342" max="14342" width="12.28515625" style="1961" customWidth="1"/>
    <col min="14343" max="14343" width="2.5703125" style="1961" customWidth="1"/>
    <col min="14344" max="14344" width="11" style="1961" customWidth="1"/>
    <col min="14345" max="14345" width="4.28515625" style="1961" customWidth="1"/>
    <col min="14346" max="14346" width="13.28515625" style="1961" bestFit="1" customWidth="1"/>
    <col min="14347" max="14347" width="1.85546875" style="1961" customWidth="1"/>
    <col min="14348" max="14348" width="12.42578125" style="1961" bestFit="1" customWidth="1"/>
    <col min="14349" max="14356" width="16.7109375" style="1961" customWidth="1"/>
    <col min="14357" max="14585" width="16.7109375" style="1961"/>
    <col min="14586" max="14586" width="6.5703125" style="1961" customWidth="1"/>
    <col min="14587" max="14587" width="45.85546875" style="1961" customWidth="1"/>
    <col min="14588" max="14588" width="9.85546875" style="1961" customWidth="1"/>
    <col min="14589" max="14589" width="1.85546875" style="1961" customWidth="1"/>
    <col min="14590" max="14590" width="11" style="1961" customWidth="1"/>
    <col min="14591" max="14591" width="5.28515625" style="1961" customWidth="1"/>
    <col min="14592" max="14592" width="13" style="1961" bestFit="1" customWidth="1"/>
    <col min="14593" max="14593" width="1.85546875" style="1961" customWidth="1"/>
    <col min="14594" max="14594" width="12.28515625" style="1961" customWidth="1"/>
    <col min="14595" max="14595" width="3.85546875" style="1961" customWidth="1"/>
    <col min="14596" max="14596" width="13.140625" style="1961" bestFit="1" customWidth="1"/>
    <col min="14597" max="14597" width="1.85546875" style="1961" customWidth="1"/>
    <col min="14598" max="14598" width="12.28515625" style="1961" customWidth="1"/>
    <col min="14599" max="14599" width="2.5703125" style="1961" customWidth="1"/>
    <col min="14600" max="14600" width="11" style="1961" customWidth="1"/>
    <col min="14601" max="14601" width="4.28515625" style="1961" customWidth="1"/>
    <col min="14602" max="14602" width="13.28515625" style="1961" bestFit="1" customWidth="1"/>
    <col min="14603" max="14603" width="1.85546875" style="1961" customWidth="1"/>
    <col min="14604" max="14604" width="12.42578125" style="1961" bestFit="1" customWidth="1"/>
    <col min="14605" max="14612" width="16.7109375" style="1961" customWidth="1"/>
    <col min="14613" max="14841" width="16.7109375" style="1961"/>
    <col min="14842" max="14842" width="6.5703125" style="1961" customWidth="1"/>
    <col min="14843" max="14843" width="45.85546875" style="1961" customWidth="1"/>
    <col min="14844" max="14844" width="9.85546875" style="1961" customWidth="1"/>
    <col min="14845" max="14845" width="1.85546875" style="1961" customWidth="1"/>
    <col min="14846" max="14846" width="11" style="1961" customWidth="1"/>
    <col min="14847" max="14847" width="5.28515625" style="1961" customWidth="1"/>
    <col min="14848" max="14848" width="13" style="1961" bestFit="1" customWidth="1"/>
    <col min="14849" max="14849" width="1.85546875" style="1961" customWidth="1"/>
    <col min="14850" max="14850" width="12.28515625" style="1961" customWidth="1"/>
    <col min="14851" max="14851" width="3.85546875" style="1961" customWidth="1"/>
    <col min="14852" max="14852" width="13.140625" style="1961" bestFit="1" customWidth="1"/>
    <col min="14853" max="14853" width="1.85546875" style="1961" customWidth="1"/>
    <col min="14854" max="14854" width="12.28515625" style="1961" customWidth="1"/>
    <col min="14855" max="14855" width="2.5703125" style="1961" customWidth="1"/>
    <col min="14856" max="14856" width="11" style="1961" customWidth="1"/>
    <col min="14857" max="14857" width="4.28515625" style="1961" customWidth="1"/>
    <col min="14858" max="14858" width="13.28515625" style="1961" bestFit="1" customWidth="1"/>
    <col min="14859" max="14859" width="1.85546875" style="1961" customWidth="1"/>
    <col min="14860" max="14860" width="12.42578125" style="1961" bestFit="1" customWidth="1"/>
    <col min="14861" max="14868" width="16.7109375" style="1961" customWidth="1"/>
    <col min="14869" max="15097" width="16.7109375" style="1961"/>
    <col min="15098" max="15098" width="6.5703125" style="1961" customWidth="1"/>
    <col min="15099" max="15099" width="45.85546875" style="1961" customWidth="1"/>
    <col min="15100" max="15100" width="9.85546875" style="1961" customWidth="1"/>
    <col min="15101" max="15101" width="1.85546875" style="1961" customWidth="1"/>
    <col min="15102" max="15102" width="11" style="1961" customWidth="1"/>
    <col min="15103" max="15103" width="5.28515625" style="1961" customWidth="1"/>
    <col min="15104" max="15104" width="13" style="1961" bestFit="1" customWidth="1"/>
    <col min="15105" max="15105" width="1.85546875" style="1961" customWidth="1"/>
    <col min="15106" max="15106" width="12.28515625" style="1961" customWidth="1"/>
    <col min="15107" max="15107" width="3.85546875" style="1961" customWidth="1"/>
    <col min="15108" max="15108" width="13.140625" style="1961" bestFit="1" customWidth="1"/>
    <col min="15109" max="15109" width="1.85546875" style="1961" customWidth="1"/>
    <col min="15110" max="15110" width="12.28515625" style="1961" customWidth="1"/>
    <col min="15111" max="15111" width="2.5703125" style="1961" customWidth="1"/>
    <col min="15112" max="15112" width="11" style="1961" customWidth="1"/>
    <col min="15113" max="15113" width="4.28515625" style="1961" customWidth="1"/>
    <col min="15114" max="15114" width="13.28515625" style="1961" bestFit="1" customWidth="1"/>
    <col min="15115" max="15115" width="1.85546875" style="1961" customWidth="1"/>
    <col min="15116" max="15116" width="12.42578125" style="1961" bestFit="1" customWidth="1"/>
    <col min="15117" max="15124" width="16.7109375" style="1961" customWidth="1"/>
    <col min="15125" max="15353" width="16.7109375" style="1961"/>
    <col min="15354" max="15354" width="6.5703125" style="1961" customWidth="1"/>
    <col min="15355" max="15355" width="45.85546875" style="1961" customWidth="1"/>
    <col min="15356" max="15356" width="9.85546875" style="1961" customWidth="1"/>
    <col min="15357" max="15357" width="1.85546875" style="1961" customWidth="1"/>
    <col min="15358" max="15358" width="11" style="1961" customWidth="1"/>
    <col min="15359" max="15359" width="5.28515625" style="1961" customWidth="1"/>
    <col min="15360" max="15360" width="13" style="1961" bestFit="1" customWidth="1"/>
    <col min="15361" max="15361" width="1.85546875" style="1961" customWidth="1"/>
    <col min="15362" max="15362" width="12.28515625" style="1961" customWidth="1"/>
    <col min="15363" max="15363" width="3.85546875" style="1961" customWidth="1"/>
    <col min="15364" max="15364" width="13.140625" style="1961" bestFit="1" customWidth="1"/>
    <col min="15365" max="15365" width="1.85546875" style="1961" customWidth="1"/>
    <col min="15366" max="15366" width="12.28515625" style="1961" customWidth="1"/>
    <col min="15367" max="15367" width="2.5703125" style="1961" customWidth="1"/>
    <col min="15368" max="15368" width="11" style="1961" customWidth="1"/>
    <col min="15369" max="15369" width="4.28515625" style="1961" customWidth="1"/>
    <col min="15370" max="15370" width="13.28515625" style="1961" bestFit="1" customWidth="1"/>
    <col min="15371" max="15371" width="1.85546875" style="1961" customWidth="1"/>
    <col min="15372" max="15372" width="12.42578125" style="1961" bestFit="1" customWidth="1"/>
    <col min="15373" max="15380" width="16.7109375" style="1961" customWidth="1"/>
    <col min="15381" max="15609" width="16.7109375" style="1961"/>
    <col min="15610" max="15610" width="6.5703125" style="1961" customWidth="1"/>
    <col min="15611" max="15611" width="45.85546875" style="1961" customWidth="1"/>
    <col min="15612" max="15612" width="9.85546875" style="1961" customWidth="1"/>
    <col min="15613" max="15613" width="1.85546875" style="1961" customWidth="1"/>
    <col min="15614" max="15614" width="11" style="1961" customWidth="1"/>
    <col min="15615" max="15615" width="5.28515625" style="1961" customWidth="1"/>
    <col min="15616" max="15616" width="13" style="1961" bestFit="1" customWidth="1"/>
    <col min="15617" max="15617" width="1.85546875" style="1961" customWidth="1"/>
    <col min="15618" max="15618" width="12.28515625" style="1961" customWidth="1"/>
    <col min="15619" max="15619" width="3.85546875" style="1961" customWidth="1"/>
    <col min="15620" max="15620" width="13.140625" style="1961" bestFit="1" customWidth="1"/>
    <col min="15621" max="15621" width="1.85546875" style="1961" customWidth="1"/>
    <col min="15622" max="15622" width="12.28515625" style="1961" customWidth="1"/>
    <col min="15623" max="15623" width="2.5703125" style="1961" customWidth="1"/>
    <col min="15624" max="15624" width="11" style="1961" customWidth="1"/>
    <col min="15625" max="15625" width="4.28515625" style="1961" customWidth="1"/>
    <col min="15626" max="15626" width="13.28515625" style="1961" bestFit="1" customWidth="1"/>
    <col min="15627" max="15627" width="1.85546875" style="1961" customWidth="1"/>
    <col min="15628" max="15628" width="12.42578125" style="1961" bestFit="1" customWidth="1"/>
    <col min="15629" max="15636" width="16.7109375" style="1961" customWidth="1"/>
    <col min="15637" max="15865" width="16.7109375" style="1961"/>
    <col min="15866" max="15866" width="6.5703125" style="1961" customWidth="1"/>
    <col min="15867" max="15867" width="45.85546875" style="1961" customWidth="1"/>
    <col min="15868" max="15868" width="9.85546875" style="1961" customWidth="1"/>
    <col min="15869" max="15869" width="1.85546875" style="1961" customWidth="1"/>
    <col min="15870" max="15870" width="11" style="1961" customWidth="1"/>
    <col min="15871" max="15871" width="5.28515625" style="1961" customWidth="1"/>
    <col min="15872" max="15872" width="13" style="1961" bestFit="1" customWidth="1"/>
    <col min="15873" max="15873" width="1.85546875" style="1961" customWidth="1"/>
    <col min="15874" max="15874" width="12.28515625" style="1961" customWidth="1"/>
    <col min="15875" max="15875" width="3.85546875" style="1961" customWidth="1"/>
    <col min="15876" max="15876" width="13.140625" style="1961" bestFit="1" customWidth="1"/>
    <col min="15877" max="15877" width="1.85546875" style="1961" customWidth="1"/>
    <col min="15878" max="15878" width="12.28515625" style="1961" customWidth="1"/>
    <col min="15879" max="15879" width="2.5703125" style="1961" customWidth="1"/>
    <col min="15880" max="15880" width="11" style="1961" customWidth="1"/>
    <col min="15881" max="15881" width="4.28515625" style="1961" customWidth="1"/>
    <col min="15882" max="15882" width="13.28515625" style="1961" bestFit="1" customWidth="1"/>
    <col min="15883" max="15883" width="1.85546875" style="1961" customWidth="1"/>
    <col min="15884" max="15884" width="12.42578125" style="1961" bestFit="1" customWidth="1"/>
    <col min="15885" max="15892" width="16.7109375" style="1961" customWidth="1"/>
    <col min="15893" max="16121" width="16.7109375" style="1961"/>
    <col min="16122" max="16122" width="6.5703125" style="1961" customWidth="1"/>
    <col min="16123" max="16123" width="45.85546875" style="1961" customWidth="1"/>
    <col min="16124" max="16124" width="9.85546875" style="1961" customWidth="1"/>
    <col min="16125" max="16125" width="1.85546875" style="1961" customWidth="1"/>
    <col min="16126" max="16126" width="11" style="1961" customWidth="1"/>
    <col min="16127" max="16127" width="5.28515625" style="1961" customWidth="1"/>
    <col min="16128" max="16128" width="13" style="1961" bestFit="1" customWidth="1"/>
    <col min="16129" max="16129" width="1.85546875" style="1961" customWidth="1"/>
    <col min="16130" max="16130" width="12.28515625" style="1961" customWidth="1"/>
    <col min="16131" max="16131" width="3.85546875" style="1961" customWidth="1"/>
    <col min="16132" max="16132" width="13.140625" style="1961" bestFit="1" customWidth="1"/>
    <col min="16133" max="16133" width="1.85546875" style="1961" customWidth="1"/>
    <col min="16134" max="16134" width="12.28515625" style="1961" customWidth="1"/>
    <col min="16135" max="16135" width="2.5703125" style="1961" customWidth="1"/>
    <col min="16136" max="16136" width="11" style="1961" customWidth="1"/>
    <col min="16137" max="16137" width="4.28515625" style="1961" customWidth="1"/>
    <col min="16138" max="16138" width="13.28515625" style="1961" bestFit="1" customWidth="1"/>
    <col min="16139" max="16139" width="1.85546875" style="1961" customWidth="1"/>
    <col min="16140" max="16140" width="12.42578125" style="1961" bestFit="1" customWidth="1"/>
    <col min="16141" max="16148" width="16.7109375" style="1961" customWidth="1"/>
    <col min="16149" max="16384" width="16.7109375" style="1961"/>
  </cols>
  <sheetData>
    <row r="1" spans="1:19" ht="15.75" x14ac:dyDescent="0.25">
      <c r="A1" s="2560" t="s">
        <v>2084</v>
      </c>
      <c r="B1" s="2560"/>
      <c r="C1" s="2560"/>
      <c r="D1" s="2560"/>
      <c r="E1" s="2560"/>
      <c r="F1" s="2560"/>
      <c r="G1" s="2560"/>
      <c r="H1" s="2560"/>
      <c r="I1" s="2560"/>
      <c r="J1" s="2560"/>
      <c r="K1" s="2560"/>
      <c r="L1" s="2560"/>
      <c r="M1" s="2560"/>
      <c r="N1" s="2560"/>
      <c r="O1" s="2560"/>
      <c r="P1" s="2560"/>
      <c r="Q1" s="2560"/>
      <c r="R1" s="2560"/>
      <c r="S1" s="2560"/>
    </row>
    <row r="2" spans="1:19" ht="15.75" x14ac:dyDescent="0.25">
      <c r="A2" s="2560" t="s">
        <v>2126</v>
      </c>
      <c r="B2" s="2560"/>
      <c r="C2" s="2560"/>
      <c r="D2" s="2560"/>
      <c r="E2" s="2560"/>
      <c r="F2" s="2560"/>
      <c r="G2" s="2560"/>
      <c r="H2" s="2560"/>
      <c r="I2" s="2560"/>
      <c r="J2" s="2560"/>
      <c r="K2" s="2560"/>
      <c r="L2" s="2560"/>
      <c r="M2" s="2560"/>
      <c r="N2" s="2560"/>
      <c r="O2" s="2560"/>
      <c r="P2" s="2560"/>
      <c r="Q2" s="2560"/>
      <c r="R2" s="2560"/>
      <c r="S2" s="2560"/>
    </row>
    <row r="3" spans="1:19" ht="14.25" customHeight="1" x14ac:dyDescent="0.2">
      <c r="A3" s="2561" t="s">
        <v>1281</v>
      </c>
      <c r="B3" s="2561"/>
      <c r="C3" s="2561"/>
      <c r="D3" s="2561"/>
      <c r="E3" s="2561"/>
      <c r="F3" s="2561"/>
      <c r="G3" s="2561"/>
      <c r="H3" s="2561"/>
      <c r="I3" s="2561"/>
      <c r="J3" s="2561"/>
      <c r="K3" s="2561"/>
      <c r="L3" s="2561"/>
      <c r="M3" s="2561"/>
      <c r="N3" s="2561"/>
      <c r="O3" s="2561"/>
      <c r="P3" s="2561"/>
      <c r="Q3" s="2561"/>
      <c r="R3" s="2561"/>
      <c r="S3" s="2561"/>
    </row>
    <row r="4" spans="1:19" ht="15" customHeight="1" x14ac:dyDescent="0.2">
      <c r="A4" s="2562" t="s">
        <v>2127</v>
      </c>
      <c r="B4" s="2562"/>
      <c r="C4" s="2562"/>
      <c r="D4" s="2562"/>
      <c r="E4" s="2562"/>
      <c r="F4" s="2562"/>
      <c r="G4" s="2562"/>
      <c r="H4" s="2562"/>
      <c r="I4" s="2562"/>
      <c r="J4" s="2562"/>
      <c r="K4" s="2562"/>
      <c r="L4" s="2562"/>
      <c r="M4" s="2562"/>
      <c r="N4" s="2562"/>
      <c r="O4" s="2562"/>
      <c r="P4" s="2562"/>
      <c r="Q4" s="2562"/>
      <c r="R4" s="2562"/>
      <c r="S4" s="2562"/>
    </row>
    <row r="5" spans="1:19" x14ac:dyDescent="0.2">
      <c r="A5" s="1962"/>
      <c r="B5" s="1962"/>
      <c r="C5" s="1962"/>
      <c r="D5" s="1962"/>
      <c r="E5" s="1962"/>
      <c r="F5" s="1962"/>
      <c r="G5" s="1963"/>
      <c r="H5" s="1964"/>
      <c r="I5" s="1963"/>
      <c r="J5" s="1965"/>
      <c r="K5" s="1963"/>
      <c r="L5" s="1964"/>
      <c r="M5" s="1964"/>
      <c r="N5" s="1964"/>
      <c r="O5" s="1964"/>
      <c r="P5" s="1965"/>
      <c r="Q5" s="1964"/>
      <c r="R5" s="1964"/>
      <c r="S5" s="1964"/>
    </row>
    <row r="6" spans="1:19" x14ac:dyDescent="0.2">
      <c r="A6" s="1962"/>
      <c r="B6" s="1962"/>
      <c r="C6" s="1962"/>
      <c r="D6" s="1962"/>
      <c r="E6" s="1962"/>
      <c r="F6" s="1962"/>
      <c r="G6" s="1963"/>
      <c r="H6" s="1964"/>
      <c r="I6" s="1963"/>
      <c r="J6" s="1965"/>
      <c r="K6" s="1963"/>
      <c r="L6" s="1964"/>
      <c r="M6" s="1964"/>
      <c r="N6" s="1964"/>
      <c r="O6" s="1964"/>
      <c r="P6" s="1965"/>
      <c r="Q6" s="1964"/>
      <c r="R6" s="1964"/>
      <c r="S6" s="1964"/>
    </row>
    <row r="7" spans="1:19" s="1970" customFormat="1" ht="15" x14ac:dyDescent="0.2">
      <c r="A7" s="1966"/>
      <c r="B7" s="1967"/>
      <c r="C7" s="1968"/>
      <c r="D7" s="1968"/>
      <c r="E7" s="1966" t="s">
        <v>2128</v>
      </c>
      <c r="F7" s="1966"/>
      <c r="G7" s="1969" t="s">
        <v>2129</v>
      </c>
      <c r="H7" s="1969"/>
      <c r="I7" s="1969"/>
      <c r="J7" s="1966"/>
      <c r="K7" s="1969" t="s">
        <v>2130</v>
      </c>
      <c r="L7" s="1969"/>
      <c r="M7" s="1969"/>
      <c r="N7" s="1968"/>
      <c r="O7" s="1968"/>
      <c r="P7" s="1966"/>
      <c r="Q7" s="1968"/>
      <c r="R7" s="1968"/>
      <c r="S7" s="1968"/>
    </row>
    <row r="8" spans="1:19" s="1970" customFormat="1" ht="15" x14ac:dyDescent="0.2">
      <c r="A8" s="1971"/>
      <c r="B8" s="1972"/>
      <c r="C8" s="1971" t="s">
        <v>1326</v>
      </c>
      <c r="D8" s="1973"/>
      <c r="E8" s="1971" t="s">
        <v>2131</v>
      </c>
      <c r="F8" s="1971"/>
      <c r="G8" s="1971" t="s">
        <v>2132</v>
      </c>
      <c r="H8" s="1973"/>
      <c r="I8" s="1974" t="s">
        <v>2133</v>
      </c>
      <c r="J8" s="1971"/>
      <c r="K8" s="1971" t="s">
        <v>2132</v>
      </c>
      <c r="L8" s="1973"/>
      <c r="M8" s="1974" t="str">
        <f>+I8</f>
        <v>7/01/17 -</v>
      </c>
      <c r="N8" s="1973"/>
      <c r="O8" s="1971" t="s">
        <v>1323</v>
      </c>
      <c r="P8" s="1971"/>
      <c r="Q8" s="1971" t="s">
        <v>2134</v>
      </c>
      <c r="R8" s="1973"/>
      <c r="S8" s="1972" t="s">
        <v>1231</v>
      </c>
    </row>
    <row r="9" spans="1:19" s="1970" customFormat="1" ht="15" x14ac:dyDescent="0.25">
      <c r="A9" s="1975" t="s">
        <v>2135</v>
      </c>
      <c r="B9" s="1975"/>
      <c r="C9" s="1976" t="s">
        <v>2136</v>
      </c>
      <c r="D9" s="1977"/>
      <c r="E9" s="1976" t="s">
        <v>2136</v>
      </c>
      <c r="F9" s="1976"/>
      <c r="G9" s="1978" t="s">
        <v>2137</v>
      </c>
      <c r="H9" s="1977"/>
      <c r="I9" s="1978" t="s">
        <v>2138</v>
      </c>
      <c r="J9" s="1976"/>
      <c r="K9" s="1979" t="str">
        <f>+G9</f>
        <v>6/30/17</v>
      </c>
      <c r="L9" s="1977"/>
      <c r="M9" s="1979" t="str">
        <f>+I9</f>
        <v>6/30/18</v>
      </c>
      <c r="N9" s="1977"/>
      <c r="O9" s="1976" t="s">
        <v>2139</v>
      </c>
      <c r="P9" s="1976"/>
      <c r="Q9" s="1976" t="s">
        <v>1319</v>
      </c>
      <c r="R9" s="1977"/>
      <c r="S9" s="1976" t="s">
        <v>30</v>
      </c>
    </row>
    <row r="10" spans="1:19" s="1970" customFormat="1" ht="15" x14ac:dyDescent="0.2">
      <c r="A10" s="1980" t="s">
        <v>2140</v>
      </c>
      <c r="B10" s="1973"/>
      <c r="C10" s="1981" t="s">
        <v>2141</v>
      </c>
      <c r="D10" s="1973"/>
      <c r="E10" s="1981" t="s">
        <v>2142</v>
      </c>
      <c r="F10" s="1971"/>
      <c r="G10" s="1982" t="s">
        <v>2143</v>
      </c>
      <c r="H10" s="1983"/>
      <c r="I10" s="1982" t="s">
        <v>2144</v>
      </c>
      <c r="J10" s="1984"/>
      <c r="K10" s="1982" t="s">
        <v>2145</v>
      </c>
      <c r="L10" s="1983"/>
      <c r="M10" s="1982" t="s">
        <v>2146</v>
      </c>
      <c r="N10" s="1983"/>
      <c r="O10" s="1982" t="s">
        <v>2147</v>
      </c>
      <c r="P10" s="1984"/>
      <c r="Q10" s="1982" t="s">
        <v>2148</v>
      </c>
      <c r="R10" s="1983"/>
      <c r="S10" s="1982" t="s">
        <v>2149</v>
      </c>
    </row>
    <row r="11" spans="1:19" s="1970" customFormat="1" ht="15" x14ac:dyDescent="0.25">
      <c r="A11" s="1985"/>
      <c r="B11" s="1977"/>
      <c r="C11" s="1986"/>
      <c r="D11" s="1977"/>
      <c r="E11" s="1986"/>
      <c r="F11" s="1976"/>
      <c r="G11" s="1987"/>
      <c r="H11" s="1988"/>
      <c r="I11" s="1987"/>
      <c r="J11" s="1989"/>
      <c r="K11" s="1987"/>
      <c r="L11" s="1988"/>
      <c r="M11" s="1987"/>
      <c r="N11" s="1988"/>
      <c r="O11" s="1987"/>
      <c r="P11" s="1989"/>
      <c r="Q11" s="1987"/>
      <c r="R11" s="1988"/>
      <c r="S11" s="1987"/>
    </row>
    <row r="12" spans="1:19" s="1970" customFormat="1" ht="15" x14ac:dyDescent="0.25">
      <c r="A12" s="1990" t="s">
        <v>2150</v>
      </c>
      <c r="B12" s="1977"/>
      <c r="C12" s="1986"/>
      <c r="D12" s="1977"/>
      <c r="E12" s="1986"/>
      <c r="F12" s="1976"/>
      <c r="G12" s="1987"/>
      <c r="H12" s="1988"/>
      <c r="I12" s="1987"/>
      <c r="J12" s="1989"/>
      <c r="K12" s="1987"/>
      <c r="L12" s="1988"/>
      <c r="M12" s="1987"/>
      <c r="N12" s="1988"/>
      <c r="O12" s="1987"/>
      <c r="P12" s="1989"/>
      <c r="Q12" s="1987"/>
      <c r="R12" s="1988"/>
      <c r="S12" s="1987"/>
    </row>
    <row r="13" spans="1:19" s="1970" customFormat="1" ht="15" x14ac:dyDescent="0.25">
      <c r="A13" s="1990" t="s">
        <v>2151</v>
      </c>
      <c r="B13" s="1991"/>
      <c r="C13" s="1986"/>
      <c r="D13" s="1977"/>
      <c r="E13" s="1986"/>
      <c r="F13" s="1976"/>
      <c r="G13" s="1987"/>
      <c r="H13" s="1988"/>
      <c r="I13" s="1987"/>
      <c r="J13" s="1989"/>
      <c r="K13" s="1987"/>
      <c r="L13" s="1988"/>
      <c r="M13" s="1987"/>
      <c r="N13" s="1988"/>
      <c r="O13" s="1987"/>
      <c r="P13" s="1989"/>
      <c r="Q13" s="1987"/>
      <c r="R13" s="1988"/>
      <c r="S13" s="1987"/>
    </row>
    <row r="14" spans="1:19" s="1970" customFormat="1" ht="15" x14ac:dyDescent="0.25">
      <c r="A14" s="1992" t="s">
        <v>2152</v>
      </c>
      <c r="B14" s="1977"/>
      <c r="C14" s="1986"/>
      <c r="D14" s="1977"/>
      <c r="E14" s="1986"/>
      <c r="F14" s="1976"/>
      <c r="G14" s="1987"/>
      <c r="H14" s="1988"/>
      <c r="I14" s="1987"/>
      <c r="J14" s="1989"/>
      <c r="K14" s="1987"/>
      <c r="L14" s="1988"/>
      <c r="M14" s="1987"/>
      <c r="N14" s="1988"/>
      <c r="O14" s="1987"/>
      <c r="P14" s="1989"/>
      <c r="Q14" s="1987"/>
      <c r="R14" s="1988"/>
      <c r="S14" s="1987"/>
    </row>
    <row r="15" spans="1:19" s="1970" customFormat="1" ht="15" x14ac:dyDescent="0.25">
      <c r="A15" s="1985"/>
      <c r="B15" s="1977"/>
      <c r="C15" s="1986"/>
      <c r="D15" s="1977"/>
      <c r="E15" s="1986"/>
      <c r="F15" s="1976"/>
      <c r="G15" s="1987"/>
      <c r="H15" s="1988"/>
      <c r="I15" s="1987"/>
      <c r="J15" s="1989"/>
      <c r="K15" s="1987"/>
      <c r="L15" s="1988"/>
      <c r="M15" s="1987"/>
      <c r="N15" s="1988"/>
      <c r="O15" s="1987"/>
      <c r="P15" s="1989"/>
      <c r="Q15" s="1987"/>
      <c r="R15" s="1988"/>
      <c r="S15" s="1987"/>
    </row>
    <row r="16" spans="1:19" s="1970" customFormat="1" ht="15" x14ac:dyDescent="0.25">
      <c r="A16" s="1993" t="s">
        <v>2153</v>
      </c>
      <c r="B16" s="1975" t="s">
        <v>2154</v>
      </c>
      <c r="C16" s="1994">
        <v>10.555</v>
      </c>
      <c r="D16" s="1977"/>
      <c r="E16" s="1976" t="s">
        <v>2155</v>
      </c>
      <c r="F16" s="1976"/>
      <c r="G16" s="1995">
        <v>257596</v>
      </c>
      <c r="H16" s="1996"/>
      <c r="I16" s="1995">
        <v>59588</v>
      </c>
      <c r="J16" s="1995"/>
      <c r="K16" s="1995">
        <v>257596</v>
      </c>
      <c r="L16" s="1995"/>
      <c r="M16" s="1995">
        <v>59588</v>
      </c>
      <c r="N16" s="1988"/>
      <c r="O16" s="1987"/>
      <c r="P16" s="1989"/>
      <c r="Q16" s="1997">
        <f>K16+M16+O16</f>
        <v>317184</v>
      </c>
      <c r="R16" s="1995"/>
      <c r="S16" s="1998" t="s">
        <v>2156</v>
      </c>
    </row>
    <row r="17" spans="1:19" s="1970" customFormat="1" ht="15" x14ac:dyDescent="0.25">
      <c r="A17" s="1993" t="s">
        <v>2153</v>
      </c>
      <c r="B17" s="1975" t="s">
        <v>2154</v>
      </c>
      <c r="C17" s="1994">
        <v>10.555</v>
      </c>
      <c r="D17" s="1977"/>
      <c r="E17" s="1976" t="s">
        <v>2157</v>
      </c>
      <c r="F17" s="1976"/>
      <c r="G17" s="1995"/>
      <c r="H17" s="1995"/>
      <c r="I17" s="1995">
        <v>263660</v>
      </c>
      <c r="J17" s="1996"/>
      <c r="K17" s="1995"/>
      <c r="L17" s="1995"/>
      <c r="M17" s="1995">
        <v>263660</v>
      </c>
      <c r="N17" s="1995"/>
      <c r="O17" s="1995"/>
      <c r="P17" s="1999">
        <v>-2</v>
      </c>
      <c r="Q17" s="1997">
        <f>K17+M17+O17</f>
        <v>263660</v>
      </c>
      <c r="R17" s="1995"/>
      <c r="S17" s="1998" t="s">
        <v>2156</v>
      </c>
    </row>
    <row r="18" spans="1:19" s="1970" customFormat="1" ht="15" x14ac:dyDescent="0.25">
      <c r="A18" s="2000"/>
      <c r="B18" s="1975"/>
      <c r="C18" s="1994"/>
      <c r="D18" s="1977"/>
      <c r="E18" s="1976"/>
      <c r="F18" s="1976"/>
      <c r="G18" s="1995"/>
      <c r="H18" s="1995"/>
      <c r="I18" s="1995"/>
      <c r="J18" s="1996"/>
      <c r="K18" s="1995"/>
      <c r="L18" s="1995"/>
      <c r="M18" s="1995"/>
      <c r="N18" s="1995"/>
      <c r="O18" s="1995"/>
      <c r="P18" s="1996"/>
      <c r="Q18" s="1997"/>
      <c r="R18" s="1995"/>
      <c r="S18" s="1998"/>
    </row>
    <row r="19" spans="1:19" s="1970" customFormat="1" ht="15" x14ac:dyDescent="0.25">
      <c r="A19" s="2000"/>
      <c r="B19" s="1975" t="s">
        <v>2158</v>
      </c>
      <c r="C19" s="1994">
        <v>10.555</v>
      </c>
      <c r="D19" s="1977"/>
      <c r="E19" s="1976" t="s">
        <v>2159</v>
      </c>
      <c r="F19" s="1976"/>
      <c r="G19" s="1995"/>
      <c r="H19" s="1995"/>
      <c r="I19" s="1995"/>
      <c r="J19" s="1996"/>
      <c r="K19" s="1995">
        <v>45150</v>
      </c>
      <c r="L19" s="1995"/>
      <c r="M19" s="1995"/>
      <c r="N19" s="1995"/>
      <c r="O19" s="1995"/>
      <c r="P19" s="1996"/>
      <c r="Q19" s="1997">
        <f>K19+M19+O19</f>
        <v>45150</v>
      </c>
      <c r="R19" s="1995"/>
      <c r="S19" s="1998" t="s">
        <v>2156</v>
      </c>
    </row>
    <row r="20" spans="1:19" s="1970" customFormat="1" ht="15" x14ac:dyDescent="0.25">
      <c r="A20" s="1993" t="s">
        <v>2153</v>
      </c>
      <c r="B20" s="1975" t="s">
        <v>2158</v>
      </c>
      <c r="C20" s="1994">
        <v>10.555</v>
      </c>
      <c r="D20" s="1977"/>
      <c r="E20" s="1976" t="s">
        <v>2160</v>
      </c>
      <c r="F20" s="1976"/>
      <c r="G20" s="1995"/>
      <c r="H20" s="1995"/>
      <c r="I20" s="1995"/>
      <c r="J20" s="1996"/>
      <c r="K20" s="1995"/>
      <c r="L20" s="1995"/>
      <c r="M20" s="1995">
        <v>41143</v>
      </c>
      <c r="N20" s="1995"/>
      <c r="O20" s="1995"/>
      <c r="P20" s="1996"/>
      <c r="Q20" s="1997">
        <f>K20+M20+O20</f>
        <v>41143</v>
      </c>
      <c r="R20" s="1995"/>
      <c r="S20" s="1998" t="s">
        <v>2156</v>
      </c>
    </row>
    <row r="21" spans="1:19" s="1970" customFormat="1" ht="15" x14ac:dyDescent="0.25">
      <c r="A21" s="2000"/>
      <c r="B21" s="1975"/>
      <c r="C21" s="1994"/>
      <c r="D21" s="1977"/>
      <c r="E21" s="1976"/>
      <c r="F21" s="1976"/>
      <c r="G21" s="1999"/>
      <c r="H21" s="1999"/>
      <c r="I21" s="1999"/>
      <c r="J21" s="2001"/>
      <c r="K21" s="1999"/>
      <c r="L21" s="1999"/>
      <c r="M21" s="1999"/>
      <c r="N21" s="1999"/>
      <c r="O21" s="1999"/>
      <c r="P21" s="2001"/>
      <c r="Q21" s="1997"/>
      <c r="R21" s="1999"/>
      <c r="S21" s="1998"/>
    </row>
    <row r="22" spans="1:19" s="1970" customFormat="1" ht="15" x14ac:dyDescent="0.25">
      <c r="A22" s="1975" t="s">
        <v>2161</v>
      </c>
      <c r="C22" s="1994"/>
      <c r="D22" s="1977"/>
      <c r="E22" s="1976"/>
      <c r="F22" s="1976"/>
      <c r="G22" s="1999"/>
      <c r="H22" s="1999"/>
      <c r="I22" s="1999"/>
      <c r="J22" s="2001"/>
      <c r="K22" s="1999"/>
      <c r="L22" s="1999"/>
      <c r="M22" s="1999"/>
      <c r="N22" s="1999"/>
      <c r="O22" s="1999"/>
      <c r="P22" s="2001"/>
      <c r="Q22" s="1997"/>
      <c r="R22" s="1999"/>
      <c r="S22" s="1998"/>
    </row>
    <row r="23" spans="1:19" s="1970" customFormat="1" ht="15" x14ac:dyDescent="0.25">
      <c r="A23" s="2000"/>
      <c r="B23" s="1977" t="s">
        <v>2162</v>
      </c>
      <c r="C23" s="1994">
        <v>10.555</v>
      </c>
      <c r="D23" s="1977"/>
      <c r="E23" s="1976" t="s">
        <v>2159</v>
      </c>
      <c r="F23" s="1976"/>
      <c r="G23" s="1999"/>
      <c r="H23" s="1999"/>
      <c r="I23" s="1999"/>
      <c r="J23" s="2001"/>
      <c r="K23" s="1999">
        <v>32991</v>
      </c>
      <c r="L23" s="1999"/>
      <c r="M23" s="1999"/>
      <c r="N23" s="1999"/>
      <c r="O23" s="1999"/>
      <c r="P23" s="2001"/>
      <c r="Q23" s="1997">
        <f>K23+M23+O23</f>
        <v>32991</v>
      </c>
      <c r="R23" s="1999"/>
      <c r="S23" s="1998" t="s">
        <v>2156</v>
      </c>
    </row>
    <row r="24" spans="1:19" s="1970" customFormat="1" ht="15" x14ac:dyDescent="0.25">
      <c r="A24" s="1993" t="s">
        <v>2153</v>
      </c>
      <c r="B24" s="1973" t="s">
        <v>2162</v>
      </c>
      <c r="C24" s="1994">
        <v>10.555</v>
      </c>
      <c r="D24" s="1977"/>
      <c r="E24" s="1976" t="s">
        <v>2160</v>
      </c>
      <c r="F24" s="1976"/>
      <c r="G24" s="1999"/>
      <c r="H24" s="1999"/>
      <c r="I24" s="1999"/>
      <c r="J24" s="2001"/>
      <c r="K24" s="1999"/>
      <c r="L24" s="1999"/>
      <c r="M24" s="1999">
        <v>33304</v>
      </c>
      <c r="N24" s="1999"/>
      <c r="O24" s="1999"/>
      <c r="P24" s="2001"/>
      <c r="Q24" s="1997">
        <f>K24+M24+O24</f>
        <v>33304</v>
      </c>
      <c r="R24" s="1999"/>
      <c r="S24" s="1998" t="s">
        <v>2156</v>
      </c>
    </row>
    <row r="25" spans="1:19" s="1970" customFormat="1" ht="15" x14ac:dyDescent="0.25">
      <c r="A25" s="2000"/>
      <c r="B25" s="1975"/>
      <c r="C25" s="1994"/>
      <c r="D25" s="1977"/>
      <c r="E25" s="1976"/>
      <c r="F25" s="1976"/>
      <c r="G25" s="1999"/>
      <c r="H25" s="1999"/>
      <c r="I25" s="1999"/>
      <c r="J25" s="2001"/>
      <c r="K25" s="1999"/>
      <c r="L25" s="1999"/>
      <c r="M25" s="1999"/>
      <c r="N25" s="1999"/>
      <c r="O25" s="1999"/>
      <c r="P25" s="2001"/>
      <c r="Q25" s="1997"/>
      <c r="R25" s="1999"/>
      <c r="S25" s="1998"/>
    </row>
    <row r="26" spans="1:19" s="1970" customFormat="1" ht="15" hidden="1" x14ac:dyDescent="0.25">
      <c r="A26" s="1993" t="s">
        <v>2153</v>
      </c>
      <c r="B26" s="1975" t="s">
        <v>1107</v>
      </c>
      <c r="C26" s="1994">
        <v>10.555999999999999</v>
      </c>
      <c r="D26" s="1977"/>
      <c r="E26" s="1976" t="s">
        <v>2163</v>
      </c>
      <c r="F26" s="1976"/>
      <c r="G26" s="1999"/>
      <c r="H26" s="2001"/>
      <c r="I26" s="1999"/>
      <c r="J26" s="1999"/>
      <c r="K26" s="1999"/>
      <c r="L26" s="1999"/>
      <c r="M26" s="1999"/>
      <c r="N26" s="1999"/>
      <c r="O26" s="1999"/>
      <c r="P26" s="2001"/>
      <c r="Q26" s="1997">
        <f>K26+M26+O26</f>
        <v>0</v>
      </c>
      <c r="R26" s="1999"/>
      <c r="S26" s="1998" t="s">
        <v>2156</v>
      </c>
    </row>
    <row r="27" spans="1:19" s="1970" customFormat="1" ht="15" hidden="1" x14ac:dyDescent="0.25">
      <c r="A27" s="2000"/>
      <c r="B27" s="1975"/>
      <c r="C27" s="1994"/>
      <c r="D27" s="1977"/>
      <c r="E27" s="1976"/>
      <c r="F27" s="1976"/>
      <c r="G27" s="1999"/>
      <c r="H27" s="1999"/>
      <c r="I27" s="1999"/>
      <c r="J27" s="2001"/>
      <c r="K27" s="1999"/>
      <c r="L27" s="1999"/>
      <c r="M27" s="1999"/>
      <c r="N27" s="1999"/>
      <c r="O27" s="1999"/>
      <c r="P27" s="2001"/>
      <c r="Q27" s="1997"/>
      <c r="R27" s="1999"/>
      <c r="S27" s="1998"/>
    </row>
    <row r="28" spans="1:19" s="1970" customFormat="1" ht="15" x14ac:dyDescent="0.25">
      <c r="A28" s="1993" t="s">
        <v>2153</v>
      </c>
      <c r="B28" s="1975" t="s">
        <v>1119</v>
      </c>
      <c r="C28" s="1994">
        <v>10.553000000000001</v>
      </c>
      <c r="D28" s="1977"/>
      <c r="E28" s="1976" t="s">
        <v>2164</v>
      </c>
      <c r="F28" s="1976"/>
      <c r="G28" s="1999">
        <v>59152</v>
      </c>
      <c r="H28" s="2001"/>
      <c r="I28" s="1999">
        <v>12346</v>
      </c>
      <c r="J28" s="1999"/>
      <c r="K28" s="1999">
        <v>59152</v>
      </c>
      <c r="L28" s="1999"/>
      <c r="M28" s="1999">
        <v>12346</v>
      </c>
      <c r="N28" s="1999"/>
      <c r="O28" s="1999"/>
      <c r="P28" s="2001"/>
      <c r="Q28" s="1997">
        <f>K28+M28+O28</f>
        <v>71498</v>
      </c>
      <c r="R28" s="1999"/>
      <c r="S28" s="1998" t="s">
        <v>2156</v>
      </c>
    </row>
    <row r="29" spans="1:19" s="1970" customFormat="1" ht="15" x14ac:dyDescent="0.25">
      <c r="A29" s="1993" t="s">
        <v>2153</v>
      </c>
      <c r="B29" s="1975" t="s">
        <v>1119</v>
      </c>
      <c r="C29" s="1994">
        <v>10.553000000000001</v>
      </c>
      <c r="D29" s="1977"/>
      <c r="E29" s="1976" t="s">
        <v>2165</v>
      </c>
      <c r="F29" s="1976"/>
      <c r="G29" s="1995"/>
      <c r="H29" s="1999"/>
      <c r="I29" s="1999">
        <v>56093</v>
      </c>
      <c r="J29" s="2001"/>
      <c r="K29" s="1999"/>
      <c r="L29" s="1999"/>
      <c r="M29" s="1999">
        <v>56093</v>
      </c>
      <c r="N29" s="1999"/>
      <c r="O29" s="1999"/>
      <c r="P29" s="1999">
        <v>-2</v>
      </c>
      <c r="Q29" s="1997">
        <f>K29+M29+O29</f>
        <v>56093</v>
      </c>
      <c r="R29" s="1999"/>
      <c r="S29" s="1998" t="s">
        <v>2156</v>
      </c>
    </row>
    <row r="30" spans="1:19" s="1970" customFormat="1" ht="17.25" x14ac:dyDescent="0.4">
      <c r="A30" s="2000"/>
      <c r="B30" s="1975" t="s">
        <v>1231</v>
      </c>
      <c r="C30" s="1994" t="s">
        <v>1231</v>
      </c>
      <c r="D30" s="1977"/>
      <c r="E30" s="1976" t="s">
        <v>1231</v>
      </c>
      <c r="F30" s="1976"/>
      <c r="G30" s="2002" t="s">
        <v>1231</v>
      </c>
      <c r="H30" s="2002"/>
      <c r="I30" s="2002" t="s">
        <v>1231</v>
      </c>
      <c r="J30" s="2002"/>
      <c r="K30" s="2002" t="s">
        <v>1231</v>
      </c>
      <c r="L30" s="2002"/>
      <c r="M30" s="2002" t="s">
        <v>1231</v>
      </c>
      <c r="N30" s="2002"/>
      <c r="O30" s="2002" t="s">
        <v>1231</v>
      </c>
      <c r="P30" s="2002"/>
      <c r="Q30" s="2003" t="s">
        <v>1231</v>
      </c>
      <c r="R30" s="1999"/>
      <c r="S30" s="1998"/>
    </row>
    <row r="31" spans="1:19" s="1970" customFormat="1" ht="15" x14ac:dyDescent="0.25">
      <c r="A31" s="2000"/>
      <c r="B31" s="1977"/>
      <c r="C31" s="1977"/>
      <c r="D31" s="1977"/>
      <c r="E31" s="1977"/>
      <c r="F31" s="1976"/>
      <c r="G31" s="1999"/>
      <c r="H31" s="1999"/>
      <c r="I31" s="1999" t="s">
        <v>1231</v>
      </c>
      <c r="J31" s="2001"/>
      <c r="K31" s="1999"/>
      <c r="L31" s="1999"/>
      <c r="M31" s="1999"/>
      <c r="N31" s="1999"/>
      <c r="O31" s="1999"/>
      <c r="P31" s="2001"/>
      <c r="Q31" s="1999"/>
      <c r="R31" s="1999"/>
      <c r="S31" s="1999"/>
    </row>
    <row r="32" spans="1:19" s="1970" customFormat="1" ht="17.25" x14ac:dyDescent="0.2">
      <c r="A32" s="2004" t="s">
        <v>2166</v>
      </c>
      <c r="B32" s="1973"/>
      <c r="C32" s="1973"/>
      <c r="D32" s="1973"/>
      <c r="E32" s="1973"/>
      <c r="F32" s="1971"/>
      <c r="G32" s="2005">
        <f>SUM(G16:G31)</f>
        <v>316748</v>
      </c>
      <c r="H32" s="2005"/>
      <c r="I32" s="2005">
        <f>SUM(I16:I31)</f>
        <v>391687</v>
      </c>
      <c r="J32" s="2005"/>
      <c r="K32" s="2005">
        <f>SUM(K16:K31)</f>
        <v>394889</v>
      </c>
      <c r="L32" s="2005"/>
      <c r="M32" s="2005">
        <f>SUM(M16:M31)</f>
        <v>466134</v>
      </c>
      <c r="N32" s="2005"/>
      <c r="O32" s="2005">
        <f>SUM(O16:O31)</f>
        <v>0</v>
      </c>
      <c r="P32" s="2005"/>
      <c r="Q32" s="2005">
        <f>SUM(Q16:Q31)</f>
        <v>861023</v>
      </c>
      <c r="R32" s="2006"/>
      <c r="S32" s="2006"/>
    </row>
    <row r="33" spans="1:19" s="1970" customFormat="1" ht="17.25" x14ac:dyDescent="0.4">
      <c r="A33" s="1990"/>
      <c r="B33" s="1977"/>
      <c r="C33" s="1977"/>
      <c r="D33" s="1977"/>
      <c r="E33" s="1977"/>
      <c r="F33" s="1976"/>
      <c r="G33" s="2003"/>
      <c r="H33" s="2003"/>
      <c r="I33" s="2003"/>
      <c r="J33" s="2003"/>
      <c r="K33" s="2003"/>
      <c r="L33" s="2003"/>
      <c r="M33" s="2003"/>
      <c r="N33" s="2003"/>
      <c r="O33" s="2003"/>
      <c r="P33" s="2003"/>
      <c r="Q33" s="2003"/>
      <c r="R33" s="1999"/>
      <c r="S33" s="1999"/>
    </row>
    <row r="34" spans="1:19" s="1970" customFormat="1" ht="15" x14ac:dyDescent="0.25">
      <c r="A34" s="1990" t="s">
        <v>2167</v>
      </c>
      <c r="B34" s="1977"/>
      <c r="C34" s="1977"/>
      <c r="D34" s="1977"/>
      <c r="E34" s="1977"/>
      <c r="F34" s="1976"/>
      <c r="G34" s="1999"/>
      <c r="H34" s="1999"/>
      <c r="I34" s="1999"/>
      <c r="J34" s="2001"/>
      <c r="K34" s="1999"/>
      <c r="L34" s="1999"/>
      <c r="M34" s="1999"/>
      <c r="N34" s="1999"/>
      <c r="O34" s="1999"/>
      <c r="P34" s="2001"/>
      <c r="Q34" s="1999"/>
      <c r="R34" s="1999"/>
      <c r="S34" s="1999"/>
    </row>
    <row r="35" spans="1:19" s="1970" customFormat="1" ht="15" x14ac:dyDescent="0.25">
      <c r="A35" s="2004" t="s">
        <v>2151</v>
      </c>
      <c r="B35" s="1977"/>
      <c r="C35" s="1977"/>
      <c r="D35" s="1977"/>
      <c r="E35" s="1977"/>
      <c r="F35" s="1976"/>
      <c r="G35" s="1999"/>
      <c r="H35" s="1999"/>
      <c r="I35" s="1999"/>
      <c r="J35" s="2001"/>
      <c r="K35" s="1999"/>
      <c r="L35" s="1999"/>
      <c r="M35" s="1999"/>
      <c r="N35" s="1999"/>
      <c r="O35" s="1999"/>
      <c r="P35" s="2001"/>
      <c r="Q35" s="1999"/>
      <c r="R35" s="1999"/>
      <c r="S35" s="1999"/>
    </row>
    <row r="36" spans="1:19" s="1970" customFormat="1" ht="15" x14ac:dyDescent="0.25">
      <c r="A36" s="2004" t="s">
        <v>2152</v>
      </c>
      <c r="B36" s="1977"/>
      <c r="C36" s="1977"/>
      <c r="D36" s="1977"/>
      <c r="E36" s="1977"/>
      <c r="F36" s="1976"/>
      <c r="G36" s="1999"/>
      <c r="H36" s="1999"/>
      <c r="I36" s="1999"/>
      <c r="J36" s="2001"/>
      <c r="K36" s="1999"/>
      <c r="L36" s="1999"/>
      <c r="M36" s="1999"/>
      <c r="N36" s="1999"/>
      <c r="O36" s="1999"/>
      <c r="P36" s="2001"/>
      <c r="Q36" s="1999"/>
      <c r="R36" s="1999"/>
      <c r="S36" s="1999"/>
    </row>
    <row r="37" spans="1:19" s="1970" customFormat="1" ht="15" x14ac:dyDescent="0.25">
      <c r="A37" s="2000"/>
      <c r="B37" s="1977"/>
      <c r="C37" s="1977"/>
      <c r="D37" s="1977"/>
      <c r="E37" s="1977"/>
      <c r="F37" s="1976"/>
      <c r="G37" s="1999"/>
      <c r="H37" s="1999"/>
      <c r="I37" s="1999"/>
      <c r="J37" s="2001"/>
      <c r="K37" s="1999"/>
      <c r="L37" s="1999"/>
      <c r="M37" s="1999"/>
      <c r="N37" s="1999"/>
      <c r="O37" s="1999"/>
      <c r="P37" s="2001"/>
      <c r="Q37" s="1999"/>
      <c r="R37" s="1999"/>
      <c r="S37" s="1999"/>
    </row>
    <row r="38" spans="1:19" s="1970" customFormat="1" ht="15" x14ac:dyDescent="0.25">
      <c r="A38" s="2000"/>
      <c r="B38" s="1975" t="s">
        <v>782</v>
      </c>
      <c r="C38" s="1994">
        <v>84.367000000000004</v>
      </c>
      <c r="D38" s="1977"/>
      <c r="E38" s="1976" t="s">
        <v>2168</v>
      </c>
      <c r="F38" s="1976"/>
      <c r="G38" s="1999">
        <f>53121-2436</f>
        <v>50685</v>
      </c>
      <c r="H38" s="2001"/>
      <c r="I38" s="1999">
        <f>644+10229</f>
        <v>10873</v>
      </c>
      <c r="J38" s="1999"/>
      <c r="K38" s="1999">
        <v>53765</v>
      </c>
      <c r="L38" s="1999"/>
      <c r="M38" s="1999">
        <f>61558-53765</f>
        <v>7793</v>
      </c>
      <c r="N38" s="1999"/>
      <c r="O38" s="1999"/>
      <c r="P38" s="2001"/>
      <c r="Q38" s="1997">
        <f>O38+M38+K38</f>
        <v>61558</v>
      </c>
      <c r="R38" s="1999"/>
      <c r="S38" s="1999">
        <v>63994</v>
      </c>
    </row>
    <row r="39" spans="1:19" s="1970" customFormat="1" ht="15" x14ac:dyDescent="0.25">
      <c r="A39" s="2000"/>
      <c r="B39" s="1975" t="s">
        <v>782</v>
      </c>
      <c r="C39" s="1994">
        <v>84.367000000000004</v>
      </c>
      <c r="D39" s="1977"/>
      <c r="E39" s="1976" t="s">
        <v>2169</v>
      </c>
      <c r="F39" s="2000">
        <v>-1</v>
      </c>
      <c r="G39" s="1999">
        <v>2436</v>
      </c>
      <c r="H39" s="2007"/>
      <c r="I39" s="1999">
        <v>41540</v>
      </c>
      <c r="J39" s="2001"/>
      <c r="K39" s="1999"/>
      <c r="L39" s="1999"/>
      <c r="M39" s="1999">
        <v>55867</v>
      </c>
      <c r="N39" s="1999"/>
      <c r="O39" s="1999"/>
      <c r="P39" s="2008" t="s">
        <v>2170</v>
      </c>
      <c r="Q39" s="1997">
        <f>O39+M39+K39</f>
        <v>55867</v>
      </c>
      <c r="R39" s="1999"/>
      <c r="S39" s="1999">
        <v>56039</v>
      </c>
    </row>
    <row r="40" spans="1:19" s="1970" customFormat="1" ht="15" x14ac:dyDescent="0.25">
      <c r="A40" s="2000"/>
      <c r="B40" s="1975"/>
      <c r="C40" s="1994"/>
      <c r="D40" s="1977"/>
      <c r="E40" s="1976"/>
      <c r="F40" s="1976"/>
      <c r="G40" s="1999"/>
      <c r="H40" s="2007"/>
      <c r="I40" s="1999"/>
      <c r="J40" s="2001"/>
      <c r="K40" s="1999"/>
      <c r="L40" s="1999"/>
      <c r="M40" s="1999"/>
      <c r="N40" s="1999"/>
      <c r="O40" s="1999"/>
      <c r="P40" s="2001"/>
      <c r="Q40" s="1997"/>
      <c r="R40" s="1999"/>
      <c r="S40" s="1999"/>
    </row>
    <row r="41" spans="1:19" s="1970" customFormat="1" ht="15" x14ac:dyDescent="0.25">
      <c r="A41" s="1993" t="s">
        <v>2153</v>
      </c>
      <c r="B41" s="1975" t="s">
        <v>974</v>
      </c>
      <c r="C41" s="1994">
        <v>84.01</v>
      </c>
      <c r="D41" s="1977"/>
      <c r="E41" s="1976" t="s">
        <v>2171</v>
      </c>
      <c r="F41" s="1976"/>
      <c r="G41" s="1995">
        <v>154617</v>
      </c>
      <c r="H41" s="1996"/>
      <c r="I41" s="1995">
        <f>40516+8293+7583</f>
        <v>56392</v>
      </c>
      <c r="J41" s="1995"/>
      <c r="K41" s="1995">
        <v>195133</v>
      </c>
      <c r="L41" s="1995"/>
      <c r="M41" s="1995">
        <f>211009-195133</f>
        <v>15876</v>
      </c>
      <c r="N41" s="1995"/>
      <c r="O41" s="1995">
        <v>0</v>
      </c>
      <c r="P41" s="1996"/>
      <c r="Q41" s="1997">
        <f>O41+M41+K41</f>
        <v>211009</v>
      </c>
      <c r="R41" s="1995"/>
      <c r="S41" s="1995">
        <v>241927</v>
      </c>
    </row>
    <row r="42" spans="1:19" s="1970" customFormat="1" ht="15" x14ac:dyDescent="0.25">
      <c r="A42" s="1993" t="s">
        <v>2153</v>
      </c>
      <c r="B42" s="1975" t="s">
        <v>974</v>
      </c>
      <c r="C42" s="1994">
        <v>84.01</v>
      </c>
      <c r="D42" s="1977"/>
      <c r="E42" s="1976" t="s">
        <v>2172</v>
      </c>
      <c r="F42" s="2000"/>
      <c r="G42" s="1995"/>
      <c r="H42" s="1995"/>
      <c r="I42" s="1995">
        <v>164911</v>
      </c>
      <c r="J42" s="1996"/>
      <c r="K42" s="1995"/>
      <c r="L42" s="1995"/>
      <c r="M42" s="1995">
        <v>187494</v>
      </c>
      <c r="N42" s="1995"/>
      <c r="O42" s="1995"/>
      <c r="P42" s="2008" t="s">
        <v>2170</v>
      </c>
      <c r="Q42" s="1997">
        <f>O42+M42+K42</f>
        <v>187494</v>
      </c>
      <c r="R42" s="1995"/>
      <c r="S42" s="1995">
        <v>265915</v>
      </c>
    </row>
    <row r="43" spans="1:19" s="1970" customFormat="1" ht="15" x14ac:dyDescent="0.25">
      <c r="A43" s="2000"/>
      <c r="B43" s="1975"/>
      <c r="C43" s="1994"/>
      <c r="D43" s="1977"/>
      <c r="E43" s="1976"/>
      <c r="F43" s="2000"/>
      <c r="G43" s="1995"/>
      <c r="H43" s="1995"/>
      <c r="I43" s="1995"/>
      <c r="J43" s="1996"/>
      <c r="K43" s="1995"/>
      <c r="L43" s="1995"/>
      <c r="M43" s="1995"/>
      <c r="N43" s="1995"/>
      <c r="O43" s="1995"/>
      <c r="P43" s="1996"/>
      <c r="Q43" s="1997"/>
      <c r="R43" s="1995"/>
      <c r="S43" s="1995"/>
    </row>
    <row r="44" spans="1:19" s="1970" customFormat="1" ht="17.25" x14ac:dyDescent="0.25">
      <c r="A44" s="1993"/>
      <c r="B44" s="1973" t="s">
        <v>2173</v>
      </c>
      <c r="C44" s="2009">
        <v>84.027000000000001</v>
      </c>
      <c r="D44" s="1973"/>
      <c r="E44" s="1971" t="s">
        <v>2174</v>
      </c>
      <c r="F44" s="1971"/>
      <c r="G44" s="2006">
        <v>73584</v>
      </c>
      <c r="H44" s="2006"/>
      <c r="I44" s="2006">
        <v>49731</v>
      </c>
      <c r="J44" s="2006"/>
      <c r="K44" s="2006">
        <v>92233</v>
      </c>
      <c r="L44" s="2006"/>
      <c r="M44" s="2006">
        <f>123315-92233</f>
        <v>31082</v>
      </c>
      <c r="N44" s="2006"/>
      <c r="O44" s="2010"/>
      <c r="P44" s="2008"/>
      <c r="Q44" s="2011">
        <f>O44+M44+K44</f>
        <v>123315</v>
      </c>
      <c r="R44" s="2006"/>
      <c r="S44" s="2012" t="s">
        <v>2156</v>
      </c>
    </row>
    <row r="45" spans="1:19" s="1970" customFormat="1" ht="17.25" x14ac:dyDescent="0.25">
      <c r="A45" s="1993"/>
      <c r="B45" s="1973" t="s">
        <v>2173</v>
      </c>
      <c r="C45" s="2009">
        <v>84.027000000000001</v>
      </c>
      <c r="D45" s="1973"/>
      <c r="E45" s="1971" t="s">
        <v>2175</v>
      </c>
      <c r="F45" s="1971"/>
      <c r="G45" s="2006"/>
      <c r="H45" s="2006"/>
      <c r="I45" s="2006">
        <v>64462</v>
      </c>
      <c r="J45" s="2006"/>
      <c r="K45" s="2006"/>
      <c r="L45" s="2006"/>
      <c r="M45" s="2006">
        <v>92233</v>
      </c>
      <c r="N45" s="2006"/>
      <c r="O45" s="2010"/>
      <c r="P45" s="2008" t="s">
        <v>2170</v>
      </c>
      <c r="Q45" s="2011">
        <f>O45+M45+K45</f>
        <v>92233</v>
      </c>
      <c r="R45" s="2006"/>
      <c r="S45" s="2012" t="s">
        <v>2156</v>
      </c>
    </row>
    <row r="46" spans="1:19" s="1970" customFormat="1" ht="15" x14ac:dyDescent="0.25">
      <c r="A46" s="2000"/>
      <c r="B46" s="1977"/>
      <c r="C46" s="1994"/>
      <c r="D46" s="1977"/>
      <c r="E46" s="1976"/>
      <c r="F46" s="1976"/>
      <c r="G46" s="1999"/>
      <c r="H46" s="1999"/>
      <c r="I46" s="1999"/>
      <c r="J46" s="1999"/>
      <c r="K46" s="1999"/>
      <c r="L46" s="1999"/>
      <c r="M46" s="1999"/>
      <c r="N46" s="1999"/>
      <c r="O46" s="1999"/>
      <c r="P46" s="1999"/>
      <c r="Q46" s="1997"/>
      <c r="R46" s="1999"/>
      <c r="S46" s="2013"/>
    </row>
    <row r="47" spans="1:19" s="1970" customFormat="1" ht="17.25" x14ac:dyDescent="0.4">
      <c r="A47" s="2000"/>
      <c r="B47" s="1977"/>
      <c r="C47" s="1994"/>
      <c r="D47" s="1977"/>
      <c r="E47" s="1976"/>
      <c r="F47" s="1976"/>
      <c r="G47" s="1999"/>
      <c r="H47" s="1999"/>
      <c r="I47" s="1999"/>
      <c r="J47" s="1999"/>
      <c r="K47" s="1999"/>
      <c r="L47" s="1999"/>
      <c r="M47" s="1999"/>
      <c r="N47" s="1999"/>
      <c r="O47" s="2014"/>
      <c r="P47" s="1999"/>
      <c r="Q47" s="1997"/>
      <c r="R47" s="1999"/>
      <c r="S47" s="2001"/>
    </row>
    <row r="48" spans="1:19" s="1970" customFormat="1" ht="17.25" x14ac:dyDescent="0.4">
      <c r="A48" s="1990" t="s">
        <v>2151</v>
      </c>
      <c r="B48" s="1977"/>
      <c r="C48" s="1977"/>
      <c r="D48" s="1977"/>
      <c r="E48" s="1977"/>
      <c r="F48" s="1976"/>
      <c r="G48" s="2014"/>
      <c r="H48" s="1999"/>
      <c r="I48" s="2014"/>
      <c r="J48" s="1999"/>
      <c r="K48" s="2014"/>
      <c r="L48" s="1999"/>
      <c r="M48" s="2014"/>
      <c r="N48" s="1999"/>
      <c r="O48" s="2014"/>
      <c r="P48" s="1999"/>
      <c r="Q48" s="1997"/>
      <c r="R48" s="1999"/>
      <c r="S48" s="1999"/>
    </row>
    <row r="49" spans="1:19" s="1970" customFormat="1" ht="17.25" x14ac:dyDescent="0.4">
      <c r="A49" s="2015" t="s">
        <v>2176</v>
      </c>
      <c r="B49" s="1977"/>
      <c r="C49" s="1977"/>
      <c r="D49" s="1977"/>
      <c r="E49" s="1977"/>
      <c r="F49" s="1976"/>
      <c r="G49" s="2014"/>
      <c r="H49" s="1999"/>
      <c r="I49" s="2014"/>
      <c r="J49" s="1999"/>
      <c r="K49" s="2014"/>
      <c r="L49" s="1999"/>
      <c r="M49" s="2014"/>
      <c r="N49" s="1999"/>
      <c r="O49" s="2014"/>
      <c r="P49" s="1999"/>
      <c r="Q49" s="1997"/>
      <c r="R49" s="1999"/>
      <c r="S49" s="1999"/>
    </row>
    <row r="50" spans="1:19" s="1970" customFormat="1" ht="17.25" x14ac:dyDescent="0.4">
      <c r="A50" s="2016"/>
      <c r="B50" s="1977"/>
      <c r="C50" s="1977"/>
      <c r="D50" s="1977"/>
      <c r="E50" s="1977"/>
      <c r="F50" s="1976"/>
      <c r="G50" s="2014"/>
      <c r="H50" s="1999"/>
      <c r="I50" s="2014"/>
      <c r="J50" s="1999"/>
      <c r="K50" s="2014"/>
      <c r="L50" s="1999"/>
      <c r="M50" s="2014"/>
      <c r="N50" s="1999"/>
      <c r="O50" s="2014"/>
      <c r="P50" s="1999"/>
      <c r="Q50" s="1997"/>
      <c r="R50" s="1999"/>
      <c r="S50" s="1999"/>
    </row>
    <row r="51" spans="1:19" s="1970" customFormat="1" ht="17.25" x14ac:dyDescent="0.2">
      <c r="A51" s="1993"/>
      <c r="B51" s="1973" t="s">
        <v>2177</v>
      </c>
      <c r="C51" s="2009">
        <v>84.027000000000001</v>
      </c>
      <c r="D51" s="1973"/>
      <c r="E51" s="1971" t="s">
        <v>2178</v>
      </c>
      <c r="F51" s="1971"/>
      <c r="G51" s="2006">
        <v>243883</v>
      </c>
      <c r="H51" s="2006"/>
      <c r="I51" s="2006">
        <f>97648+4134</f>
        <v>101782</v>
      </c>
      <c r="J51" s="2006"/>
      <c r="K51" s="2006">
        <v>341531</v>
      </c>
      <c r="L51" s="2006"/>
      <c r="M51" s="2006">
        <f>345665-341531</f>
        <v>4134</v>
      </c>
      <c r="N51" s="2006"/>
      <c r="O51" s="2010"/>
      <c r="P51" s="2006"/>
      <c r="Q51" s="2011">
        <f>+K51+M51</f>
        <v>345665</v>
      </c>
      <c r="R51" s="2006"/>
      <c r="S51" s="2006">
        <v>405159</v>
      </c>
    </row>
    <row r="52" spans="1:19" s="1970" customFormat="1" ht="15" x14ac:dyDescent="0.2">
      <c r="A52" s="1993"/>
      <c r="B52" s="1973" t="s">
        <v>2177</v>
      </c>
      <c r="C52" s="2009">
        <v>84.027000000000001</v>
      </c>
      <c r="D52" s="1973"/>
      <c r="E52" s="1971" t="s">
        <v>2179</v>
      </c>
      <c r="F52" s="1971"/>
      <c r="G52" s="2006"/>
      <c r="H52" s="2006"/>
      <c r="I52" s="2006">
        <v>192212</v>
      </c>
      <c r="J52" s="2006"/>
      <c r="K52" s="2006"/>
      <c r="L52" s="2006"/>
      <c r="M52" s="2006">
        <v>311986</v>
      </c>
      <c r="N52" s="2006"/>
      <c r="O52" s="2006"/>
      <c r="P52" s="2006"/>
      <c r="Q52" s="2011">
        <f>O52+M52+K52</f>
        <v>311986</v>
      </c>
      <c r="R52" s="2006"/>
      <c r="S52" s="2006">
        <v>369096</v>
      </c>
    </row>
    <row r="53" spans="1:19" s="1970" customFormat="1" ht="17.25" x14ac:dyDescent="0.4">
      <c r="A53" s="2016"/>
      <c r="B53" s="1977"/>
      <c r="C53" s="1977"/>
      <c r="D53" s="1977"/>
      <c r="E53" s="1977" t="s">
        <v>2180</v>
      </c>
      <c r="F53" s="1976"/>
      <c r="G53" s="2014"/>
      <c r="H53" s="1999"/>
      <c r="I53" s="2014"/>
      <c r="J53" s="1999"/>
      <c r="K53" s="2014"/>
      <c r="L53" s="1999"/>
      <c r="M53" s="2014"/>
      <c r="N53" s="1999"/>
      <c r="O53" s="2014"/>
      <c r="P53" s="1999"/>
      <c r="Q53" s="1997"/>
      <c r="R53" s="1999"/>
      <c r="S53" s="1999"/>
    </row>
    <row r="54" spans="1:19" s="1970" customFormat="1" ht="17.25" x14ac:dyDescent="0.25">
      <c r="A54" s="1993"/>
      <c r="B54" s="1973" t="s">
        <v>2181</v>
      </c>
      <c r="C54" s="2009">
        <v>84.173000000000002</v>
      </c>
      <c r="D54" s="1973"/>
      <c r="E54" s="1971" t="s">
        <v>2182</v>
      </c>
      <c r="F54" s="1971"/>
      <c r="G54" s="1999">
        <v>20486</v>
      </c>
      <c r="H54" s="1999"/>
      <c r="I54" s="1999">
        <f>4697+2493</f>
        <v>7190</v>
      </c>
      <c r="J54" s="1999"/>
      <c r="K54" s="1999">
        <v>25183</v>
      </c>
      <c r="L54" s="1999"/>
      <c r="M54" s="1999">
        <f>27676-25183</f>
        <v>2493</v>
      </c>
      <c r="N54" s="2006"/>
      <c r="O54" s="2010"/>
      <c r="P54" s="2006"/>
      <c r="Q54" s="2011">
        <f>O54+M54+K54</f>
        <v>27676</v>
      </c>
      <c r="R54" s="2006"/>
      <c r="S54" s="2006">
        <v>27676</v>
      </c>
    </row>
    <row r="55" spans="1:19" s="1970" customFormat="1" ht="15" x14ac:dyDescent="0.25">
      <c r="A55" s="2000"/>
      <c r="B55" s="1977" t="s">
        <v>2181</v>
      </c>
      <c r="C55" s="1994">
        <v>84.173000000000002</v>
      </c>
      <c r="D55" s="1977"/>
      <c r="E55" s="1976" t="s">
        <v>2183</v>
      </c>
      <c r="F55" s="1976"/>
      <c r="G55" s="1999"/>
      <c r="H55" s="1999"/>
      <c r="I55" s="1999">
        <v>21868</v>
      </c>
      <c r="J55" s="1999"/>
      <c r="K55" s="1999"/>
      <c r="L55" s="1999"/>
      <c r="M55" s="1999">
        <v>28670</v>
      </c>
      <c r="N55" s="1999"/>
      <c r="O55" s="1999"/>
      <c r="P55" s="1999"/>
      <c r="Q55" s="1997">
        <f>+K55+M55+O55</f>
        <v>28670</v>
      </c>
      <c r="R55" s="1999"/>
      <c r="S55" s="1999">
        <v>33276</v>
      </c>
    </row>
    <row r="56" spans="1:19" s="1970" customFormat="1" ht="15" hidden="1" x14ac:dyDescent="0.25">
      <c r="A56" s="1990" t="s">
        <v>2151</v>
      </c>
      <c r="B56" s="1977"/>
      <c r="C56" s="1994"/>
      <c r="D56" s="1977"/>
      <c r="E56" s="1976"/>
      <c r="F56" s="1976"/>
      <c r="G56" s="1999"/>
      <c r="H56" s="1999"/>
      <c r="I56" s="1999"/>
      <c r="J56" s="1999"/>
      <c r="K56" s="1999"/>
      <c r="L56" s="1999"/>
      <c r="M56" s="1999"/>
      <c r="N56" s="1999"/>
      <c r="O56" s="1999"/>
      <c r="P56" s="1999"/>
      <c r="Q56" s="1997"/>
      <c r="R56" s="1999"/>
      <c r="S56" s="1999"/>
    </row>
    <row r="57" spans="1:19" s="1970" customFormat="1" ht="15" hidden="1" x14ac:dyDescent="0.25">
      <c r="A57" s="1992" t="s">
        <v>2184</v>
      </c>
      <c r="B57" s="1977"/>
      <c r="C57" s="1994"/>
      <c r="D57" s="1977"/>
      <c r="E57" s="1976"/>
      <c r="F57" s="1976"/>
      <c r="G57" s="1999"/>
      <c r="H57" s="1999"/>
      <c r="I57" s="1999"/>
      <c r="J57" s="1999"/>
      <c r="K57" s="1999"/>
      <c r="L57" s="1999"/>
      <c r="M57" s="1999"/>
      <c r="N57" s="1999"/>
      <c r="O57" s="1999"/>
      <c r="P57" s="1999"/>
      <c r="Q57" s="1997"/>
      <c r="R57" s="1999"/>
      <c r="S57" s="1999"/>
    </row>
    <row r="58" spans="1:19" s="1970" customFormat="1" ht="15" hidden="1" x14ac:dyDescent="0.25">
      <c r="A58" s="2000"/>
      <c r="B58" s="1977"/>
      <c r="C58" s="1994"/>
      <c r="D58" s="1977"/>
      <c r="E58" s="1976"/>
      <c r="F58" s="1976"/>
      <c r="G58" s="1999"/>
      <c r="H58" s="1999"/>
      <c r="I58" s="1999"/>
      <c r="J58" s="1999"/>
      <c r="K58" s="1999"/>
      <c r="L58" s="1999"/>
      <c r="M58" s="1999"/>
      <c r="N58" s="1999"/>
      <c r="O58" s="1999"/>
      <c r="P58" s="1999"/>
      <c r="Q58" s="1997"/>
      <c r="R58" s="1999"/>
      <c r="S58" s="1999"/>
    </row>
    <row r="59" spans="1:19" s="1970" customFormat="1" ht="15" hidden="1" x14ac:dyDescent="0.25">
      <c r="A59" s="2000"/>
      <c r="B59" s="1977" t="s">
        <v>2185</v>
      </c>
      <c r="C59" s="1994"/>
      <c r="D59" s="1977"/>
      <c r="E59" s="1976" t="s">
        <v>2186</v>
      </c>
      <c r="F59" s="1976"/>
      <c r="G59" s="1999"/>
      <c r="H59" s="1999"/>
      <c r="I59" s="1999"/>
      <c r="J59" s="1999"/>
      <c r="K59" s="1999"/>
      <c r="L59" s="1999"/>
      <c r="M59" s="1999"/>
      <c r="N59" s="1999"/>
      <c r="O59" s="1999"/>
      <c r="P59" s="1999"/>
      <c r="Q59" s="1997">
        <f>O59+M59+K59</f>
        <v>0</v>
      </c>
      <c r="R59" s="1999"/>
      <c r="S59" s="1999"/>
    </row>
    <row r="60" spans="1:19" s="1970" customFormat="1" ht="15" hidden="1" x14ac:dyDescent="0.25">
      <c r="A60" s="2000"/>
      <c r="B60" s="1977"/>
      <c r="C60" s="1994"/>
      <c r="D60" s="1977"/>
      <c r="E60" s="1976"/>
      <c r="F60" s="1976"/>
      <c r="G60" s="1999"/>
      <c r="H60" s="1999"/>
      <c r="I60" s="1999"/>
      <c r="J60" s="1999"/>
      <c r="K60" s="1999"/>
      <c r="L60" s="1999"/>
      <c r="M60" s="1999"/>
      <c r="N60" s="1999"/>
      <c r="O60" s="1999"/>
      <c r="P60" s="1999"/>
      <c r="Q60" s="1997"/>
      <c r="R60" s="1999"/>
      <c r="S60" s="1999"/>
    </row>
    <row r="61" spans="1:19" s="1970" customFormat="1" ht="17.25" x14ac:dyDescent="0.4">
      <c r="A61" s="2017"/>
      <c r="C61" s="1994" t="s">
        <v>1231</v>
      </c>
      <c r="D61" s="1977"/>
      <c r="F61" s="1976"/>
      <c r="G61" s="2014" t="s">
        <v>1231</v>
      </c>
      <c r="H61" s="1999"/>
      <c r="I61" s="2014" t="s">
        <v>1231</v>
      </c>
      <c r="J61" s="1999"/>
      <c r="K61" s="2014" t="s">
        <v>1231</v>
      </c>
      <c r="L61" s="1999"/>
      <c r="M61" s="2014" t="s">
        <v>1231</v>
      </c>
      <c r="N61" s="1999"/>
      <c r="O61" s="2014">
        <v>0</v>
      </c>
      <c r="P61" s="1999"/>
      <c r="Q61" s="2003" t="s">
        <v>1231</v>
      </c>
      <c r="R61" s="1999"/>
      <c r="S61" s="1999"/>
    </row>
    <row r="62" spans="1:19" s="1970" customFormat="1" ht="15" x14ac:dyDescent="0.25">
      <c r="A62" s="1976"/>
      <c r="B62" s="1977"/>
      <c r="C62" s="2018"/>
      <c r="D62" s="1977"/>
      <c r="E62" s="1977"/>
      <c r="F62" s="1976"/>
      <c r="G62" s="2019"/>
      <c r="H62" s="1999"/>
      <c r="I62" s="2019"/>
      <c r="J62" s="2001"/>
      <c r="K62" s="2019"/>
      <c r="L62" s="2020"/>
      <c r="M62" s="2019"/>
      <c r="N62" s="2020"/>
      <c r="O62" s="2019"/>
      <c r="P62" s="2001"/>
      <c r="Q62" s="2019"/>
      <c r="R62" s="2020"/>
      <c r="S62" s="1999"/>
    </row>
    <row r="63" spans="1:19" s="1970" customFormat="1" ht="17.25" x14ac:dyDescent="0.2">
      <c r="A63" s="2015" t="s">
        <v>2187</v>
      </c>
      <c r="B63" s="1973"/>
      <c r="C63" s="2021"/>
      <c r="D63" s="1973"/>
      <c r="E63" s="1973"/>
      <c r="F63" s="1971"/>
      <c r="G63" s="2005">
        <f>SUM(G38:G62)</f>
        <v>545691</v>
      </c>
      <c r="H63" s="2005"/>
      <c r="I63" s="2005">
        <f>SUM(I38:I62)</f>
        <v>710961</v>
      </c>
      <c r="J63" s="2005"/>
      <c r="K63" s="2005">
        <f>SUM(K38:K62)</f>
        <v>707845</v>
      </c>
      <c r="L63" s="2005"/>
      <c r="M63" s="2005">
        <f>SUM(M38:M62)</f>
        <v>737628</v>
      </c>
      <c r="N63" s="2005"/>
      <c r="O63" s="2005">
        <f>SUM(O38:O62)</f>
        <v>0</v>
      </c>
      <c r="P63" s="2005"/>
      <c r="Q63" s="2005">
        <f>SUM(Q38:Q62)</f>
        <v>1445473</v>
      </c>
      <c r="R63" s="2006"/>
      <c r="S63" s="2006"/>
    </row>
    <row r="64" spans="1:19" s="1970" customFormat="1" ht="17.25" x14ac:dyDescent="0.2">
      <c r="A64" s="2015"/>
      <c r="B64" s="1973"/>
      <c r="C64" s="2021"/>
      <c r="D64" s="1973"/>
      <c r="E64" s="1973"/>
      <c r="F64" s="1971"/>
      <c r="G64" s="2005"/>
      <c r="H64" s="2005"/>
      <c r="I64" s="2005"/>
      <c r="J64" s="2005"/>
      <c r="K64" s="2005"/>
      <c r="L64" s="2005"/>
      <c r="M64" s="2005"/>
      <c r="N64" s="2005"/>
      <c r="O64" s="2005"/>
      <c r="P64" s="2005"/>
      <c r="Q64" s="2005"/>
      <c r="R64" s="2006"/>
      <c r="S64" s="2006"/>
    </row>
    <row r="65" spans="1:22" s="1970" customFormat="1" ht="15" x14ac:dyDescent="0.25">
      <c r="A65" s="1992" t="s">
        <v>2188</v>
      </c>
      <c r="B65" s="1977"/>
      <c r="C65" s="1977"/>
      <c r="D65" s="1977"/>
      <c r="E65" s="1977"/>
      <c r="F65" s="1976"/>
      <c r="G65" s="1999"/>
      <c r="H65" s="1999"/>
      <c r="I65" s="1999"/>
      <c r="J65" s="1999"/>
      <c r="K65" s="1999"/>
      <c r="L65" s="1999"/>
      <c r="M65" s="1999"/>
      <c r="N65" s="1999"/>
      <c r="O65" s="1999"/>
      <c r="P65" s="1999"/>
      <c r="Q65" s="1999"/>
      <c r="R65" s="1999"/>
      <c r="S65" s="1999"/>
    </row>
    <row r="66" spans="1:22" s="1970" customFormat="1" ht="15" x14ac:dyDescent="0.25">
      <c r="A66" s="1992" t="s">
        <v>2189</v>
      </c>
      <c r="B66" s="1977"/>
      <c r="C66" s="1977"/>
      <c r="D66" s="1977"/>
      <c r="E66" s="1977"/>
      <c r="F66" s="1976"/>
      <c r="G66" s="1999"/>
      <c r="H66" s="1999"/>
      <c r="I66" s="1999"/>
      <c r="J66" s="1999"/>
      <c r="K66" s="1999"/>
      <c r="L66" s="1999"/>
      <c r="M66" s="1999"/>
      <c r="N66" s="1999"/>
      <c r="O66" s="1999"/>
      <c r="P66" s="1999"/>
      <c r="Q66" s="1999"/>
      <c r="R66" s="1999"/>
      <c r="S66" s="1999"/>
    </row>
    <row r="67" spans="1:22" s="1970" customFormat="1" ht="15" x14ac:dyDescent="0.25">
      <c r="A67" s="1992" t="s">
        <v>2190</v>
      </c>
      <c r="B67" s="1977"/>
      <c r="C67" s="1977"/>
      <c r="D67" s="1977"/>
      <c r="E67" s="1977"/>
      <c r="F67" s="1976"/>
      <c r="G67" s="1999"/>
      <c r="H67" s="1999"/>
      <c r="I67" s="1999"/>
      <c r="J67" s="1999"/>
      <c r="K67" s="1999"/>
      <c r="L67" s="1999"/>
      <c r="M67" s="1999"/>
      <c r="N67" s="1999"/>
      <c r="O67" s="1999"/>
      <c r="P67" s="1999"/>
      <c r="Q67" s="1999"/>
      <c r="R67" s="1999"/>
      <c r="S67" s="1999"/>
    </row>
    <row r="68" spans="1:22" s="1970" customFormat="1" ht="15" x14ac:dyDescent="0.25">
      <c r="A68" s="2016"/>
      <c r="B68" s="1977" t="s">
        <v>2191</v>
      </c>
      <c r="C68" s="2022">
        <v>93.778000000000006</v>
      </c>
      <c r="D68" s="1977"/>
      <c r="E68" s="1973" t="s">
        <v>2192</v>
      </c>
      <c r="F68" s="1976"/>
      <c r="G68" s="2023">
        <v>12111</v>
      </c>
      <c r="H68" s="2023"/>
      <c r="I68" s="2023">
        <v>3767</v>
      </c>
      <c r="J68" s="2023"/>
      <c r="K68" s="2023">
        <f>12616+3924</f>
        <v>16540</v>
      </c>
      <c r="L68" s="2023"/>
      <c r="M68" s="2023"/>
      <c r="N68" s="2023"/>
      <c r="O68" s="2023"/>
      <c r="P68" s="2023"/>
      <c r="Q68" s="2023">
        <f>+K68+M68+O68</f>
        <v>16540</v>
      </c>
      <c r="R68" s="1999"/>
      <c r="S68" s="2013" t="s">
        <v>2156</v>
      </c>
    </row>
    <row r="69" spans="1:22" s="1970" customFormat="1" ht="17.25" x14ac:dyDescent="0.4">
      <c r="A69" s="2016"/>
      <c r="B69" s="1973" t="s">
        <v>2191</v>
      </c>
      <c r="C69" s="2024">
        <v>93.778000000000006</v>
      </c>
      <c r="D69" s="1973"/>
      <c r="E69" s="1973" t="s">
        <v>2193</v>
      </c>
      <c r="F69" s="1976"/>
      <c r="G69" s="2025"/>
      <c r="H69" s="1999"/>
      <c r="I69" s="2026">
        <v>12173</v>
      </c>
      <c r="J69" s="1999"/>
      <c r="K69" s="2025"/>
      <c r="L69" s="1999"/>
      <c r="M69" s="2026">
        <v>16410</v>
      </c>
      <c r="N69" s="1999"/>
      <c r="O69" s="2025"/>
      <c r="P69" s="1999"/>
      <c r="Q69" s="2026">
        <f>+K69+M69+O69</f>
        <v>16410</v>
      </c>
      <c r="R69" s="1999"/>
      <c r="S69" s="2012" t="s">
        <v>2156</v>
      </c>
    </row>
    <row r="70" spans="1:22" s="1970" customFormat="1" ht="15" x14ac:dyDescent="0.25">
      <c r="B70" s="1977"/>
      <c r="C70" s="2022"/>
      <c r="D70" s="1977"/>
      <c r="E70" s="1977"/>
      <c r="F70" s="1976"/>
      <c r="G70" s="1999"/>
      <c r="H70" s="1999"/>
      <c r="I70" s="1999"/>
      <c r="J70" s="1999"/>
      <c r="K70" s="1999"/>
      <c r="L70" s="1999"/>
      <c r="M70" s="1999"/>
      <c r="N70" s="1999"/>
      <c r="O70" s="1999"/>
      <c r="P70" s="1999"/>
      <c r="Q70" s="1999"/>
      <c r="R70" s="1999"/>
      <c r="S70" s="2001"/>
    </row>
    <row r="71" spans="1:22" s="1970" customFormat="1" ht="17.25" x14ac:dyDescent="0.2">
      <c r="A71" s="2015" t="s">
        <v>2194</v>
      </c>
      <c r="B71" s="1973"/>
      <c r="C71" s="2024"/>
      <c r="D71" s="1973"/>
      <c r="E71" s="1973"/>
      <c r="F71" s="1971"/>
      <c r="G71" s="2010">
        <f>SUM(G68:G70)</f>
        <v>12111</v>
      </c>
      <c r="H71" s="2010"/>
      <c r="I71" s="2010">
        <f>SUM(I68:I70)</f>
        <v>15940</v>
      </c>
      <c r="J71" s="2010"/>
      <c r="K71" s="2010">
        <f>SUM(K68:K70)</f>
        <v>16540</v>
      </c>
      <c r="L71" s="2010"/>
      <c r="M71" s="2010">
        <f>SUM(M68:M70)</f>
        <v>16410</v>
      </c>
      <c r="N71" s="2010"/>
      <c r="O71" s="2010">
        <f>SUM(O68:O70)</f>
        <v>0</v>
      </c>
      <c r="P71" s="2006"/>
      <c r="Q71" s="2010">
        <f>SUM(Q68:Q70)</f>
        <v>32950</v>
      </c>
      <c r="R71" s="2006"/>
      <c r="S71" s="2027"/>
    </row>
    <row r="72" spans="1:22" s="1970" customFormat="1" ht="17.25" x14ac:dyDescent="0.2">
      <c r="A72" s="2015"/>
      <c r="B72" s="1973"/>
      <c r="C72" s="2024"/>
      <c r="D72" s="1973"/>
      <c r="E72" s="1973"/>
      <c r="F72" s="1971"/>
      <c r="G72" s="2010"/>
      <c r="H72" s="2010"/>
      <c r="I72" s="2010"/>
      <c r="J72" s="2010"/>
      <c r="K72" s="2010"/>
      <c r="L72" s="2010"/>
      <c r="M72" s="2010"/>
      <c r="N72" s="2010"/>
      <c r="O72" s="2010"/>
      <c r="P72" s="2006"/>
      <c r="Q72" s="2010"/>
      <c r="R72" s="2006"/>
      <c r="S72" s="2027"/>
    </row>
    <row r="73" spans="1:22" s="1970" customFormat="1" ht="15" hidden="1" x14ac:dyDescent="0.25">
      <c r="A73" s="2016"/>
      <c r="B73" s="1977"/>
      <c r="C73" s="2022"/>
      <c r="D73" s="1977"/>
      <c r="E73" s="1977"/>
      <c r="F73" s="1976"/>
      <c r="G73" s="1999"/>
      <c r="H73" s="1999"/>
      <c r="I73" s="1999"/>
      <c r="J73" s="1999"/>
      <c r="K73" s="1999"/>
      <c r="L73" s="1999"/>
      <c r="M73" s="1999"/>
      <c r="N73" s="1999"/>
      <c r="O73" s="1999"/>
      <c r="P73" s="1999"/>
      <c r="Q73" s="1999"/>
      <c r="R73" s="1999"/>
      <c r="S73" s="2001"/>
    </row>
    <row r="74" spans="1:22" s="1970" customFormat="1" ht="17.25" x14ac:dyDescent="0.2">
      <c r="A74" s="2015" t="s">
        <v>2195</v>
      </c>
      <c r="B74" s="1973"/>
      <c r="C74" s="2021"/>
      <c r="D74" s="1973"/>
      <c r="E74" s="1973"/>
      <c r="F74" s="1971"/>
      <c r="G74" s="2028">
        <f>G32+G63+G71</f>
        <v>874550</v>
      </c>
      <c r="H74" s="2028"/>
      <c r="I74" s="2028">
        <f>I32+I63+I71</f>
        <v>1118588</v>
      </c>
      <c r="J74" s="2028"/>
      <c r="K74" s="2028">
        <f>K32+K63+K71</f>
        <v>1119274</v>
      </c>
      <c r="L74" s="2028"/>
      <c r="M74" s="2028">
        <f>M32+M63+M71</f>
        <v>1220172</v>
      </c>
      <c r="N74" s="2028"/>
      <c r="O74" s="2028">
        <f>O32+O63+O71</f>
        <v>0</v>
      </c>
      <c r="P74" s="2028"/>
      <c r="Q74" s="2028">
        <f>Q32+Q63+Q71</f>
        <v>2339446</v>
      </c>
      <c r="R74" s="2029" t="s">
        <v>1231</v>
      </c>
      <c r="S74" s="2006"/>
    </row>
    <row r="75" spans="1:22" s="1970" customFormat="1" ht="17.25" hidden="1" x14ac:dyDescent="0.4">
      <c r="A75" s="1992"/>
      <c r="B75" s="1977"/>
      <c r="C75" s="2018"/>
      <c r="D75" s="1977"/>
      <c r="E75" s="1977"/>
      <c r="F75" s="1976"/>
      <c r="G75" s="2030"/>
      <c r="H75" s="2030"/>
      <c r="I75" s="2030"/>
      <c r="J75" s="2030"/>
      <c r="K75" s="2030"/>
      <c r="L75" s="2030"/>
      <c r="M75" s="2030"/>
      <c r="N75" s="2030"/>
      <c r="O75" s="2030"/>
      <c r="P75" s="2030"/>
      <c r="Q75" s="2030"/>
      <c r="R75" s="2020"/>
      <c r="S75" s="1999"/>
    </row>
    <row r="76" spans="1:22" s="1970" customFormat="1" ht="17.25" hidden="1" x14ac:dyDescent="0.4">
      <c r="A76" s="1992"/>
      <c r="B76" s="1977"/>
      <c r="C76" s="2018"/>
      <c r="D76" s="1977"/>
      <c r="E76" s="1977"/>
      <c r="F76" s="1976"/>
      <c r="G76" s="2030"/>
      <c r="H76" s="2030"/>
      <c r="I76" s="2030"/>
      <c r="J76" s="2030"/>
      <c r="K76" s="2030"/>
      <c r="L76" s="2030"/>
      <c r="M76" s="2030"/>
      <c r="N76" s="2030"/>
      <c r="O76" s="2030"/>
      <c r="P76" s="2030"/>
      <c r="Q76" s="2030"/>
      <c r="R76" s="2020"/>
      <c r="S76" s="1999"/>
    </row>
    <row r="77" spans="1:22" s="1970" customFormat="1" ht="17.25" x14ac:dyDescent="0.4">
      <c r="A77" s="1992"/>
      <c r="B77" s="1977"/>
      <c r="C77" s="2018"/>
      <c r="D77" s="1977"/>
      <c r="E77" s="1977"/>
      <c r="F77" s="1976"/>
      <c r="G77" s="2030"/>
      <c r="H77" s="2030"/>
      <c r="I77" s="2030"/>
      <c r="J77" s="2030"/>
      <c r="K77" s="2030"/>
      <c r="L77" s="2030"/>
      <c r="M77" s="2030"/>
      <c r="N77" s="2030"/>
      <c r="O77" s="2030"/>
      <c r="P77" s="2030"/>
      <c r="Q77" s="2030"/>
      <c r="R77" s="2020"/>
      <c r="S77" s="1999"/>
    </row>
    <row r="78" spans="1:22" s="1970" customFormat="1" ht="15" x14ac:dyDescent="0.25">
      <c r="A78" s="1992" t="s">
        <v>2196</v>
      </c>
      <c r="B78" s="1977"/>
      <c r="C78" s="2018"/>
      <c r="D78" s="1977"/>
      <c r="E78" s="1977"/>
      <c r="F78" s="1976"/>
      <c r="G78" s="1997">
        <f>SUM(G32:G47)</f>
        <v>598070</v>
      </c>
      <c r="H78" s="1997"/>
      <c r="I78" s="1997">
        <f>SUM(I32:I47)</f>
        <v>779596</v>
      </c>
      <c r="J78" s="1997"/>
      <c r="K78" s="1997">
        <f>SUM(K32:K47)</f>
        <v>736020</v>
      </c>
      <c r="L78" s="1997"/>
      <c r="M78" s="1997">
        <f>SUM(M32:M47)</f>
        <v>856479</v>
      </c>
      <c r="N78" s="1997"/>
      <c r="O78" s="1997">
        <f>SUM(O32:O47)</f>
        <v>0</v>
      </c>
      <c r="P78" s="1997"/>
      <c r="Q78" s="1997">
        <f>SUM(Q32:Q47)</f>
        <v>1592499</v>
      </c>
      <c r="R78" s="2020"/>
      <c r="S78" s="1999"/>
    </row>
    <row r="79" spans="1:22" s="2032" customFormat="1" ht="17.25" x14ac:dyDescent="0.4">
      <c r="A79" s="1992"/>
      <c r="B79" s="1977"/>
      <c r="C79" s="2018"/>
      <c r="D79" s="1977"/>
      <c r="E79" s="1977"/>
      <c r="F79" s="1976"/>
      <c r="G79" s="2030"/>
      <c r="H79" s="2030"/>
      <c r="I79" s="2030"/>
      <c r="J79" s="2030"/>
      <c r="K79" s="2030"/>
      <c r="L79" s="2030"/>
      <c r="M79" s="2030"/>
      <c r="N79" s="2030"/>
      <c r="O79" s="2030"/>
      <c r="P79" s="2030"/>
      <c r="Q79" s="2030"/>
      <c r="R79" s="2020"/>
      <c r="S79" s="2023"/>
      <c r="T79" s="2031"/>
      <c r="U79" s="2031"/>
      <c r="V79" s="2031"/>
    </row>
    <row r="80" spans="1:22" s="2033" customFormat="1" ht="17.25" x14ac:dyDescent="0.2">
      <c r="A80" s="2015" t="s">
        <v>2197</v>
      </c>
      <c r="B80" s="1973"/>
      <c r="C80" s="2021"/>
      <c r="D80" s="1973"/>
      <c r="E80" s="1973"/>
      <c r="F80" s="1971"/>
      <c r="G80" s="2005">
        <f>+G69+G68+G55+G54+G52+G51</f>
        <v>276480</v>
      </c>
      <c r="H80" s="2005"/>
      <c r="I80" s="2005">
        <f>+I69+I68+I55+I54+I52+I51</f>
        <v>338992</v>
      </c>
      <c r="J80" s="2005"/>
      <c r="K80" s="2005">
        <f>+K69+K68+K55+K54+K52+K51</f>
        <v>383254</v>
      </c>
      <c r="L80" s="2005"/>
      <c r="M80" s="2005">
        <f>+M69+M68+M55+M54+M52+M51</f>
        <v>363693</v>
      </c>
      <c r="N80" s="2005"/>
      <c r="O80" s="2005">
        <f>+O69+O68+O55+O54+O52+O51</f>
        <v>0</v>
      </c>
      <c r="P80" s="2005"/>
      <c r="Q80" s="2005">
        <f>+Q69+Q68+Q55+Q54+Q52+Q51</f>
        <v>746947</v>
      </c>
      <c r="R80" s="2029"/>
      <c r="S80" s="2006"/>
    </row>
    <row r="81" spans="1:19" s="2034" customFormat="1" ht="13.5" customHeight="1" x14ac:dyDescent="0.4">
      <c r="A81" s="1992"/>
      <c r="B81" s="1977"/>
      <c r="C81" s="2018"/>
      <c r="D81" s="1977"/>
      <c r="E81" s="1977"/>
      <c r="F81" s="1976"/>
      <c r="G81" s="2030"/>
      <c r="H81" s="2030"/>
      <c r="I81" s="2030"/>
      <c r="J81" s="2030"/>
      <c r="K81" s="2030"/>
      <c r="L81" s="2030"/>
      <c r="M81" s="2030"/>
      <c r="N81" s="2030"/>
      <c r="O81" s="2030"/>
      <c r="P81" s="2030"/>
      <c r="Q81" s="2030"/>
      <c r="R81" s="2020"/>
      <c r="S81" s="1999"/>
    </row>
    <row r="82" spans="1:19" s="2033" customFormat="1" ht="13.5" customHeight="1" x14ac:dyDescent="0.2">
      <c r="A82" s="2015" t="s">
        <v>2195</v>
      </c>
      <c r="B82" s="1973"/>
      <c r="C82" s="2021"/>
      <c r="D82" s="1973"/>
      <c r="E82" s="1973"/>
      <c r="F82" s="1971"/>
      <c r="G82" s="2028">
        <f t="shared" ref="G82:Q82" si="0">G78+G80</f>
        <v>874550</v>
      </c>
      <c r="H82" s="2028"/>
      <c r="I82" s="2028">
        <f t="shared" si="0"/>
        <v>1118588</v>
      </c>
      <c r="J82" s="2028"/>
      <c r="K82" s="2028">
        <f t="shared" si="0"/>
        <v>1119274</v>
      </c>
      <c r="L82" s="2028"/>
      <c r="M82" s="2028">
        <f t="shared" si="0"/>
        <v>1220172</v>
      </c>
      <c r="N82" s="2028"/>
      <c r="O82" s="2028">
        <f t="shared" si="0"/>
        <v>0</v>
      </c>
      <c r="P82" s="2028"/>
      <c r="Q82" s="2028">
        <f t="shared" si="0"/>
        <v>2339446</v>
      </c>
      <c r="R82" s="2035"/>
      <c r="S82" s="2006"/>
    </row>
    <row r="83" spans="1:19" s="2034" customFormat="1" ht="13.5" customHeight="1" x14ac:dyDescent="0.4">
      <c r="A83" s="1992"/>
      <c r="B83" s="1977"/>
      <c r="C83" s="2018"/>
      <c r="D83" s="1977"/>
      <c r="E83" s="1977"/>
      <c r="F83" s="1976"/>
      <c r="G83" s="2030"/>
      <c r="H83" s="2030"/>
      <c r="I83" s="2030"/>
      <c r="J83" s="2030"/>
      <c r="K83" s="2030"/>
      <c r="L83" s="2030"/>
      <c r="M83" s="2030"/>
      <c r="N83" s="2030"/>
      <c r="O83" s="2030"/>
      <c r="P83" s="2030"/>
      <c r="Q83" s="2030"/>
      <c r="R83" s="2020"/>
      <c r="S83" s="1999"/>
    </row>
    <row r="84" spans="1:19" s="2034" customFormat="1" ht="13.5" customHeight="1" x14ac:dyDescent="0.25">
      <c r="A84" s="2016" t="s">
        <v>2198</v>
      </c>
      <c r="B84" s="1977"/>
      <c r="C84" s="1977"/>
      <c r="D84" s="1977"/>
      <c r="E84" s="1977"/>
      <c r="F84" s="1976"/>
      <c r="G84" s="1999"/>
      <c r="H84" s="1999"/>
      <c r="I84" s="1999"/>
      <c r="J84" s="2001"/>
      <c r="K84" s="1999"/>
      <c r="L84" s="1999"/>
      <c r="M84" s="1999"/>
      <c r="N84" s="1999"/>
      <c r="O84" s="1999"/>
      <c r="P84" s="2001"/>
      <c r="Q84" s="1999"/>
      <c r="R84" s="1999"/>
      <c r="S84" s="1999"/>
    </row>
    <row r="85" spans="1:19" s="2034" customFormat="1" ht="13.5" customHeight="1" x14ac:dyDescent="0.25">
      <c r="A85" s="2016" t="s">
        <v>2199</v>
      </c>
      <c r="B85" s="1977"/>
      <c r="C85" s="1977"/>
      <c r="D85" s="1977"/>
      <c r="E85" s="1977"/>
      <c r="F85" s="1976"/>
      <c r="G85" s="1999"/>
      <c r="H85" s="1999"/>
      <c r="I85" s="1999"/>
      <c r="J85" s="2001"/>
      <c r="K85" s="1999"/>
      <c r="L85" s="1999"/>
      <c r="M85" s="1999"/>
      <c r="N85" s="1999"/>
      <c r="O85" s="1999"/>
      <c r="P85" s="2001"/>
      <c r="Q85" s="1999"/>
      <c r="R85" s="1999"/>
      <c r="S85" s="1999"/>
    </row>
    <row r="86" spans="1:19" s="2034" customFormat="1" ht="13.5" customHeight="1" x14ac:dyDescent="0.25">
      <c r="A86" s="2036" t="s">
        <v>2200</v>
      </c>
      <c r="B86" s="1975"/>
      <c r="C86" s="1977"/>
      <c r="D86" s="1977"/>
      <c r="E86" s="1977"/>
      <c r="F86" s="1976"/>
      <c r="G86" s="1999"/>
      <c r="H86" s="1999"/>
      <c r="I86" s="2037"/>
      <c r="J86" s="2001"/>
      <c r="K86" s="1999"/>
      <c r="L86" s="1999"/>
      <c r="M86" s="1999" t="s">
        <v>1231</v>
      </c>
      <c r="N86" s="1999"/>
      <c r="O86" s="1999"/>
      <c r="P86" s="2001"/>
      <c r="Q86" s="1999"/>
      <c r="R86" s="1999"/>
      <c r="S86" s="1999"/>
    </row>
    <row r="87" spans="1:19" s="2034" customFormat="1" ht="13.5" customHeight="1" x14ac:dyDescent="0.25">
      <c r="A87" s="2038" t="s">
        <v>2201</v>
      </c>
      <c r="B87" s="2039"/>
      <c r="C87" s="2040"/>
    </row>
    <row r="88" spans="1:19" s="2034" customFormat="1" ht="13.5" customHeight="1" x14ac:dyDescent="0.25">
      <c r="A88" s="2016"/>
      <c r="B88" s="2041"/>
      <c r="C88" s="2040"/>
    </row>
    <row r="89" spans="1:19" s="2042" customFormat="1" ht="13.5" customHeight="1" x14ac:dyDescent="0.15">
      <c r="B89" s="2043"/>
      <c r="C89" s="2044"/>
      <c r="F89" s="2045"/>
      <c r="G89" s="2045"/>
      <c r="H89" s="2045"/>
      <c r="I89" s="2045"/>
      <c r="J89" s="2046"/>
    </row>
    <row r="109" spans="1:1" x14ac:dyDescent="0.2">
      <c r="A109" s="2049"/>
    </row>
  </sheetData>
  <mergeCells count="4">
    <mergeCell ref="A1:S1"/>
    <mergeCell ref="A2:S2"/>
    <mergeCell ref="A3:S3"/>
    <mergeCell ref="A4:S4"/>
  </mergeCells>
  <printOptions gridLinesSet="0"/>
  <pageMargins left="0.25" right="0.25" top="0.5" bottom="0" header="0.5" footer="0"/>
  <pageSetup scale="75" fitToHeight="2" orientation="landscape" r:id="rId1"/>
  <headerFooter alignWithMargins="0">
    <oddFooter>&amp;LSee the accompanying notes to the Schedule of Expenditures of Federal Awards.</oddFooter>
  </headerFooter>
  <rowBreaks count="1" manualBreakCount="1">
    <brk id="4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64" t="s">
        <v>1230</v>
      </c>
      <c r="B2" s="2164"/>
      <c r="C2" s="2164"/>
      <c r="D2" s="2164"/>
      <c r="E2" s="2164"/>
      <c r="F2" s="2164"/>
      <c r="G2" s="2164"/>
      <c r="H2" s="2164"/>
      <c r="I2" s="2164"/>
      <c r="J2" s="216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78" t="s">
        <v>1731</v>
      </c>
      <c r="B35" s="2179"/>
      <c r="C35" s="2179"/>
      <c r="D35" s="2179"/>
      <c r="E35" s="2180"/>
      <c r="F35" s="2180"/>
      <c r="G35" s="2180"/>
      <c r="H35" s="2180"/>
      <c r="I35" s="218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78" t="s">
        <v>331</v>
      </c>
      <c r="B47" s="2181"/>
      <c r="C47" s="2181"/>
      <c r="D47" s="2181"/>
      <c r="E47" s="2182"/>
      <c r="F47" s="2182"/>
      <c r="G47" s="2182"/>
      <c r="H47" s="2182"/>
      <c r="I47" s="218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2073</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85" t="s">
        <v>2108</v>
      </c>
      <c r="C57" s="2186"/>
      <c r="D57" s="2186"/>
      <c r="E57" s="2186"/>
      <c r="F57" s="2186"/>
      <c r="G57" s="2186"/>
      <c r="H57" s="2186"/>
      <c r="I57" s="2186"/>
      <c r="J57" s="2187"/>
    </row>
    <row r="58" spans="1:10" s="181" customFormat="1" x14ac:dyDescent="0.2">
      <c r="A58" s="253"/>
      <c r="B58" s="2188"/>
      <c r="C58" s="2189"/>
      <c r="D58" s="2189"/>
      <c r="E58" s="2189"/>
      <c r="F58" s="2189"/>
      <c r="G58" s="2189"/>
      <c r="H58" s="2189"/>
      <c r="I58" s="2189"/>
      <c r="J58" s="2190"/>
    </row>
    <row r="59" spans="1:10" s="181" customFormat="1" x14ac:dyDescent="0.2">
      <c r="A59" s="253"/>
      <c r="B59" s="2188"/>
      <c r="C59" s="2189"/>
      <c r="D59" s="2189"/>
      <c r="E59" s="2189"/>
      <c r="F59" s="2189"/>
      <c r="G59" s="2189"/>
      <c r="H59" s="2189"/>
      <c r="I59" s="2189"/>
      <c r="J59" s="2190"/>
    </row>
    <row r="60" spans="1:10" s="181" customFormat="1" x14ac:dyDescent="0.2">
      <c r="A60" s="253"/>
      <c r="B60" s="2188"/>
      <c r="C60" s="2189"/>
      <c r="D60" s="2189"/>
      <c r="E60" s="2189"/>
      <c r="F60" s="2189"/>
      <c r="G60" s="2189"/>
      <c r="H60" s="2189"/>
      <c r="I60" s="2189"/>
      <c r="J60" s="2190"/>
    </row>
    <row r="61" spans="1:10" s="181" customFormat="1" x14ac:dyDescent="0.2">
      <c r="A61" s="253"/>
      <c r="B61" s="2188"/>
      <c r="C61" s="2189"/>
      <c r="D61" s="2189"/>
      <c r="E61" s="2189"/>
      <c r="F61" s="2189"/>
      <c r="G61" s="2189"/>
      <c r="H61" s="2189"/>
      <c r="I61" s="2189"/>
      <c r="J61" s="2190"/>
    </row>
    <row r="62" spans="1:10" s="181" customFormat="1" x14ac:dyDescent="0.2">
      <c r="A62" s="253"/>
      <c r="B62" s="2188"/>
      <c r="C62" s="2189"/>
      <c r="D62" s="2189"/>
      <c r="E62" s="2189"/>
      <c r="F62" s="2189"/>
      <c r="G62" s="2189"/>
      <c r="H62" s="2189"/>
      <c r="I62" s="2189"/>
      <c r="J62" s="2190"/>
    </row>
    <row r="63" spans="1:10" s="181" customFormat="1" x14ac:dyDescent="0.2">
      <c r="A63" s="253"/>
      <c r="B63" s="2188"/>
      <c r="C63" s="2189"/>
      <c r="D63" s="2189"/>
      <c r="E63" s="2189"/>
      <c r="F63" s="2189"/>
      <c r="G63" s="2189"/>
      <c r="H63" s="2189"/>
      <c r="I63" s="2189"/>
      <c r="J63" s="2190"/>
    </row>
    <row r="64" spans="1:10" s="181" customFormat="1" x14ac:dyDescent="0.2">
      <c r="A64" s="253"/>
      <c r="B64" s="2188"/>
      <c r="C64" s="2189"/>
      <c r="D64" s="2189"/>
      <c r="E64" s="2189"/>
      <c r="F64" s="2189"/>
      <c r="G64" s="2189"/>
      <c r="H64" s="2189"/>
      <c r="I64" s="2189"/>
      <c r="J64" s="2190"/>
    </row>
    <row r="65" spans="1:10" s="181" customFormat="1" x14ac:dyDescent="0.2">
      <c r="A65" s="253"/>
      <c r="B65" s="2188"/>
      <c r="C65" s="2189"/>
      <c r="D65" s="2189"/>
      <c r="E65" s="2189"/>
      <c r="F65" s="2189"/>
      <c r="G65" s="2189"/>
      <c r="H65" s="2189"/>
      <c r="I65" s="2189"/>
      <c r="J65" s="2190"/>
    </row>
    <row r="66" spans="1:10" s="181" customFormat="1" x14ac:dyDescent="0.2">
      <c r="A66" s="253"/>
      <c r="B66" s="2188"/>
      <c r="C66" s="2189"/>
      <c r="D66" s="2189"/>
      <c r="E66" s="2189"/>
      <c r="F66" s="2189"/>
      <c r="G66" s="2189"/>
      <c r="H66" s="2189"/>
      <c r="I66" s="2189"/>
      <c r="J66" s="2190"/>
    </row>
    <row r="67" spans="1:10" s="181" customFormat="1" ht="9.1999999999999993" customHeight="1" x14ac:dyDescent="0.2">
      <c r="A67" s="254"/>
      <c r="B67" s="2191"/>
      <c r="C67" s="2192"/>
      <c r="D67" s="2192"/>
      <c r="E67" s="2192"/>
      <c r="F67" s="2192"/>
      <c r="G67" s="2192"/>
      <c r="H67" s="2192"/>
      <c r="I67" s="2192"/>
      <c r="J67" s="2193"/>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8" t="s">
        <v>1390</v>
      </c>
      <c r="B70" s="2181"/>
      <c r="C70" s="2181"/>
      <c r="D70" s="2181"/>
      <c r="E70" s="2182"/>
      <c r="F70" s="2182"/>
      <c r="G70" s="2182"/>
      <c r="H70" s="2182"/>
      <c r="I70" s="2182"/>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83" t="s">
        <v>1387</v>
      </c>
      <c r="B83" s="2183"/>
      <c r="C83" s="2183"/>
      <c r="D83" s="218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65"/>
      <c r="C102" s="2166"/>
      <c r="D102" s="2166"/>
      <c r="E102" s="2166"/>
      <c r="F102" s="2166"/>
      <c r="G102" s="2166"/>
      <c r="H102" s="2166"/>
      <c r="I102" s="2167"/>
    </row>
    <row r="103" spans="1:9" s="181" customFormat="1" ht="11.25" customHeight="1" x14ac:dyDescent="0.2">
      <c r="A103" s="316"/>
      <c r="B103" s="2168"/>
      <c r="C103" s="2169"/>
      <c r="D103" s="2169"/>
      <c r="E103" s="2169"/>
      <c r="F103" s="2169"/>
      <c r="G103" s="2169"/>
      <c r="H103" s="2169"/>
      <c r="I103" s="2170"/>
    </row>
    <row r="104" spans="1:9" s="181" customFormat="1" ht="11.25" customHeight="1" x14ac:dyDescent="0.2">
      <c r="A104" s="316"/>
      <c r="B104" s="2168"/>
      <c r="C104" s="2169"/>
      <c r="D104" s="2169"/>
      <c r="E104" s="2169"/>
      <c r="F104" s="2169"/>
      <c r="G104" s="2169"/>
      <c r="H104" s="2169"/>
      <c r="I104" s="2170"/>
    </row>
    <row r="105" spans="1:9" s="181" customFormat="1" x14ac:dyDescent="0.2">
      <c r="A105" s="316"/>
      <c r="B105" s="2168"/>
      <c r="C105" s="2169"/>
      <c r="D105" s="2169"/>
      <c r="E105" s="2169"/>
      <c r="F105" s="2169"/>
      <c r="G105" s="2169"/>
      <c r="H105" s="2169"/>
      <c r="I105" s="2170"/>
    </row>
    <row r="106" spans="1:9" s="181" customFormat="1" ht="11.25" customHeight="1" x14ac:dyDescent="0.2">
      <c r="A106" s="316"/>
      <c r="B106" s="2168"/>
      <c r="C106" s="2169"/>
      <c r="D106" s="2169"/>
      <c r="E106" s="2169"/>
      <c r="F106" s="2169"/>
      <c r="G106" s="2169"/>
      <c r="H106" s="2169"/>
      <c r="I106" s="2170"/>
    </row>
    <row r="107" spans="1:9" s="181" customFormat="1" ht="11.25" customHeight="1" x14ac:dyDescent="0.2">
      <c r="A107" s="316"/>
      <c r="B107" s="2168"/>
      <c r="C107" s="2169"/>
      <c r="D107" s="2169"/>
      <c r="E107" s="2169"/>
      <c r="F107" s="2169"/>
      <c r="G107" s="2169"/>
      <c r="H107" s="2169"/>
      <c r="I107" s="2170"/>
    </row>
    <row r="108" spans="1:9" s="181" customFormat="1" ht="11.25" customHeight="1" x14ac:dyDescent="0.2">
      <c r="A108" s="316"/>
      <c r="B108" s="2168"/>
      <c r="C108" s="2169"/>
      <c r="D108" s="2169"/>
      <c r="E108" s="2169"/>
      <c r="F108" s="2169"/>
      <c r="G108" s="2169"/>
      <c r="H108" s="2169"/>
      <c r="I108" s="2170"/>
    </row>
    <row r="109" spans="1:9" s="181" customFormat="1" ht="11.25" customHeight="1" x14ac:dyDescent="0.2">
      <c r="A109" s="316"/>
      <c r="B109" s="2168"/>
      <c r="C109" s="2169"/>
      <c r="D109" s="2169"/>
      <c r="E109" s="2169"/>
      <c r="F109" s="2169"/>
      <c r="G109" s="2169"/>
      <c r="H109" s="2169"/>
      <c r="I109" s="2170"/>
    </row>
    <row r="110" spans="1:9" s="181" customFormat="1" ht="11.25" customHeight="1" x14ac:dyDescent="0.2">
      <c r="A110" s="316"/>
      <c r="B110" s="2168"/>
      <c r="C110" s="2169"/>
      <c r="D110" s="2169"/>
      <c r="E110" s="2169"/>
      <c r="F110" s="2169"/>
      <c r="G110" s="2169"/>
      <c r="H110" s="2169"/>
      <c r="I110" s="2170"/>
    </row>
    <row r="111" spans="1:9" s="181" customFormat="1" ht="11.25" customHeight="1" x14ac:dyDescent="0.2">
      <c r="A111" s="316"/>
      <c r="B111" s="2168"/>
      <c r="C111" s="2169"/>
      <c r="D111" s="2169"/>
      <c r="E111" s="2169"/>
      <c r="F111" s="2169"/>
      <c r="G111" s="2169"/>
      <c r="H111" s="2169"/>
      <c r="I111" s="2170"/>
    </row>
    <row r="112" spans="1:9" s="181" customFormat="1" ht="11.25" customHeight="1" x14ac:dyDescent="0.2">
      <c r="A112" s="316"/>
      <c r="B112" s="2171"/>
      <c r="C112" s="2172"/>
      <c r="D112" s="2172"/>
      <c r="E112" s="2172"/>
      <c r="F112" s="2172"/>
      <c r="G112" s="2172"/>
      <c r="H112" s="2172"/>
      <c r="I112" s="21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4" t="s">
        <v>2080</v>
      </c>
      <c r="D114" s="217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75" t="s">
        <v>1397</v>
      </c>
      <c r="D117" s="2176"/>
      <c r="E117" s="2177"/>
      <c r="F117" s="2177"/>
      <c r="G117" s="2177"/>
      <c r="H117" s="2177"/>
      <c r="I117" s="304"/>
    </row>
    <row r="118" spans="1:9" s="181" customFormat="1" ht="24" customHeight="1" x14ac:dyDescent="0.2">
      <c r="A118" s="316"/>
      <c r="B118" s="316"/>
      <c r="C118" s="316"/>
      <c r="D118" s="323" t="s">
        <v>2215</v>
      </c>
      <c r="E118" s="322"/>
      <c r="F118" s="324"/>
      <c r="G118" s="1861"/>
      <c r="H118" s="322"/>
      <c r="I118" s="304"/>
    </row>
    <row r="119" spans="1:9" s="181" customFormat="1" ht="11.25" customHeight="1" x14ac:dyDescent="0.2">
      <c r="A119" s="325"/>
      <c r="B119" s="325"/>
      <c r="C119" s="326"/>
      <c r="D119" s="327" t="s">
        <v>379</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00" t="str">
        <f>'Single Audit Cover'!A7</f>
        <v>Olympia CUSD 16</v>
      </c>
      <c r="C1" s="2563"/>
      <c r="D1" s="2563"/>
      <c r="E1" s="2563"/>
      <c r="F1" s="2563"/>
      <c r="G1" s="2563"/>
      <c r="H1" s="2563"/>
      <c r="I1" s="2563"/>
      <c r="J1" s="2563"/>
      <c r="K1" s="2563"/>
      <c r="L1" s="2563"/>
      <c r="M1" s="2563"/>
    </row>
    <row r="2" spans="2:14" ht="15" x14ac:dyDescent="0.2">
      <c r="B2" s="2547">
        <f>'Single Audit Cover'!E7</f>
        <v>17064016026</v>
      </c>
      <c r="C2" s="2547"/>
      <c r="D2" s="2547"/>
      <c r="E2" s="2547"/>
      <c r="F2" s="2547"/>
      <c r="G2" s="2547"/>
      <c r="H2" s="2547"/>
      <c r="I2" s="2547"/>
      <c r="J2" s="2547"/>
      <c r="K2" s="2547"/>
      <c r="L2" s="2547"/>
      <c r="M2" s="2547"/>
      <c r="N2" s="1300"/>
    </row>
    <row r="3" spans="2:14" ht="15" x14ac:dyDescent="0.2">
      <c r="B3" s="2564" t="s">
        <v>1281</v>
      </c>
      <c r="C3" s="2564"/>
      <c r="D3" s="2564"/>
      <c r="E3" s="2564"/>
      <c r="F3" s="2564"/>
      <c r="G3" s="2564"/>
      <c r="H3" s="2564"/>
      <c r="I3" s="2564"/>
      <c r="J3" s="2564"/>
      <c r="K3" s="2564"/>
      <c r="L3" s="2564"/>
      <c r="M3" s="2564"/>
      <c r="N3" s="1300"/>
    </row>
    <row r="4" spans="2:14" ht="15" x14ac:dyDescent="0.2">
      <c r="B4" s="2565" t="str">
        <f>'Single Audit Cover'!A4</f>
        <v>Year Ending June 30, 2018</v>
      </c>
      <c r="C4" s="2565"/>
      <c r="D4" s="2565"/>
      <c r="E4" s="2565"/>
      <c r="F4" s="2565"/>
      <c r="G4" s="2565"/>
      <c r="H4" s="2565"/>
      <c r="I4" s="2565"/>
      <c r="J4" s="2565"/>
      <c r="K4" s="2565"/>
      <c r="L4" s="2565"/>
      <c r="M4" s="2565"/>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1946</v>
      </c>
      <c r="K8" s="1317" t="s">
        <v>1323</v>
      </c>
      <c r="L8" s="1318" t="s">
        <v>1319</v>
      </c>
      <c r="M8" s="1319" t="s">
        <v>30</v>
      </c>
    </row>
    <row r="9" spans="2:14" ht="14.25" x14ac:dyDescent="0.2">
      <c r="B9" s="1323" t="s">
        <v>1321</v>
      </c>
      <c r="C9" s="1311" t="s">
        <v>1835</v>
      </c>
      <c r="D9" s="1312" t="s">
        <v>1836</v>
      </c>
      <c r="E9" s="1320" t="s">
        <v>1663</v>
      </c>
      <c r="F9" s="1321" t="s">
        <v>1946</v>
      </c>
      <c r="G9" s="1322" t="s">
        <v>1663</v>
      </c>
      <c r="H9" s="1315" t="s">
        <v>1664</v>
      </c>
      <c r="I9" s="1317" t="s">
        <v>1946</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1837</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1947</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1840</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1841</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0" t="str">
        <f>'Single Audit Cover'!A7</f>
        <v>Olympia CUSD 16</v>
      </c>
      <c r="C1" s="2571"/>
      <c r="D1" s="2571"/>
      <c r="E1" s="2571"/>
      <c r="F1" s="2571"/>
      <c r="G1" s="2571"/>
      <c r="H1" s="2571"/>
      <c r="I1" s="2571"/>
      <c r="J1" s="1420"/>
    </row>
    <row r="2" spans="2:10" s="317" customFormat="1" ht="12.75" customHeight="1" x14ac:dyDescent="0.2">
      <c r="B2" s="2572">
        <f>'Single Audit Cover'!E7</f>
        <v>17064016026</v>
      </c>
      <c r="C2" s="2573"/>
      <c r="D2" s="2573"/>
      <c r="E2" s="2573"/>
      <c r="F2" s="2573"/>
      <c r="G2" s="2573"/>
      <c r="H2" s="2573"/>
      <c r="I2" s="2573"/>
      <c r="J2" s="1420"/>
    </row>
    <row r="3" spans="2:10" s="317" customFormat="1" ht="12.75" customHeight="1" x14ac:dyDescent="0.2">
      <c r="B3" s="2574" t="s">
        <v>1347</v>
      </c>
      <c r="C3" s="2575"/>
      <c r="D3" s="2575"/>
      <c r="E3" s="2575"/>
      <c r="F3" s="2575"/>
      <c r="G3" s="2575"/>
      <c r="H3" s="2575"/>
      <c r="I3" s="2575"/>
      <c r="J3" s="1421"/>
    </row>
    <row r="4" spans="2:10" s="317" customFormat="1" ht="12.75" customHeight="1" x14ac:dyDescent="0.2">
      <c r="B4" s="2574" t="str">
        <f>'Single Audit Cover'!A4</f>
        <v>Year Ending June 30, 2018</v>
      </c>
      <c r="C4" s="2575"/>
      <c r="D4" s="2575"/>
      <c r="E4" s="2575"/>
      <c r="F4" s="2575"/>
      <c r="G4" s="2575"/>
      <c r="H4" s="2575"/>
      <c r="I4" s="2575"/>
    </row>
    <row r="5" spans="2:10" s="317" customFormat="1" ht="6.4" customHeight="1" x14ac:dyDescent="0.2">
      <c r="B5" s="1422" t="s">
        <v>1231</v>
      </c>
      <c r="C5" s="1292"/>
      <c r="D5" s="1292"/>
      <c r="E5" s="1381"/>
      <c r="F5" s="322"/>
      <c r="G5" s="322"/>
      <c r="H5" s="322"/>
      <c r="I5" s="322"/>
    </row>
    <row r="6" spans="2:10" s="317" customFormat="1" ht="6.4" customHeight="1" x14ac:dyDescent="0.2">
      <c r="B6" s="1423"/>
      <c r="C6" s="1377"/>
      <c r="D6" s="1377"/>
      <c r="E6" s="1378"/>
      <c r="F6" s="1377"/>
      <c r="G6" s="1377"/>
      <c r="H6" s="1377"/>
      <c r="I6" s="1377"/>
    </row>
    <row r="7" spans="2:10" s="317" customFormat="1" ht="13.5" customHeight="1" x14ac:dyDescent="0.2">
      <c r="B7" s="2574" t="s">
        <v>1346</v>
      </c>
      <c r="C7" s="2575"/>
      <c r="D7" s="2575"/>
      <c r="E7" s="2575"/>
      <c r="F7" s="2575"/>
      <c r="G7" s="2575"/>
      <c r="H7" s="2575"/>
      <c r="I7" s="2575"/>
    </row>
    <row r="8" spans="2:10" s="317" customFormat="1" ht="6.4"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576" t="s">
        <v>1226</v>
      </c>
      <c r="D11" s="2576"/>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2082</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t="s">
        <v>2082</v>
      </c>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t="s">
        <v>2082</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2082</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2082</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577" t="s">
        <v>2115</v>
      </c>
      <c r="E29" s="2577"/>
      <c r="F29" s="2577"/>
      <c r="G29" s="2577"/>
      <c r="H29" s="2577"/>
      <c r="I29" s="2577"/>
    </row>
    <row r="30" spans="2:9" s="317" customFormat="1" x14ac:dyDescent="0.2">
      <c r="B30" s="1366"/>
      <c r="C30" s="322"/>
      <c r="D30" s="1431" t="s">
        <v>1848</v>
      </c>
      <c r="E30" s="1432"/>
      <c r="F30" s="1432"/>
      <c r="G30" s="1432"/>
      <c r="H30" s="1432"/>
      <c r="I30" s="1432"/>
    </row>
    <row r="31" spans="2:9" s="317" customFormat="1" ht="10.15"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2082</v>
      </c>
      <c r="H33" s="1298" t="s">
        <v>101</v>
      </c>
    </row>
    <row r="35" spans="2:9" x14ac:dyDescent="0.2">
      <c r="B35" s="1439" t="s">
        <v>1849</v>
      </c>
      <c r="C35" s="1440"/>
      <c r="D35" s="1265"/>
    </row>
    <row r="36" spans="2:9" ht="6" customHeight="1" x14ac:dyDescent="0.2">
      <c r="B36" s="1439"/>
      <c r="C36" s="1440"/>
      <c r="D36" s="1265"/>
    </row>
    <row r="37" spans="2:9" ht="17.25" customHeight="1" x14ac:dyDescent="0.2">
      <c r="B37" s="1441" t="s">
        <v>1850</v>
      </c>
      <c r="C37" s="2578" t="s">
        <v>1851</v>
      </c>
      <c r="D37" s="2579"/>
      <c r="E37" s="2579"/>
      <c r="F37" s="2580"/>
      <c r="G37" s="2578" t="s">
        <v>1674</v>
      </c>
      <c r="H37" s="2579"/>
      <c r="I37" s="2580"/>
    </row>
    <row r="38" spans="2:9" ht="16.5" customHeight="1" x14ac:dyDescent="0.2">
      <c r="B38" s="1442" t="s">
        <v>2116</v>
      </c>
      <c r="C38" s="2581" t="s">
        <v>2117</v>
      </c>
      <c r="D38" s="2582"/>
      <c r="E38" s="2582"/>
      <c r="F38" s="2583"/>
      <c r="G38" s="2584">
        <v>466134</v>
      </c>
      <c r="H38" s="2585"/>
      <c r="I38" s="2586"/>
    </row>
    <row r="39" spans="2:9" ht="16.5" customHeight="1" x14ac:dyDescent="0.2">
      <c r="B39" s="1442">
        <v>84.01</v>
      </c>
      <c r="C39" s="2566" t="s">
        <v>974</v>
      </c>
      <c r="D39" s="2567"/>
      <c r="E39" s="2567"/>
      <c r="F39" s="2568"/>
      <c r="G39" s="2569">
        <v>203370</v>
      </c>
      <c r="H39" s="2569"/>
      <c r="I39" s="2569"/>
    </row>
    <row r="40" spans="2:9" ht="16.5" customHeight="1" x14ac:dyDescent="0.2">
      <c r="B40" s="1442"/>
      <c r="C40" s="2566"/>
      <c r="D40" s="2567"/>
      <c r="E40" s="2567"/>
      <c r="F40" s="2568"/>
      <c r="G40" s="2569"/>
      <c r="H40" s="2569"/>
      <c r="I40" s="2569"/>
    </row>
    <row r="41" spans="2:9" ht="16.5" customHeight="1" x14ac:dyDescent="0.2">
      <c r="B41" s="1442"/>
      <c r="C41" s="2566"/>
      <c r="D41" s="2567"/>
      <c r="E41" s="2567"/>
      <c r="F41" s="2568"/>
      <c r="G41" s="2569"/>
      <c r="H41" s="2569"/>
      <c r="I41" s="2569"/>
    </row>
    <row r="42" spans="2:9" ht="16.5" customHeight="1" x14ac:dyDescent="0.2">
      <c r="B42" s="1442"/>
      <c r="C42" s="2566"/>
      <c r="D42" s="2567"/>
      <c r="E42" s="2567"/>
      <c r="F42" s="2568"/>
      <c r="G42" s="2569"/>
      <c r="H42" s="2569"/>
      <c r="I42" s="2569"/>
    </row>
    <row r="43" spans="2:9" ht="16.5" customHeight="1" x14ac:dyDescent="0.2">
      <c r="B43" s="1442"/>
      <c r="C43" s="2587" t="s">
        <v>1675</v>
      </c>
      <c r="D43" s="2588"/>
      <c r="E43" s="2588"/>
      <c r="F43" s="2589"/>
      <c r="G43" s="2590">
        <f>SUM(G38:I42)</f>
        <v>669504</v>
      </c>
      <c r="H43" s="2590"/>
      <c r="I43" s="2590"/>
    </row>
    <row r="44" spans="2:9" ht="12.75" customHeight="1" x14ac:dyDescent="0.2"/>
    <row r="45" spans="2:9" ht="12.75" customHeight="1" x14ac:dyDescent="0.2">
      <c r="B45" s="1433" t="s">
        <v>1948</v>
      </c>
      <c r="D45" s="2591">
        <v>1220172</v>
      </c>
      <c r="E45" s="2592"/>
    </row>
    <row r="46" spans="2:9" ht="5.45" customHeight="1" x14ac:dyDescent="0.2">
      <c r="B46" s="1443"/>
      <c r="D46" s="1444"/>
      <c r="E46" s="1445"/>
    </row>
    <row r="47" spans="2:9" ht="12.75" customHeight="1" x14ac:dyDescent="0.2">
      <c r="B47" s="1298" t="s">
        <v>1676</v>
      </c>
      <c r="C47" s="1298"/>
      <c r="D47" s="1446">
        <f>+G43/D45</f>
        <v>0.54869641329255214</v>
      </c>
      <c r="E47" s="1447"/>
      <c r="F47" s="1448"/>
      <c r="I47" s="1449"/>
    </row>
    <row r="48" spans="2:9" ht="10.15" customHeight="1" x14ac:dyDescent="0.2"/>
    <row r="49" spans="1:9" x14ac:dyDescent="0.2">
      <c r="B49" s="1366" t="s">
        <v>1335</v>
      </c>
      <c r="C49" s="1280"/>
      <c r="D49" s="1280"/>
      <c r="E49" s="2593">
        <v>750000</v>
      </c>
      <c r="F49" s="2593"/>
      <c r="G49" s="2593"/>
      <c r="H49" s="322"/>
    </row>
    <row r="51" spans="1:9" ht="13.5" customHeight="1" x14ac:dyDescent="0.2">
      <c r="B51" s="1366" t="s">
        <v>1334</v>
      </c>
      <c r="C51" s="1280"/>
      <c r="E51" s="1436"/>
      <c r="F51" s="1298" t="s">
        <v>940</v>
      </c>
      <c r="G51" s="1436" t="s">
        <v>2082</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0" t="str">
        <f>'Single Audit Cover'!A7</f>
        <v>Olympia CUSD 16</v>
      </c>
      <c r="C1" s="2570"/>
      <c r="D1" s="2570"/>
      <c r="E1" s="2570"/>
      <c r="F1" s="2570"/>
      <c r="G1" s="2570"/>
      <c r="H1" s="2570"/>
      <c r="I1" s="2570"/>
      <c r="J1" s="2570"/>
      <c r="K1" s="2570"/>
      <c r="L1" s="1372"/>
      <c r="M1" s="1372"/>
    </row>
    <row r="2" spans="1:13" ht="12" customHeight="1" x14ac:dyDescent="0.2">
      <c r="B2" s="2572">
        <f>'Single Audit Cover'!E7</f>
        <v>17064016026</v>
      </c>
      <c r="C2" s="2572"/>
      <c r="D2" s="2572"/>
      <c r="E2" s="2572"/>
      <c r="F2" s="2572"/>
      <c r="G2" s="2572"/>
      <c r="H2" s="2572"/>
      <c r="I2" s="2572"/>
      <c r="J2" s="2572"/>
      <c r="K2" s="2572"/>
      <c r="L2" s="1373"/>
      <c r="M2" s="1374"/>
    </row>
    <row r="3" spans="1:13" ht="10.35" customHeight="1" x14ac:dyDescent="0.2">
      <c r="B3" s="2596" t="s">
        <v>1347</v>
      </c>
      <c r="C3" s="2596"/>
      <c r="D3" s="2596"/>
      <c r="E3" s="2596"/>
      <c r="F3" s="2596"/>
      <c r="G3" s="2596"/>
      <c r="H3" s="2596"/>
      <c r="I3" s="2596"/>
      <c r="J3" s="2596"/>
      <c r="K3" s="2596"/>
      <c r="L3" s="1375"/>
      <c r="M3" s="1375"/>
    </row>
    <row r="4" spans="1:13" ht="14.25" customHeight="1" x14ac:dyDescent="0.2">
      <c r="B4" s="2597" t="str">
        <f>'Single Audit Cover'!A4</f>
        <v>Year Ending June 30, 2018</v>
      </c>
      <c r="C4" s="2597"/>
      <c r="D4" s="2597"/>
      <c r="E4" s="2597"/>
      <c r="F4" s="2597"/>
      <c r="G4" s="2597"/>
      <c r="H4" s="2597"/>
      <c r="I4" s="2597"/>
      <c r="J4" s="2597"/>
      <c r="K4" s="2597"/>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97" t="s">
        <v>1363</v>
      </c>
      <c r="C7" s="2597"/>
      <c r="D7" s="2598"/>
      <c r="E7" s="2598"/>
      <c r="F7" s="2598"/>
      <c r="G7" s="2598"/>
      <c r="H7" s="2598"/>
      <c r="I7" s="2598"/>
      <c r="J7" s="2598"/>
      <c r="K7" s="259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1949</v>
      </c>
      <c r="D10" s="1384" t="s">
        <v>2118</v>
      </c>
      <c r="E10" s="322"/>
      <c r="F10" s="1385" t="s">
        <v>1362</v>
      </c>
      <c r="G10" s="1386"/>
      <c r="H10" s="1387" t="s">
        <v>1361</v>
      </c>
      <c r="I10" s="1386"/>
      <c r="J10" s="1388" t="s">
        <v>1360</v>
      </c>
      <c r="K10" s="322"/>
      <c r="L10" s="1379"/>
    </row>
    <row r="11" spans="1:13" ht="13.5" customHeight="1" x14ac:dyDescent="0.2">
      <c r="B11" s="322"/>
      <c r="C11" s="322"/>
      <c r="D11" s="1292" t="s">
        <v>2119</v>
      </c>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95"/>
      <c r="C14" s="2595"/>
      <c r="D14" s="2595"/>
      <c r="E14" s="2595"/>
      <c r="F14" s="2595"/>
      <c r="G14" s="2595"/>
      <c r="H14" s="2595"/>
      <c r="I14" s="2595"/>
      <c r="J14" s="2595"/>
      <c r="K14" s="259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95"/>
      <c r="C17" s="2595"/>
      <c r="D17" s="2595"/>
      <c r="E17" s="2595"/>
      <c r="F17" s="2595"/>
      <c r="G17" s="2595"/>
      <c r="H17" s="2595"/>
      <c r="I17" s="2595"/>
      <c r="J17" s="2595"/>
      <c r="K17" s="2595"/>
      <c r="L17" s="1379"/>
    </row>
    <row r="18" spans="2:12" ht="4.5" customHeight="1" x14ac:dyDescent="0.2">
      <c r="B18" s="1396"/>
      <c r="C18" s="1396"/>
      <c r="L18" s="1379"/>
    </row>
    <row r="19" spans="2:12" s="1280" customFormat="1" ht="13.5" customHeight="1" x14ac:dyDescent="0.2">
      <c r="B19" s="1391" t="s">
        <v>1843</v>
      </c>
      <c r="C19" s="1391"/>
      <c r="D19" s="1392"/>
      <c r="E19" s="1392"/>
      <c r="F19" s="1392"/>
      <c r="G19" s="1393"/>
      <c r="H19" s="1392"/>
      <c r="I19" s="1393"/>
      <c r="J19" s="1392"/>
      <c r="K19" s="1392"/>
      <c r="L19" s="1394"/>
    </row>
    <row r="20" spans="2:12" ht="45.75" customHeight="1" x14ac:dyDescent="0.2">
      <c r="B20" s="2599"/>
      <c r="C20" s="2599"/>
      <c r="D20" s="2595"/>
      <c r="E20" s="2595"/>
      <c r="F20" s="2595"/>
      <c r="G20" s="2595"/>
      <c r="H20" s="2595"/>
      <c r="I20" s="2595"/>
      <c r="J20" s="2595"/>
      <c r="K20" s="259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595"/>
      <c r="C23" s="2595"/>
      <c r="D23" s="2595"/>
      <c r="E23" s="2595"/>
      <c r="F23" s="2595"/>
      <c r="G23" s="2595"/>
      <c r="H23" s="2595"/>
      <c r="I23" s="2595"/>
      <c r="J23" s="2595"/>
      <c r="K23" s="259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95"/>
      <c r="C26" s="2595"/>
      <c r="D26" s="2595"/>
      <c r="E26" s="2595"/>
      <c r="F26" s="2595"/>
      <c r="G26" s="2595"/>
      <c r="H26" s="2595"/>
      <c r="I26" s="2595"/>
      <c r="J26" s="2595"/>
      <c r="K26" s="259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94"/>
      <c r="C29" s="2594"/>
      <c r="D29" s="2595"/>
      <c r="E29" s="2595"/>
      <c r="F29" s="2595"/>
      <c r="G29" s="2595"/>
      <c r="H29" s="2595"/>
      <c r="I29" s="2595"/>
      <c r="J29" s="2595"/>
      <c r="K29" s="259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94"/>
      <c r="C32" s="2594"/>
      <c r="D32" s="2595"/>
      <c r="E32" s="2595"/>
      <c r="F32" s="2595"/>
      <c r="G32" s="2595"/>
      <c r="H32" s="2595"/>
      <c r="I32" s="2595"/>
      <c r="J32" s="2595"/>
      <c r="K32" s="259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298" t="s">
        <v>1950</v>
      </c>
      <c r="C36" s="1298"/>
      <c r="L36" s="1379"/>
    </row>
    <row r="37" spans="1:13" ht="9.6" customHeight="1" x14ac:dyDescent="0.2">
      <c r="B37" s="1298" t="s">
        <v>1951</v>
      </c>
      <c r="C37" s="1298"/>
    </row>
    <row r="38" spans="1:13" ht="11.85" customHeight="1" x14ac:dyDescent="0.2">
      <c r="B38" s="1418" t="s">
        <v>1846</v>
      </c>
      <c r="C38" s="1418"/>
    </row>
    <row r="39" spans="1:13" ht="9.6" customHeight="1" x14ac:dyDescent="0.2">
      <c r="B39" s="1298" t="s">
        <v>1348</v>
      </c>
      <c r="C39" s="1298"/>
      <c r="M39" s="1419"/>
    </row>
    <row r="40" spans="1:13" ht="12.75" customHeight="1" x14ac:dyDescent="0.2">
      <c r="B40" s="1418" t="s">
        <v>1847</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0" t="str">
        <f>'Single Audit Cover'!A7</f>
        <v>Olympia CUSD 16</v>
      </c>
      <c r="C1" s="2600"/>
      <c r="D1" s="2600"/>
      <c r="E1" s="2600"/>
      <c r="F1" s="2600"/>
      <c r="G1" s="2600"/>
      <c r="H1" s="2600"/>
      <c r="I1" s="2600"/>
      <c r="J1" s="2600"/>
      <c r="K1" s="2600"/>
      <c r="L1" s="1463"/>
    </row>
    <row r="2" spans="1:12" ht="12.75" customHeight="1" x14ac:dyDescent="0.2">
      <c r="B2" s="2601">
        <f>'Single Audit Cover'!E7</f>
        <v>17064016026</v>
      </c>
      <c r="C2" s="2601"/>
      <c r="D2" s="2601"/>
      <c r="E2" s="2601"/>
      <c r="F2" s="2601"/>
      <c r="G2" s="2601"/>
      <c r="H2" s="2601"/>
      <c r="I2" s="2601"/>
      <c r="J2" s="2601"/>
      <c r="K2" s="2601"/>
      <c r="L2" s="1464"/>
    </row>
    <row r="3" spans="1:12" ht="12.75" customHeight="1" x14ac:dyDescent="0.2">
      <c r="B3" s="2596" t="s">
        <v>1347</v>
      </c>
      <c r="C3" s="2596"/>
      <c r="D3" s="2596"/>
      <c r="E3" s="2596"/>
      <c r="F3" s="2596"/>
      <c r="G3" s="2596"/>
      <c r="H3" s="2596"/>
      <c r="I3" s="2596"/>
      <c r="J3" s="2596"/>
      <c r="K3" s="2596"/>
      <c r="L3" s="1375"/>
    </row>
    <row r="4" spans="1:12" ht="12.75" customHeight="1" x14ac:dyDescent="0.2">
      <c r="B4" s="2596" t="str">
        <f>'Single Audit Cover'!A4</f>
        <v>Year Ending June 30, 2018</v>
      </c>
      <c r="C4" s="2596"/>
      <c r="D4" s="2596"/>
      <c r="E4" s="2596"/>
      <c r="F4" s="2596"/>
      <c r="G4" s="2596"/>
      <c r="H4" s="2596"/>
      <c r="I4" s="2596"/>
      <c r="J4" s="2596"/>
      <c r="K4" s="2596"/>
      <c r="L4" s="1375"/>
    </row>
    <row r="5" spans="1:12" ht="5.45" customHeight="1" x14ac:dyDescent="0.2">
      <c r="B5" s="1258" t="s">
        <v>1231</v>
      </c>
      <c r="C5" s="1258"/>
      <c r="L5" s="322"/>
    </row>
    <row r="6" spans="1:12" ht="30.75" customHeight="1" x14ac:dyDescent="0.2">
      <c r="A6" s="322"/>
      <c r="B6" s="2602" t="s">
        <v>1375</v>
      </c>
      <c r="C6" s="2602"/>
      <c r="D6" s="2602"/>
      <c r="E6" s="2602"/>
      <c r="F6" s="2602"/>
      <c r="G6" s="2602"/>
      <c r="H6" s="2602"/>
      <c r="I6" s="2602"/>
      <c r="J6" s="2602"/>
      <c r="K6" s="2602"/>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1949</v>
      </c>
      <c r="D8" s="1466" t="s">
        <v>2118</v>
      </c>
      <c r="E8" s="322"/>
      <c r="F8" s="1382" t="s">
        <v>1362</v>
      </c>
      <c r="G8" s="1467"/>
      <c r="H8" s="1468" t="s">
        <v>1374</v>
      </c>
      <c r="I8" s="1467"/>
      <c r="J8" s="1469" t="s">
        <v>1373</v>
      </c>
      <c r="L8" s="322"/>
    </row>
    <row r="9" spans="1:12" ht="13.5" customHeight="1" x14ac:dyDescent="0.2">
      <c r="D9" s="1292" t="s">
        <v>2119</v>
      </c>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77"/>
      <c r="G12" s="2577"/>
      <c r="H12" s="2577"/>
      <c r="I12" s="2577"/>
      <c r="J12" s="2577"/>
      <c r="K12" s="2577"/>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603"/>
      <c r="E14" s="2603"/>
      <c r="F14" s="2603"/>
      <c r="H14" s="1473" t="s">
        <v>1370</v>
      </c>
      <c r="I14" s="2604"/>
      <c r="J14" s="2604"/>
      <c r="K14" s="2604"/>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604"/>
      <c r="E16" s="2604"/>
      <c r="F16" s="2604"/>
      <c r="G16" s="2604"/>
      <c r="H16" s="2604"/>
      <c r="I16" s="2604"/>
      <c r="J16" s="2604"/>
      <c r="K16" s="2604"/>
      <c r="L16" s="322"/>
    </row>
    <row r="17" spans="2:12" ht="13.5" customHeight="1" x14ac:dyDescent="0.2">
      <c r="B17" s="1385" t="s">
        <v>1368</v>
      </c>
      <c r="C17" s="1385"/>
      <c r="D17" s="2605"/>
      <c r="E17" s="2605"/>
      <c r="F17" s="2605"/>
      <c r="G17" s="2605"/>
      <c r="H17" s="2605"/>
      <c r="I17" s="2605"/>
      <c r="J17" s="2605"/>
      <c r="K17" s="2605"/>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95"/>
      <c r="C20" s="2595"/>
      <c r="D20" s="2595"/>
      <c r="E20" s="2595"/>
      <c r="F20" s="2595"/>
      <c r="G20" s="2595"/>
      <c r="H20" s="2595"/>
      <c r="I20" s="2595"/>
      <c r="J20" s="2595"/>
      <c r="K20" s="2595"/>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700000000000003" customHeight="1" x14ac:dyDescent="0.2">
      <c r="B23" s="2595"/>
      <c r="C23" s="2595"/>
      <c r="D23" s="2595"/>
      <c r="E23" s="2595"/>
      <c r="F23" s="2595"/>
      <c r="G23" s="2595"/>
      <c r="H23" s="2595"/>
      <c r="I23" s="2595"/>
      <c r="J23" s="2595"/>
      <c r="K23" s="2595"/>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700000000000003" customHeight="1" x14ac:dyDescent="0.2">
      <c r="B26" s="2595"/>
      <c r="C26" s="2595"/>
      <c r="D26" s="2595"/>
      <c r="E26" s="2595"/>
      <c r="F26" s="2595"/>
      <c r="G26" s="2595"/>
      <c r="H26" s="2595"/>
      <c r="I26" s="2595"/>
      <c r="J26" s="2595"/>
      <c r="K26" s="2595"/>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700000000000003" customHeight="1" x14ac:dyDescent="0.2">
      <c r="B29" s="2595"/>
      <c r="C29" s="2595"/>
      <c r="D29" s="2595"/>
      <c r="E29" s="2595"/>
      <c r="F29" s="2595"/>
      <c r="G29" s="2595"/>
      <c r="H29" s="2595"/>
      <c r="I29" s="2595"/>
      <c r="J29" s="2595"/>
      <c r="K29" s="2595"/>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595"/>
      <c r="C32" s="2595"/>
      <c r="D32" s="2595"/>
      <c r="E32" s="2595"/>
      <c r="F32" s="2595"/>
      <c r="G32" s="2595"/>
      <c r="H32" s="2595"/>
      <c r="I32" s="2595"/>
      <c r="J32" s="2595"/>
      <c r="K32" s="2595"/>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595"/>
      <c r="C35" s="2595"/>
      <c r="D35" s="2595"/>
      <c r="E35" s="2595"/>
      <c r="F35" s="2595"/>
      <c r="G35" s="2595"/>
      <c r="H35" s="2595"/>
      <c r="I35" s="2595"/>
      <c r="J35" s="2595"/>
      <c r="K35" s="2595"/>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95"/>
      <c r="C38" s="2595"/>
      <c r="D38" s="2595"/>
      <c r="E38" s="2595"/>
      <c r="F38" s="2595"/>
      <c r="G38" s="2595"/>
      <c r="H38" s="2595"/>
      <c r="I38" s="2595"/>
      <c r="J38" s="2595"/>
      <c r="K38" s="2595"/>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950000000000003" customHeight="1" x14ac:dyDescent="0.2">
      <c r="B41" s="2595"/>
      <c r="C41" s="2595"/>
      <c r="D41" s="2595"/>
      <c r="E41" s="2595"/>
      <c r="F41" s="2595"/>
      <c r="G41" s="2595"/>
      <c r="H41" s="2595"/>
      <c r="I41" s="2595"/>
      <c r="J41" s="2595"/>
      <c r="K41" s="2595"/>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5"/>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70" t="str">
        <f>'Single Audit Cover'!A7</f>
        <v>Olympia CUSD 16</v>
      </c>
      <c r="C1" s="2570"/>
      <c r="D1" s="2570"/>
      <c r="E1" s="1489"/>
    </row>
    <row r="2" spans="2:5" s="1280" customFormat="1" ht="12.75" customHeight="1" x14ac:dyDescent="0.2">
      <c r="B2" s="2572">
        <f>'Single Audit Cover'!E7</f>
        <v>17064016026</v>
      </c>
      <c r="C2" s="2572"/>
      <c r="D2" s="2572"/>
      <c r="E2" s="1490"/>
    </row>
    <row r="3" spans="2:5" ht="12.75" customHeight="1" x14ac:dyDescent="0.2">
      <c r="B3" s="2596" t="s">
        <v>1866</v>
      </c>
      <c r="C3" s="2596"/>
      <c r="D3" s="2596"/>
      <c r="E3" s="1272"/>
    </row>
    <row r="4" spans="2:5" s="1280" customFormat="1" ht="12.75" customHeight="1" x14ac:dyDescent="0.2">
      <c r="B4" s="2606" t="str">
        <f>'Single Audit Cover'!A4</f>
        <v>Year Ending June 30, 2018</v>
      </c>
      <c r="C4" s="2606"/>
      <c r="D4" s="2606"/>
      <c r="E4" s="1491"/>
    </row>
    <row r="5" spans="2:5" s="1280" customFormat="1" ht="40.35" customHeight="1" x14ac:dyDescent="0.2">
      <c r="B5" s="1492"/>
      <c r="C5" s="328"/>
      <c r="D5" s="328"/>
      <c r="E5" s="328"/>
    </row>
    <row r="6" spans="2:5" s="1280" customFormat="1" ht="13.5" customHeight="1" x14ac:dyDescent="0.2">
      <c r="B6" s="1493" t="s">
        <v>1382</v>
      </c>
      <c r="C6" s="1493" t="s">
        <v>1381</v>
      </c>
      <c r="D6" s="1493" t="s">
        <v>1867</v>
      </c>
    </row>
    <row r="7" spans="2:5" ht="13.5" customHeight="1" x14ac:dyDescent="0.2">
      <c r="B7" s="1957" t="s">
        <v>2102</v>
      </c>
      <c r="C7" s="324" t="s">
        <v>2105</v>
      </c>
      <c r="D7" s="1955" t="s">
        <v>2120</v>
      </c>
      <c r="E7" s="324"/>
    </row>
    <row r="8" spans="2:5" ht="13.5" customHeight="1" x14ac:dyDescent="0.2">
      <c r="B8" s="1494"/>
      <c r="C8" s="324" t="s">
        <v>2106</v>
      </c>
      <c r="D8" s="324"/>
      <c r="E8" s="324"/>
    </row>
    <row r="9" spans="2:5" ht="13.5" customHeight="1" x14ac:dyDescent="0.2">
      <c r="B9" s="1494"/>
      <c r="C9" s="324"/>
      <c r="D9" s="324"/>
      <c r="E9" s="324"/>
    </row>
    <row r="10" spans="2:5" ht="13.5" customHeight="1" x14ac:dyDescent="0.2">
      <c r="B10" s="1957" t="s">
        <v>2103</v>
      </c>
      <c r="C10" s="323" t="s">
        <v>2107</v>
      </c>
      <c r="D10" s="1956" t="s">
        <v>2120</v>
      </c>
      <c r="E10" s="323"/>
    </row>
    <row r="11" spans="2:5" ht="13.5" customHeight="1" x14ac:dyDescent="0.2">
      <c r="B11" s="1495"/>
      <c r="C11" s="323"/>
      <c r="D11" s="1956"/>
      <c r="E11" s="323"/>
    </row>
    <row r="12" spans="2:5" ht="13.5" customHeight="1" x14ac:dyDescent="0.2">
      <c r="B12" s="1957" t="s">
        <v>2104</v>
      </c>
      <c r="C12" s="323" t="s">
        <v>2121</v>
      </c>
      <c r="D12" s="1956" t="s">
        <v>2120</v>
      </c>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4"/>
      <c r="C32" s="323"/>
      <c r="D32" s="323"/>
      <c r="E32" s="323"/>
    </row>
    <row r="33" spans="2:5" ht="13.5" customHeight="1" x14ac:dyDescent="0.2">
      <c r="B33" s="1494"/>
      <c r="C33" s="323"/>
      <c r="D33" s="323"/>
      <c r="E33" s="323"/>
    </row>
    <row r="34" spans="2:5" ht="13.5" customHeight="1" x14ac:dyDescent="0.2">
      <c r="B34" s="1496"/>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7"/>
      <c r="C37" s="323"/>
      <c r="D37" s="323"/>
      <c r="E37" s="323"/>
    </row>
    <row r="38" spans="2:5" ht="13.5" customHeight="1" x14ac:dyDescent="0.2">
      <c r="B38" s="1498"/>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8"/>
      <c r="C41" s="323"/>
      <c r="D41" s="323"/>
      <c r="E41" s="323"/>
    </row>
    <row r="42" spans="2:5" ht="13.5" customHeight="1" x14ac:dyDescent="0.2">
      <c r="B42" s="1497"/>
      <c r="C42" s="323"/>
      <c r="D42" s="323"/>
      <c r="E42" s="323"/>
    </row>
    <row r="43" spans="2:5" ht="13.5" customHeight="1" x14ac:dyDescent="0.2">
      <c r="B43" s="1499"/>
      <c r="C43" s="323"/>
      <c r="D43" s="323"/>
      <c r="E43" s="323"/>
    </row>
    <row r="44" spans="2:5" ht="13.5" customHeight="1" x14ac:dyDescent="0.2">
      <c r="B44" s="1500"/>
      <c r="C44" s="323"/>
      <c r="D44" s="323"/>
      <c r="E44" s="323"/>
    </row>
    <row r="45" spans="2:5" ht="12.75" customHeight="1" x14ac:dyDescent="0.2">
      <c r="B45" s="1501"/>
      <c r="C45" s="1502"/>
      <c r="D45" s="1502"/>
      <c r="E45" s="323"/>
    </row>
    <row r="46" spans="2:5" ht="12.2" customHeight="1" x14ac:dyDescent="0.2">
      <c r="B46" s="1255" t="s">
        <v>1380</v>
      </c>
      <c r="C46" s="322"/>
    </row>
    <row r="47" spans="2:5" ht="12.2" customHeight="1" x14ac:dyDescent="0.2">
      <c r="B47" s="1503" t="s">
        <v>1868</v>
      </c>
    </row>
    <row r="48" spans="2:5" ht="12.2" customHeight="1" x14ac:dyDescent="0.2">
      <c r="B48" s="1503" t="s">
        <v>1869</v>
      </c>
    </row>
    <row r="49" spans="2:5" ht="12.2" customHeight="1" x14ac:dyDescent="0.2">
      <c r="B49" s="1504" t="s">
        <v>1379</v>
      </c>
    </row>
    <row r="50" spans="2:5" ht="12.2" customHeight="1" x14ac:dyDescent="0.2">
      <c r="B50" s="1504" t="s">
        <v>1378</v>
      </c>
    </row>
    <row r="51" spans="2:5" ht="12.2" customHeight="1" x14ac:dyDescent="0.2">
      <c r="B51" s="1504" t="s">
        <v>1377</v>
      </c>
    </row>
    <row r="52" spans="2:5" ht="12.2" customHeight="1" x14ac:dyDescent="0.2">
      <c r="B52" s="1504" t="s">
        <v>1376</v>
      </c>
    </row>
    <row r="55" spans="2:5" ht="12.75" customHeight="1" x14ac:dyDescent="0.2"/>
    <row r="56" spans="2:5" ht="12.75" customHeight="1" x14ac:dyDescent="0.2">
      <c r="B56" s="1265"/>
    </row>
    <row r="57" spans="2:5" ht="12.75" customHeight="1" x14ac:dyDescent="0.2"/>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9" spans="2:5" x14ac:dyDescent="0.2">
      <c r="B69" s="1417"/>
    </row>
    <row r="70" spans="2:5" x14ac:dyDescent="0.2">
      <c r="B70" s="1298"/>
    </row>
    <row r="71" spans="2:5" x14ac:dyDescent="0.2">
      <c r="B71" s="1298"/>
    </row>
    <row r="72" spans="2:5" x14ac:dyDescent="0.2">
      <c r="B72" s="1418"/>
    </row>
    <row r="73" spans="2:5" x14ac:dyDescent="0.2">
      <c r="B73" s="1418"/>
    </row>
    <row r="74" spans="2:5" x14ac:dyDescent="0.2">
      <c r="B74" s="1418"/>
    </row>
    <row r="75" spans="2:5" x14ac:dyDescent="0.2">
      <c r="B75"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94" t="s">
        <v>404</v>
      </c>
      <c r="B1" s="2194"/>
      <c r="C1" s="2194"/>
      <c r="D1" s="2194"/>
      <c r="E1" s="2194"/>
      <c r="F1" s="2194"/>
      <c r="G1" s="2194"/>
      <c r="H1" s="2194"/>
      <c r="I1" s="2194"/>
      <c r="J1" s="2194"/>
      <c r="K1" s="2194"/>
      <c r="L1" s="2194"/>
      <c r="M1" s="2194"/>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290400124</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2.9000000000000001E-2</v>
      </c>
      <c r="E10" s="356" t="s">
        <v>1062</v>
      </c>
      <c r="F10" s="355">
        <v>5.0000000000000001E-3</v>
      </c>
      <c r="G10" s="356" t="s">
        <v>1062</v>
      </c>
      <c r="H10" s="355">
        <v>2E-3</v>
      </c>
      <c r="I10" s="356" t="s">
        <v>1063</v>
      </c>
      <c r="J10" s="1752">
        <f>ROUND(D10+F10+H10,5)</f>
        <v>3.5999999999999997E-2</v>
      </c>
      <c r="K10" s="222"/>
      <c r="L10" s="355">
        <v>5.0000000000000001E-4</v>
      </c>
      <c r="M10" s="222"/>
    </row>
    <row r="11" spans="1:14" ht="7.5" customHeight="1" x14ac:dyDescent="0.2">
      <c r="B11" s="222"/>
      <c r="C11" s="222"/>
      <c r="D11" s="2204" t="str">
        <f>IF(SUM(J10)&lt;=0.0999999,"","Enter the Tax Rates by moving the decimal two places to the left.")</f>
        <v/>
      </c>
      <c r="E11" s="2205"/>
      <c r="F11" s="2205"/>
      <c r="G11" s="2205"/>
      <c r="H11" s="2205"/>
      <c r="I11" s="2205"/>
      <c r="J11" s="22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18383201</v>
      </c>
      <c r="E16" s="356"/>
      <c r="F16" s="1753">
        <f>SUM('Acct Summary 7-8'!C17,'Acct Summary 7-8'!D17,'Acct Summary 7-8'!F17)</f>
        <v>19096197</v>
      </c>
      <c r="G16" s="356"/>
      <c r="H16" s="1753">
        <f>SUM(D16-F16)</f>
        <v>-712996</v>
      </c>
      <c r="I16" s="222"/>
      <c r="J16" s="1753">
        <f>SUM('Acct Summary 7-8'!C81,'Acct Summary 7-8'!D81,'Acct Summary 7-8'!F81,'Acct Summary 7-8'!I81)</f>
        <v>17763910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40075217.112000003</v>
      </c>
      <c r="I31" s="368"/>
      <c r="J31" s="222"/>
      <c r="K31" s="222"/>
      <c r="L31" s="222"/>
      <c r="M31" s="222"/>
    </row>
    <row r="32" spans="1:13" ht="13.35" customHeight="1" x14ac:dyDescent="0.2">
      <c r="B32" s="369" t="s">
        <v>2082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20309049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95"/>
      <c r="C54" s="2196"/>
      <c r="D54" s="2196"/>
      <c r="E54" s="2196"/>
      <c r="F54" s="2196"/>
      <c r="G54" s="2196"/>
      <c r="H54" s="2196"/>
      <c r="I54" s="2196"/>
      <c r="J54" s="2196"/>
      <c r="K54" s="2196"/>
      <c r="L54" s="2197"/>
      <c r="M54" s="380"/>
    </row>
    <row r="55" spans="1:13" ht="12.75" customHeight="1" x14ac:dyDescent="0.2">
      <c r="B55" s="2198"/>
      <c r="C55" s="2199"/>
      <c r="D55" s="2199"/>
      <c r="E55" s="2199"/>
      <c r="F55" s="2199"/>
      <c r="G55" s="2199"/>
      <c r="H55" s="2199"/>
      <c r="I55" s="2199"/>
      <c r="J55" s="2199"/>
      <c r="K55" s="2199"/>
      <c r="L55" s="2200"/>
      <c r="M55" s="380"/>
    </row>
    <row r="56" spans="1:13" ht="12.75" customHeight="1" x14ac:dyDescent="0.2">
      <c r="B56" s="2198"/>
      <c r="C56" s="2199"/>
      <c r="D56" s="2199"/>
      <c r="E56" s="2199"/>
      <c r="F56" s="2199"/>
      <c r="G56" s="2199"/>
      <c r="H56" s="2199"/>
      <c r="I56" s="2199"/>
      <c r="J56" s="2199"/>
      <c r="K56" s="2199"/>
      <c r="L56" s="2200"/>
      <c r="M56" s="222"/>
    </row>
    <row r="57" spans="1:13" ht="12.75" customHeight="1" x14ac:dyDescent="0.2">
      <c r="B57" s="2198"/>
      <c r="C57" s="2199"/>
      <c r="D57" s="2199"/>
      <c r="E57" s="2199"/>
      <c r="F57" s="2199"/>
      <c r="G57" s="2199"/>
      <c r="H57" s="2199"/>
      <c r="I57" s="2199"/>
      <c r="J57" s="2199"/>
      <c r="K57" s="2199"/>
      <c r="L57" s="2200"/>
      <c r="M57" s="222"/>
    </row>
    <row r="58" spans="1:13" x14ac:dyDescent="0.2">
      <c r="B58" s="2201"/>
      <c r="C58" s="2202"/>
      <c r="D58" s="2202"/>
      <c r="E58" s="2202"/>
      <c r="F58" s="2202"/>
      <c r="G58" s="2202"/>
      <c r="H58" s="2202"/>
      <c r="I58" s="2202"/>
      <c r="J58" s="2202"/>
      <c r="K58" s="2202"/>
      <c r="L58" s="22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6"/>
      <c r="D61" s="22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9"/>
      <c r="B1" s="2210"/>
      <c r="C1" s="2210"/>
      <c r="D1" s="384"/>
      <c r="E1" s="384"/>
      <c r="F1" s="384"/>
      <c r="G1" s="384"/>
      <c r="H1" s="384"/>
      <c r="I1" s="384"/>
      <c r="J1" s="384"/>
      <c r="K1" s="384"/>
      <c r="L1" s="384"/>
      <c r="M1" s="384"/>
      <c r="N1" s="384"/>
      <c r="O1" s="2209"/>
      <c r="P1" s="2210"/>
      <c r="Q1" s="2210"/>
    </row>
    <row r="2" spans="1:18" ht="15" x14ac:dyDescent="0.2">
      <c r="A2" s="2213" t="s">
        <v>577</v>
      </c>
      <c r="B2" s="2213"/>
      <c r="C2" s="2213"/>
      <c r="D2" s="2213"/>
      <c r="E2" s="2213"/>
      <c r="F2" s="2213"/>
      <c r="G2" s="2213"/>
      <c r="H2" s="2213"/>
      <c r="I2" s="2213"/>
      <c r="J2" s="2213"/>
      <c r="K2" s="2213"/>
      <c r="L2" s="2213"/>
      <c r="M2" s="2213"/>
      <c r="N2" s="2213"/>
      <c r="O2" s="2213"/>
      <c r="P2" s="2213"/>
      <c r="Q2" s="2213"/>
      <c r="R2" s="2213"/>
    </row>
    <row r="3" spans="1:18" ht="12.75" x14ac:dyDescent="0.2">
      <c r="A3" s="2214" t="s">
        <v>1480</v>
      </c>
      <c r="B3" s="2214"/>
      <c r="C3" s="2214"/>
      <c r="D3" s="2214"/>
      <c r="E3" s="2214"/>
      <c r="F3" s="2214"/>
      <c r="G3" s="2214"/>
      <c r="H3" s="2214"/>
      <c r="I3" s="2214"/>
      <c r="J3" s="2214"/>
      <c r="K3" s="2214"/>
      <c r="L3" s="2214"/>
      <c r="M3" s="2214"/>
      <c r="N3" s="2214"/>
      <c r="O3" s="2214"/>
      <c r="P3" s="2214"/>
      <c r="Q3" s="2214"/>
      <c r="R3" s="2214"/>
    </row>
    <row r="4" spans="1:18" x14ac:dyDescent="0.2">
      <c r="A4" s="2215" t="s">
        <v>1635</v>
      </c>
      <c r="B4" s="2215"/>
      <c r="C4" s="2215"/>
      <c r="D4" s="2215"/>
      <c r="E4" s="2215"/>
      <c r="F4" s="2215"/>
      <c r="G4" s="2215"/>
      <c r="H4" s="2215"/>
      <c r="I4" s="2215"/>
      <c r="J4" s="2215"/>
      <c r="K4" s="2215"/>
      <c r="L4" s="2215"/>
      <c r="M4" s="2215"/>
      <c r="N4" s="2215"/>
      <c r="O4" s="2215"/>
      <c r="P4" s="2215"/>
      <c r="Q4" s="2215"/>
      <c r="R4" s="22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Olympia CUSD 16</v>
      </c>
      <c r="E7" s="391"/>
      <c r="G7" s="252"/>
      <c r="H7" s="387"/>
      <c r="I7" s="387"/>
      <c r="J7" s="387"/>
      <c r="K7" s="387"/>
      <c r="L7" s="329"/>
      <c r="M7" s="329"/>
      <c r="N7" s="329"/>
      <c r="O7" s="329"/>
      <c r="P7" s="329"/>
    </row>
    <row r="8" spans="1:18" ht="12.75" x14ac:dyDescent="0.2">
      <c r="A8" s="329"/>
      <c r="B8" s="329"/>
      <c r="C8" s="389" t="s">
        <v>1187</v>
      </c>
      <c r="D8" s="392">
        <f>COVER!A13</f>
        <v>17064016026</v>
      </c>
      <c r="E8" s="393"/>
      <c r="G8" s="329"/>
      <c r="H8" s="329"/>
      <c r="I8" s="329"/>
      <c r="J8" s="329"/>
      <c r="K8" s="329"/>
      <c r="L8" s="329"/>
      <c r="M8" s="329"/>
      <c r="N8" s="329"/>
      <c r="O8" s="329"/>
      <c r="P8" s="329"/>
    </row>
    <row r="9" spans="1:18" ht="12.75" x14ac:dyDescent="0.2">
      <c r="A9" s="329"/>
      <c r="B9" s="329"/>
      <c r="C9" s="389" t="s">
        <v>737</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17763910</v>
      </c>
      <c r="I12" s="404"/>
      <c r="J12" s="404"/>
      <c r="K12" s="405">
        <f>TRUNC((H12/H13*100000),5)/100000</f>
        <v>0.96631212369999997</v>
      </c>
      <c r="L12" s="406"/>
      <c r="M12" s="360" t="s">
        <v>1206</v>
      </c>
      <c r="N12" s="360"/>
      <c r="O12" s="407">
        <v>0.35</v>
      </c>
      <c r="P12" s="218"/>
      <c r="Q12" s="218"/>
    </row>
    <row r="13" spans="1:18" s="408" customFormat="1" ht="12.75" x14ac:dyDescent="0.2">
      <c r="A13" s="218"/>
      <c r="B13" s="401"/>
      <c r="C13" s="2211" t="s">
        <v>1391</v>
      </c>
      <c r="D13" s="2212"/>
      <c r="E13" s="218"/>
      <c r="F13" s="409" t="s">
        <v>826</v>
      </c>
      <c r="G13" s="402"/>
      <c r="H13" s="403">
        <f>SUM('Acct Summary 7-8'!C8+'Acct Summary 7-8'!D8+'Acct Summary 7-8'!F8+'Acct Summary 7-8'!I8)+H14</f>
        <v>18383201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19096197</v>
      </c>
      <c r="I17" s="404"/>
      <c r="J17" s="416"/>
      <c r="K17" s="405">
        <f>TRUNC((H17/H18*100000),5)/100000</f>
        <v>1.0387851930000001</v>
      </c>
      <c r="L17" s="406"/>
      <c r="M17" s="417" t="s">
        <v>1233</v>
      </c>
      <c r="O17" s="418" t="str">
        <f>IF(AND(O16="2", J20 &gt; 2),"1",IF(AND(O16 = "1", J20 &gt; 2),"2",IF(AND(O16="1", J20 &gt;1),"1","0")))</f>
        <v>0</v>
      </c>
      <c r="P17" s="218"/>
    </row>
    <row r="18" spans="1:18" s="408" customFormat="1" ht="11.25" x14ac:dyDescent="0.2">
      <c r="A18" s="218"/>
      <c r="B18" s="401"/>
      <c r="C18" s="2211" t="s">
        <v>1384</v>
      </c>
      <c r="D18" s="2212"/>
      <c r="E18" s="218"/>
      <c r="F18" s="419" t="s">
        <v>827</v>
      </c>
      <c r="G18" s="402"/>
      <c r="H18" s="403">
        <f>SUM('Acct Summary 7-8'!C8+'Acct Summary 7-8'!D8+'Acct Summary 7-8'!F8+'Acct Summary 7-8'!I8)+H19</f>
        <v>18383201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22.336156000000003</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08" t="s">
        <v>1479</v>
      </c>
      <c r="D24" s="2208"/>
      <c r="E24" s="218"/>
      <c r="F24" s="218" t="s">
        <v>465</v>
      </c>
      <c r="G24" s="402"/>
      <c r="H24" s="403">
        <f>SUM('Assets-Liab 5-6'!C4+'Assets-Liab 5-6'!D4+'Assets-Liab 5-6'!F4+'Assets-Liab 5-6'!I4+'Assets-Liab 5-6'!C5+'Assets-Liab 5-6'!D5+'Assets-Liab 5-6'!F5+'Assets-Liab 5-6'!I5)</f>
        <v>17763910</v>
      </c>
      <c r="I24" s="422"/>
      <c r="J24" s="422"/>
      <c r="K24" s="423">
        <f>TRUNC(((H24/H25*100000)/100000),2)</f>
        <v>334.88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53044.991670000003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8886243.7943999991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20309049</v>
      </c>
      <c r="I32" s="420"/>
      <c r="J32" s="420"/>
      <c r="K32" s="423">
        <f>TRUNC(100-((((H32/H33*100))*100)/100),2)</f>
        <v>49.32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40075217.112000003</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1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1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18" t="s">
        <v>1030</v>
      </c>
      <c r="B3" s="2219"/>
      <c r="C3" s="1579"/>
      <c r="D3" s="1580"/>
      <c r="E3" s="1580"/>
      <c r="F3" s="1580"/>
      <c r="G3" s="1580"/>
      <c r="H3" s="1580"/>
      <c r="I3" s="1580"/>
      <c r="J3" s="1580"/>
      <c r="K3" s="1580"/>
      <c r="L3" s="1580"/>
      <c r="M3" s="1581"/>
      <c r="N3" s="1582"/>
    </row>
    <row r="4" spans="1:14" ht="13.5" customHeight="1" x14ac:dyDescent="0.2">
      <c r="A4" s="463" t="s">
        <v>1750</v>
      </c>
      <c r="B4" s="464"/>
      <c r="C4" s="465">
        <v>286440</v>
      </c>
      <c r="D4" s="465">
        <v>202111</v>
      </c>
      <c r="E4" s="466">
        <v>35153</v>
      </c>
      <c r="F4" s="466">
        <v>222409</v>
      </c>
      <c r="G4" s="466">
        <v>121688</v>
      </c>
      <c r="H4" s="466">
        <v>19916</v>
      </c>
      <c r="I4" s="466">
        <v>4874</v>
      </c>
      <c r="J4" s="467">
        <v>117821</v>
      </c>
      <c r="K4" s="466">
        <v>614</v>
      </c>
      <c r="L4" s="466">
        <v>445274</v>
      </c>
      <c r="M4" s="468"/>
      <c r="N4" s="469"/>
    </row>
    <row r="5" spans="1:14" x14ac:dyDescent="0.2">
      <c r="A5" s="463" t="s">
        <v>1049</v>
      </c>
      <c r="B5" s="470">
        <v>120</v>
      </c>
      <c r="C5" s="465">
        <v>6627504</v>
      </c>
      <c r="D5" s="466">
        <v>1111884</v>
      </c>
      <c r="E5" s="466">
        <v>644532</v>
      </c>
      <c r="F5" s="466">
        <v>1865121</v>
      </c>
      <c r="G5" s="466">
        <v>714249</v>
      </c>
      <c r="H5" s="466">
        <v>601110</v>
      </c>
      <c r="I5" s="466">
        <v>7443567</v>
      </c>
      <c r="J5" s="467">
        <v>362253</v>
      </c>
      <c r="K5" s="471">
        <v>101237</v>
      </c>
      <c r="L5" s="472">
        <v>1177671</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6913944</v>
      </c>
      <c r="D13" s="1757">
        <f t="shared" ref="D13:L13" si="0">SUM(D4:D12)</f>
        <v>1313995</v>
      </c>
      <c r="E13" s="1757">
        <f t="shared" si="0"/>
        <v>679685</v>
      </c>
      <c r="F13" s="1757">
        <f t="shared" si="0"/>
        <v>2087530</v>
      </c>
      <c r="G13" s="1757">
        <f t="shared" si="0"/>
        <v>835937</v>
      </c>
      <c r="H13" s="1757">
        <f t="shared" si="0"/>
        <v>621026</v>
      </c>
      <c r="I13" s="1757">
        <f t="shared" si="0"/>
        <v>7448441</v>
      </c>
      <c r="J13" s="1757">
        <f t="shared" si="0"/>
        <v>480074</v>
      </c>
      <c r="K13" s="1757">
        <f t="shared" si="0"/>
        <v>101851</v>
      </c>
      <c r="L13" s="1757">
        <f t="shared" si="0"/>
        <v>1622945</v>
      </c>
      <c r="M13" s="468"/>
      <c r="N13" s="469"/>
    </row>
    <row r="14" spans="1:14" ht="18" customHeight="1" thickTop="1" x14ac:dyDescent="0.2">
      <c r="A14" s="2220" t="s">
        <v>149</v>
      </c>
      <c r="B14" s="2221"/>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464604</v>
      </c>
      <c r="N16" s="483"/>
    </row>
    <row r="17" spans="1:14" s="484" customFormat="1" ht="12.75" customHeight="1" x14ac:dyDescent="0.2">
      <c r="A17" s="481" t="s">
        <v>1470</v>
      </c>
      <c r="B17" s="482">
        <v>230</v>
      </c>
      <c r="C17" s="476"/>
      <c r="D17" s="476"/>
      <c r="E17" s="476"/>
      <c r="F17" s="476"/>
      <c r="G17" s="476"/>
      <c r="H17" s="476"/>
      <c r="I17" s="476"/>
      <c r="J17" s="476"/>
      <c r="K17" s="476"/>
      <c r="L17" s="476"/>
      <c r="M17" s="467">
        <v>40395121</v>
      </c>
      <c r="N17" s="483"/>
    </row>
    <row r="18" spans="1:14" s="484" customFormat="1" ht="12.75" customHeight="1" x14ac:dyDescent="0.2">
      <c r="A18" s="481" t="s">
        <v>1471</v>
      </c>
      <c r="B18" s="482">
        <v>240</v>
      </c>
      <c r="C18" s="476"/>
      <c r="D18" s="476"/>
      <c r="E18" s="476"/>
      <c r="F18" s="476"/>
      <c r="G18" s="476"/>
      <c r="H18" s="476"/>
      <c r="I18" s="476"/>
      <c r="J18" s="476"/>
      <c r="K18" s="476"/>
      <c r="L18" s="476"/>
      <c r="M18" s="467">
        <v>738926</v>
      </c>
      <c r="N18" s="483"/>
    </row>
    <row r="19" spans="1:14" s="484" customFormat="1" ht="12.75" customHeight="1" x14ac:dyDescent="0.2">
      <c r="A19" s="481" t="s">
        <v>1472</v>
      </c>
      <c r="B19" s="482">
        <v>250</v>
      </c>
      <c r="C19" s="476"/>
      <c r="D19" s="476"/>
      <c r="E19" s="476"/>
      <c r="F19" s="476"/>
      <c r="G19" s="476"/>
      <c r="H19" s="476"/>
      <c r="I19" s="476"/>
      <c r="J19" s="476"/>
      <c r="K19" s="476"/>
      <c r="L19" s="476"/>
      <c r="M19" s="467">
        <v>4930366</v>
      </c>
      <c r="N19" s="483"/>
    </row>
    <row r="20" spans="1:14" s="484" customFormat="1" ht="12.75" customHeight="1" x14ac:dyDescent="0.2">
      <c r="A20" s="481" t="s">
        <v>1473</v>
      </c>
      <c r="B20" s="482">
        <v>260</v>
      </c>
      <c r="C20" s="476"/>
      <c r="D20" s="476"/>
      <c r="E20" s="476"/>
      <c r="F20" s="476"/>
      <c r="G20" s="476"/>
      <c r="H20" s="476"/>
      <c r="I20" s="476"/>
      <c r="J20" s="476"/>
      <c r="K20" s="476"/>
      <c r="L20" s="476"/>
      <c r="M20" s="467">
        <v>3481718</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679685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19629364</v>
      </c>
    </row>
    <row r="23" spans="1:14" ht="13.5" customHeight="1" thickBot="1" x14ac:dyDescent="0.25">
      <c r="A23" s="1756" t="s">
        <v>664</v>
      </c>
      <c r="B23" s="1761"/>
      <c r="C23" s="468"/>
      <c r="D23" s="468"/>
      <c r="E23" s="468"/>
      <c r="F23" s="468"/>
      <c r="G23" s="468"/>
      <c r="H23" s="468"/>
      <c r="I23" s="468"/>
      <c r="J23" s="468"/>
      <c r="K23" s="468"/>
      <c r="L23" s="468"/>
      <c r="M23" s="1708">
        <f>SUM(M15:M22)</f>
        <v>50010735</v>
      </c>
      <c r="N23" s="1708">
        <f>SUM(N21:N22)</f>
        <v>20309049</v>
      </c>
    </row>
    <row r="24" spans="1:14" ht="18" customHeight="1" thickTop="1" x14ac:dyDescent="0.2">
      <c r="A24" s="2222" t="s">
        <v>619</v>
      </c>
      <c r="B24" s="2223"/>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362276</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362276</v>
      </c>
      <c r="M34" s="468"/>
      <c r="N34" s="479"/>
    </row>
    <row r="35" spans="1:14" ht="18" customHeight="1" thickTop="1" x14ac:dyDescent="0.2">
      <c r="A35" s="2224" t="s">
        <v>550</v>
      </c>
      <c r="B35" s="2225"/>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20309049</v>
      </c>
    </row>
    <row r="37" spans="1:14" ht="13.5" thickBot="1" x14ac:dyDescent="0.25">
      <c r="A37" s="1756" t="s">
        <v>674</v>
      </c>
      <c r="B37" s="1761"/>
      <c r="C37" s="476"/>
      <c r="D37" s="476"/>
      <c r="E37" s="476"/>
      <c r="F37" s="476"/>
      <c r="G37" s="476"/>
      <c r="H37" s="476"/>
      <c r="I37" s="476"/>
      <c r="J37" s="476"/>
      <c r="K37" s="476"/>
      <c r="L37" s="479"/>
      <c r="M37" s="468"/>
      <c r="N37" s="1708">
        <f>SUM(N36:N36)</f>
        <v>20309049</v>
      </c>
    </row>
    <row r="38" spans="1:14" s="329" customFormat="1" ht="13.5" customHeight="1" thickTop="1" x14ac:dyDescent="0.2">
      <c r="A38" s="494" t="s">
        <v>440</v>
      </c>
      <c r="B38" s="482">
        <v>714</v>
      </c>
      <c r="C38" s="465">
        <v>9212</v>
      </c>
      <c r="D38" s="465">
        <v>0</v>
      </c>
      <c r="E38" s="465">
        <v>0</v>
      </c>
      <c r="F38" s="465">
        <v>0</v>
      </c>
      <c r="G38" s="465">
        <v>696931</v>
      </c>
      <c r="H38" s="465">
        <v>151567</v>
      </c>
      <c r="I38" s="465">
        <v>0</v>
      </c>
      <c r="J38" s="465">
        <v>0</v>
      </c>
      <c r="K38" s="465">
        <v>0</v>
      </c>
      <c r="L38" s="465">
        <v>1260669</v>
      </c>
      <c r="M38" s="495"/>
      <c r="N38" s="495"/>
    </row>
    <row r="39" spans="1:14" s="329" customFormat="1" ht="13.5" customHeight="1" x14ac:dyDescent="0.2">
      <c r="A39" s="494" t="s">
        <v>360</v>
      </c>
      <c r="B39" s="482">
        <v>730</v>
      </c>
      <c r="C39" s="465">
        <v>6904732</v>
      </c>
      <c r="D39" s="465">
        <v>1313995</v>
      </c>
      <c r="E39" s="465">
        <v>679685</v>
      </c>
      <c r="F39" s="465">
        <v>2087530</v>
      </c>
      <c r="G39" s="465">
        <v>139006</v>
      </c>
      <c r="H39" s="465">
        <v>469459</v>
      </c>
      <c r="I39" s="465">
        <v>7448441</v>
      </c>
      <c r="J39" s="465">
        <v>480074</v>
      </c>
      <c r="K39" s="465">
        <v>101851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50010735</v>
      </c>
      <c r="N40" s="495"/>
    </row>
    <row r="41" spans="1:14" ht="13.5" customHeight="1" thickBot="1" x14ac:dyDescent="0.25">
      <c r="A41" s="1756" t="s">
        <v>676</v>
      </c>
      <c r="B41" s="1726"/>
      <c r="C41" s="1708">
        <f>(SUM(C34,C37,C38,C39))</f>
        <v>6913944</v>
      </c>
      <c r="D41" s="1708">
        <f t="shared" ref="D41:L41" si="2">SUM(D34,D37,D38:D39)</f>
        <v>1313995</v>
      </c>
      <c r="E41" s="1708">
        <f t="shared" si="2"/>
        <v>679685</v>
      </c>
      <c r="F41" s="1708">
        <f t="shared" si="2"/>
        <v>2087530</v>
      </c>
      <c r="G41" s="1708">
        <f t="shared" si="2"/>
        <v>835937</v>
      </c>
      <c r="H41" s="1708">
        <f t="shared" si="2"/>
        <v>621026</v>
      </c>
      <c r="I41" s="1708">
        <f t="shared" si="2"/>
        <v>7448441</v>
      </c>
      <c r="J41" s="1708">
        <f t="shared" si="2"/>
        <v>480074</v>
      </c>
      <c r="K41" s="1708">
        <f t="shared" si="2"/>
        <v>101851</v>
      </c>
      <c r="L41" s="1708">
        <f t="shared" si="2"/>
        <v>1622945</v>
      </c>
      <c r="M41" s="1708">
        <f>SUM(M40)</f>
        <v>50010735</v>
      </c>
      <c r="N41" s="1708">
        <f>SUM(N37)</f>
        <v>20309049</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34"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235"/>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46" t="s">
        <v>1237</v>
      </c>
      <c r="B3" s="2247"/>
      <c r="C3" s="1593"/>
      <c r="D3" s="1594"/>
      <c r="E3" s="1594"/>
      <c r="F3" s="1594"/>
      <c r="G3" s="1594"/>
      <c r="H3" s="1594"/>
      <c r="I3" s="1594"/>
      <c r="J3" s="1594"/>
      <c r="K3" s="1595"/>
      <c r="L3" s="504"/>
    </row>
    <row r="4" spans="1:13" ht="15.95" customHeight="1" x14ac:dyDescent="0.2">
      <c r="A4" s="1952" t="s">
        <v>1579</v>
      </c>
      <c r="B4" s="1953">
        <v>1000</v>
      </c>
      <c r="C4" s="1762">
        <f>'Revenues 9-14'!C109</f>
        <v>9519526</v>
      </c>
      <c r="D4" s="1762">
        <f>'Revenues 9-14'!D109</f>
        <v>1822832</v>
      </c>
      <c r="E4" s="1762">
        <f>'Revenues 9-14'!E109</f>
        <v>2947732</v>
      </c>
      <c r="F4" s="1762">
        <f>'Revenues 9-14'!F109</f>
        <v>657120</v>
      </c>
      <c r="G4" s="1762">
        <f>'Revenues 9-14'!G109</f>
        <v>783196</v>
      </c>
      <c r="H4" s="1762">
        <f>'Revenues 9-14'!H109</f>
        <v>222306</v>
      </c>
      <c r="I4" s="1762">
        <f>'Revenues 9-14'!I109</f>
        <v>190890</v>
      </c>
      <c r="J4" s="1762">
        <f>'Revenues 9-14'!J109</f>
        <v>1097786</v>
      </c>
      <c r="K4" s="1762">
        <f>'Revenues 9-14'!K109</f>
        <v>147238</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3889311</v>
      </c>
      <c r="D6" s="1763">
        <f>'Revenues 9-14'!D173</f>
        <v>0</v>
      </c>
      <c r="E6" s="1763">
        <f>'Revenues 9-14'!E173</f>
        <v>0</v>
      </c>
      <c r="F6" s="1763">
        <f>'Revenues 9-14'!F173</f>
        <v>1219774</v>
      </c>
      <c r="G6" s="1763">
        <f>'Revenues 9-14'!G173</f>
        <v>248</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1083748</v>
      </c>
      <c r="D7" s="1763">
        <f>'Revenues 9-14'!D274</f>
        <v>0</v>
      </c>
      <c r="E7" s="1763">
        <f>'Revenues 9-14'!E274</f>
        <v>0</v>
      </c>
      <c r="F7" s="1763">
        <f>'Revenues 9-14'!F274</f>
        <v>0</v>
      </c>
      <c r="G7" s="1763">
        <f>'Revenues 9-14'!G274</f>
        <v>60485</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14492585</v>
      </c>
      <c r="D8" s="1708">
        <f t="shared" ref="D8:K8" si="0">SUM(D4:D7)</f>
        <v>1822832</v>
      </c>
      <c r="E8" s="1708">
        <f t="shared" si="0"/>
        <v>2947732</v>
      </c>
      <c r="F8" s="1708">
        <f t="shared" si="0"/>
        <v>1876894</v>
      </c>
      <c r="G8" s="1708">
        <f t="shared" si="0"/>
        <v>843929</v>
      </c>
      <c r="H8" s="1708">
        <f t="shared" si="0"/>
        <v>222306</v>
      </c>
      <c r="I8" s="1708">
        <f t="shared" si="0"/>
        <v>190890</v>
      </c>
      <c r="J8" s="1708">
        <f t="shared" si="0"/>
        <v>1097786</v>
      </c>
      <c r="K8" s="1708">
        <f t="shared" si="0"/>
        <v>147238</v>
      </c>
      <c r="L8" s="347"/>
    </row>
    <row r="9" spans="1:13" ht="15.75" thickTop="1" x14ac:dyDescent="0.2">
      <c r="A9" s="512" t="s">
        <v>1752</v>
      </c>
      <c r="B9" s="513">
        <v>3998</v>
      </c>
      <c r="C9" s="465">
        <v>5666822</v>
      </c>
      <c r="D9" s="514"/>
      <c r="E9" s="480"/>
      <c r="F9" s="480"/>
      <c r="G9" s="515"/>
      <c r="H9" s="480"/>
      <c r="I9" s="507" t="s">
        <v>1231</v>
      </c>
      <c r="J9" s="477"/>
      <c r="K9" s="480"/>
      <c r="L9" s="347"/>
    </row>
    <row r="10" spans="1:13" s="517" customFormat="1" ht="13.5" thickBot="1" x14ac:dyDescent="0.25">
      <c r="A10" s="1756" t="s">
        <v>1235</v>
      </c>
      <c r="B10" s="1729"/>
      <c r="C10" s="1708">
        <f>SUM(C8:C9)</f>
        <v>20159407</v>
      </c>
      <c r="D10" s="1708">
        <f t="shared" ref="D10:K10" si="1">SUM(D8:D9)</f>
        <v>1822832</v>
      </c>
      <c r="E10" s="1708">
        <f t="shared" si="1"/>
        <v>2947732</v>
      </c>
      <c r="F10" s="1708">
        <f t="shared" si="1"/>
        <v>1876894</v>
      </c>
      <c r="G10" s="1708">
        <f t="shared" si="1"/>
        <v>843929</v>
      </c>
      <c r="H10" s="1708">
        <f t="shared" si="1"/>
        <v>222306</v>
      </c>
      <c r="I10" s="1708">
        <f t="shared" si="1"/>
        <v>190890</v>
      </c>
      <c r="J10" s="1708">
        <f t="shared" si="1"/>
        <v>1097786</v>
      </c>
      <c r="K10" s="1708">
        <f t="shared" si="1"/>
        <v>147238</v>
      </c>
      <c r="L10" s="516"/>
    </row>
    <row r="11" spans="1:13" s="517" customFormat="1" ht="16.7" customHeight="1" thickTop="1" x14ac:dyDescent="0.2">
      <c r="A11" s="2220" t="s">
        <v>1238</v>
      </c>
      <c r="B11" s="2221"/>
      <c r="C11" s="1590"/>
      <c r="D11" s="1591"/>
      <c r="E11" s="1591"/>
      <c r="F11" s="1591"/>
      <c r="G11" s="1591"/>
      <c r="H11" s="1591"/>
      <c r="I11" s="1591"/>
      <c r="J11" s="1591"/>
      <c r="K11" s="1592"/>
      <c r="L11" s="516"/>
    </row>
    <row r="12" spans="1:13" ht="15.95" customHeight="1" x14ac:dyDescent="0.2">
      <c r="A12" s="1596" t="s">
        <v>476</v>
      </c>
      <c r="B12" s="1598">
        <v>1000</v>
      </c>
      <c r="C12" s="1762">
        <f>'Expenditures 15-22'!K33</f>
        <v>9893558</v>
      </c>
      <c r="D12" s="518" t="s">
        <v>1231</v>
      </c>
      <c r="E12" s="468" t="s">
        <v>1231</v>
      </c>
      <c r="F12" s="468" t="s">
        <v>1231</v>
      </c>
      <c r="G12" s="1762">
        <f>'Expenditures 15-22'!K229</f>
        <v>228054</v>
      </c>
      <c r="H12" s="519"/>
      <c r="I12" s="468" t="s">
        <v>1231</v>
      </c>
      <c r="J12" s="468" t="s">
        <v>1231</v>
      </c>
      <c r="K12" s="519" t="s">
        <v>1231</v>
      </c>
      <c r="L12" s="347"/>
    </row>
    <row r="13" spans="1:13" ht="15.95" customHeight="1" x14ac:dyDescent="0.2">
      <c r="A13" s="1596" t="s">
        <v>477</v>
      </c>
      <c r="B13" s="1598">
        <v>2000</v>
      </c>
      <c r="C13" s="1763">
        <f>'Expenditures 15-22'!K74</f>
        <v>3889172</v>
      </c>
      <c r="D13" s="1763">
        <f>'Expenditures 15-22'!K129</f>
        <v>3126263</v>
      </c>
      <c r="E13" s="469" t="s">
        <v>1231</v>
      </c>
      <c r="F13" s="1763">
        <f>'Expenditures 15-22'!K184</f>
        <v>1618024</v>
      </c>
      <c r="G13" s="1763">
        <f>'Expenditures 15-22'!K279</f>
        <v>500767</v>
      </c>
      <c r="H13" s="1763">
        <f>'Expenditures 15-22'!K303</f>
        <v>3661718</v>
      </c>
      <c r="I13" s="468" t="s">
        <v>1231</v>
      </c>
      <c r="J13" s="1763">
        <f>'Expenditures 15-22'!K330</f>
        <v>860080</v>
      </c>
      <c r="K13" s="1767">
        <f>'Expenditures 15-22'!K352</f>
        <v>270000</v>
      </c>
      <c r="L13" s="347"/>
    </row>
    <row r="14" spans="1:13" ht="15.95" customHeight="1" x14ac:dyDescent="0.2">
      <c r="A14" s="1596" t="s">
        <v>469</v>
      </c>
      <c r="B14" s="1598">
        <v>3000</v>
      </c>
      <c r="C14" s="1763">
        <f>'Expenditures 15-22'!K75</f>
        <v>6452</v>
      </c>
      <c r="D14" s="1763">
        <f>'Expenditures 15-22'!K130</f>
        <v>0</v>
      </c>
      <c r="E14" s="518" t="s">
        <v>1231</v>
      </c>
      <c r="F14" s="1763">
        <f>'Expenditures 15-22'!K185</f>
        <v>0</v>
      </c>
      <c r="G14" s="1763">
        <f>'Expenditures 15-22'!K280</f>
        <v>0</v>
      </c>
      <c r="H14" s="510"/>
      <c r="I14" s="468" t="s">
        <v>1231</v>
      </c>
      <c r="J14" s="468" t="s">
        <v>1231</v>
      </c>
      <c r="K14" s="510" t="s">
        <v>1231</v>
      </c>
      <c r="L14" s="347"/>
    </row>
    <row r="15" spans="1:13" ht="15.95" customHeight="1" x14ac:dyDescent="0.2">
      <c r="A15" s="1596" t="s">
        <v>109</v>
      </c>
      <c r="B15" s="1598">
        <v>4000</v>
      </c>
      <c r="C15" s="1763">
        <f>'Expenditures 15-22'!K102</f>
        <v>562728</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3205769</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14351910</v>
      </c>
      <c r="D17" s="1708">
        <f t="shared" si="2"/>
        <v>3126263</v>
      </c>
      <c r="E17" s="1708">
        <f t="shared" si="2"/>
        <v>3205769</v>
      </c>
      <c r="F17" s="1708">
        <f t="shared" si="2"/>
        <v>1618024</v>
      </c>
      <c r="G17" s="1708">
        <f t="shared" si="2"/>
        <v>728821</v>
      </c>
      <c r="H17" s="1708">
        <f t="shared" si="2"/>
        <v>3661718</v>
      </c>
      <c r="I17" s="468"/>
      <c r="J17" s="1708">
        <f>SUM(J12:J16)</f>
        <v>860080</v>
      </c>
      <c r="K17" s="1708">
        <f>SUM(K12:K16)</f>
        <v>270000</v>
      </c>
      <c r="L17" s="347"/>
    </row>
    <row r="18" spans="1:12" ht="15" customHeight="1" thickTop="1" x14ac:dyDescent="0.2">
      <c r="A18" s="1764" t="s">
        <v>1753</v>
      </c>
      <c r="B18" s="1765">
        <v>4180</v>
      </c>
      <c r="C18" s="1762">
        <f t="shared" ref="C18:H18" si="3">C9</f>
        <v>5666822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20018732</v>
      </c>
      <c r="D19" s="1708">
        <f t="shared" si="4"/>
        <v>3126263</v>
      </c>
      <c r="E19" s="1708">
        <f t="shared" si="4"/>
        <v>3205769</v>
      </c>
      <c r="F19" s="1708">
        <f t="shared" si="4"/>
        <v>1618024</v>
      </c>
      <c r="G19" s="1708">
        <f t="shared" si="4"/>
        <v>728821</v>
      </c>
      <c r="H19" s="1708">
        <f t="shared" si="4"/>
        <v>3661718</v>
      </c>
      <c r="I19" s="468"/>
      <c r="J19" s="1708">
        <f>SUM(J17:J18)</f>
        <v>860080</v>
      </c>
      <c r="K19" s="1708">
        <f>SUM(K17:K18)</f>
        <v>270000</v>
      </c>
      <c r="L19" s="347"/>
    </row>
    <row r="20" spans="1:12" ht="16.5" thickTop="1" thickBot="1" x14ac:dyDescent="0.25">
      <c r="A20" s="2236" t="s">
        <v>1754</v>
      </c>
      <c r="B20" s="2237"/>
      <c r="C20" s="1766">
        <f>C8-C17</f>
        <v>140675</v>
      </c>
      <c r="D20" s="1766">
        <f t="shared" ref="D20:K20" si="5">D8-D17</f>
        <v>-1303431</v>
      </c>
      <c r="E20" s="1766">
        <f t="shared" si="5"/>
        <v>-258037</v>
      </c>
      <c r="F20" s="1766">
        <f t="shared" si="5"/>
        <v>258870</v>
      </c>
      <c r="G20" s="1766">
        <f t="shared" si="5"/>
        <v>115108</v>
      </c>
      <c r="H20" s="1766">
        <f t="shared" si="5"/>
        <v>-3439412</v>
      </c>
      <c r="I20" s="1766">
        <f t="shared" si="5"/>
        <v>190890</v>
      </c>
      <c r="J20" s="1766">
        <f t="shared" si="5"/>
        <v>237706</v>
      </c>
      <c r="K20" s="1766">
        <f t="shared" si="5"/>
        <v>-122762</v>
      </c>
      <c r="L20" s="347"/>
    </row>
    <row r="21" spans="1:12" ht="16.7" customHeight="1" thickTop="1" x14ac:dyDescent="0.2">
      <c r="A21" s="2248" t="s">
        <v>616</v>
      </c>
      <c r="B21" s="2249"/>
      <c r="C21" s="1590"/>
      <c r="D21" s="1591"/>
      <c r="E21" s="1591"/>
      <c r="F21" s="1591"/>
      <c r="G21" s="1591"/>
      <c r="H21" s="1591"/>
      <c r="I21" s="1591"/>
      <c r="J21" s="1591"/>
      <c r="K21" s="1592"/>
      <c r="L21" s="522"/>
    </row>
    <row r="22" spans="1:12" ht="15.95" customHeight="1" collapsed="1" x14ac:dyDescent="0.2">
      <c r="A22" s="2244" t="s">
        <v>617</v>
      </c>
      <c r="B22" s="2245"/>
      <c r="C22" s="476"/>
      <c r="D22" s="476"/>
      <c r="E22" s="476"/>
      <c r="F22" s="476"/>
      <c r="G22" s="476"/>
      <c r="H22" s="476"/>
      <c r="I22" s="476"/>
      <c r="J22" s="476"/>
      <c r="K22" s="476"/>
      <c r="L22" s="347"/>
    </row>
    <row r="23" spans="1:12" s="484" customFormat="1" ht="15.95" customHeight="1" x14ac:dyDescent="0.2">
      <c r="A23" s="2240" t="s">
        <v>311</v>
      </c>
      <c r="B23" s="2241"/>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1250000</v>
      </c>
      <c r="D25" s="467">
        <v>1250000</v>
      </c>
      <c r="E25" s="467">
        <v>0</v>
      </c>
      <c r="F25" s="467">
        <v>1000000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1893</v>
      </c>
      <c r="B30" s="525">
        <v>7160</v>
      </c>
      <c r="C30" s="476"/>
      <c r="D30" s="467">
        <v>0</v>
      </c>
      <c r="E30" s="476"/>
      <c r="F30" s="476"/>
      <c r="G30" s="476"/>
      <c r="H30" s="476"/>
      <c r="I30" s="476"/>
      <c r="J30" s="476"/>
      <c r="K30" s="476"/>
      <c r="L30" s="522"/>
    </row>
    <row r="31" spans="1:12" s="484" customFormat="1" ht="26.25" x14ac:dyDescent="0.2">
      <c r="A31" s="1509" t="s">
        <v>1897</v>
      </c>
      <c r="B31" s="525">
        <v>7170</v>
      </c>
      <c r="C31" s="476"/>
      <c r="D31" s="476"/>
      <c r="E31" s="474">
        <v>0</v>
      </c>
      <c r="F31" s="476"/>
      <c r="G31" s="476"/>
      <c r="H31" s="476"/>
      <c r="I31" s="476"/>
      <c r="J31" s="476"/>
      <c r="K31" s="476"/>
      <c r="L31" s="522"/>
    </row>
    <row r="32" spans="1:12" s="484" customFormat="1" ht="15.95" customHeight="1" x14ac:dyDescent="0.2">
      <c r="A32" s="2242" t="s">
        <v>1038</v>
      </c>
      <c r="B32" s="2243"/>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5400000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3934049</v>
      </c>
      <c r="I43" s="467">
        <v>0</v>
      </c>
      <c r="J43" s="467">
        <v>0</v>
      </c>
      <c r="K43" s="467">
        <v>0</v>
      </c>
      <c r="L43" s="522"/>
    </row>
    <row r="44" spans="1:12" s="484" customFormat="1" ht="13.5" customHeight="1" thickBot="1" x14ac:dyDescent="0.25">
      <c r="A44" s="2250" t="s">
        <v>392</v>
      </c>
      <c r="B44" s="2251"/>
      <c r="C44" s="1723">
        <f>SUM(C24:C43)</f>
        <v>1250000</v>
      </c>
      <c r="D44" s="1723">
        <f t="shared" ref="D44:K44" si="6">SUM(D24:D43)</f>
        <v>1250000</v>
      </c>
      <c r="E44" s="1723">
        <f t="shared" si="6"/>
        <v>0</v>
      </c>
      <c r="F44" s="1723">
        <f t="shared" si="6"/>
        <v>1000000</v>
      </c>
      <c r="G44" s="1723">
        <f t="shared" si="6"/>
        <v>0</v>
      </c>
      <c r="H44" s="1723">
        <f t="shared" si="6"/>
        <v>3934049</v>
      </c>
      <c r="I44" s="1723">
        <f t="shared" si="6"/>
        <v>5400000</v>
      </c>
      <c r="J44" s="1723">
        <f t="shared" si="6"/>
        <v>0</v>
      </c>
      <c r="K44" s="1723">
        <f t="shared" si="6"/>
        <v>0</v>
      </c>
      <c r="L44" s="522"/>
    </row>
    <row r="45" spans="1:12" ht="15.95" customHeight="1" thickTop="1" x14ac:dyDescent="0.2">
      <c r="A45" s="2244" t="s">
        <v>110</v>
      </c>
      <c r="B45" s="2245"/>
      <c r="C45" s="526"/>
      <c r="D45" s="526"/>
      <c r="E45" s="526"/>
      <c r="F45" s="526"/>
      <c r="G45" s="526"/>
      <c r="H45" s="526"/>
      <c r="I45" s="526"/>
      <c r="J45" s="526"/>
      <c r="K45" s="526"/>
      <c r="L45" s="347"/>
    </row>
    <row r="46" spans="1:12" s="484" customFormat="1" ht="15.95" customHeight="1" x14ac:dyDescent="0.2">
      <c r="A46" s="2252" t="s">
        <v>111</v>
      </c>
      <c r="B46" s="2253"/>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3500000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1896</v>
      </c>
      <c r="B52" s="482">
        <v>8160</v>
      </c>
      <c r="C52" s="476"/>
      <c r="D52" s="476"/>
      <c r="E52" s="476"/>
      <c r="F52" s="476"/>
      <c r="G52" s="476"/>
      <c r="H52" s="476"/>
      <c r="I52" s="476"/>
      <c r="J52" s="476"/>
      <c r="K52" s="1763">
        <f>D30</f>
        <v>0</v>
      </c>
      <c r="L52" s="522"/>
    </row>
    <row r="53" spans="1:12" s="484" customFormat="1" ht="26.25" x14ac:dyDescent="0.2">
      <c r="A53" s="1510" t="s">
        <v>1895</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26" t="s">
        <v>460</v>
      </c>
      <c r="B76" s="2227"/>
      <c r="C76" s="1723">
        <f t="shared" ref="C76:K76" si="7">SUM(C47:C75)</f>
        <v>0</v>
      </c>
      <c r="D76" s="1723">
        <f t="shared" si="7"/>
        <v>0</v>
      </c>
      <c r="E76" s="1723">
        <f t="shared" si="7"/>
        <v>0</v>
      </c>
      <c r="F76" s="1723">
        <f t="shared" si="7"/>
        <v>0</v>
      </c>
      <c r="G76" s="1723">
        <f t="shared" si="7"/>
        <v>0</v>
      </c>
      <c r="H76" s="1723">
        <f t="shared" si="7"/>
        <v>0</v>
      </c>
      <c r="I76" s="1723">
        <f t="shared" si="7"/>
        <v>3500000</v>
      </c>
      <c r="J76" s="1723">
        <f t="shared" si="7"/>
        <v>0</v>
      </c>
      <c r="K76" s="1723">
        <f t="shared" si="7"/>
        <v>0</v>
      </c>
      <c r="L76" s="522"/>
    </row>
    <row r="77" spans="1:12" ht="14.25" thickTop="1" thickBot="1" x14ac:dyDescent="0.25">
      <c r="A77" s="2228" t="s">
        <v>1239</v>
      </c>
      <c r="B77" s="2229"/>
      <c r="C77" s="1723">
        <f t="shared" ref="C77:K77" si="8">C44-C76</f>
        <v>1250000</v>
      </c>
      <c r="D77" s="1723">
        <f t="shared" si="8"/>
        <v>1250000</v>
      </c>
      <c r="E77" s="1723">
        <f t="shared" si="8"/>
        <v>0</v>
      </c>
      <c r="F77" s="1723">
        <f t="shared" si="8"/>
        <v>1000000</v>
      </c>
      <c r="G77" s="1723">
        <f t="shared" si="8"/>
        <v>0</v>
      </c>
      <c r="H77" s="1723">
        <f t="shared" si="8"/>
        <v>3934049</v>
      </c>
      <c r="I77" s="1723">
        <f t="shared" si="8"/>
        <v>1900000</v>
      </c>
      <c r="J77" s="1723">
        <f t="shared" si="8"/>
        <v>0</v>
      </c>
      <c r="K77" s="1723">
        <f t="shared" si="8"/>
        <v>0</v>
      </c>
      <c r="L77" s="347"/>
    </row>
    <row r="78" spans="1:12" ht="21.75" customHeight="1" thickTop="1" thickBot="1" x14ac:dyDescent="0.25">
      <c r="A78" s="2232" t="s">
        <v>618</v>
      </c>
      <c r="B78" s="2233"/>
      <c r="C78" s="1722">
        <f t="shared" ref="C78:K78" si="9">C20+C77</f>
        <v>1390675</v>
      </c>
      <c r="D78" s="1722">
        <f t="shared" si="9"/>
        <v>-53431</v>
      </c>
      <c r="E78" s="1722">
        <f t="shared" si="9"/>
        <v>-258037</v>
      </c>
      <c r="F78" s="1722">
        <f t="shared" si="9"/>
        <v>1258870</v>
      </c>
      <c r="G78" s="1722">
        <f t="shared" si="9"/>
        <v>115108</v>
      </c>
      <c r="H78" s="1722">
        <f t="shared" si="9"/>
        <v>494637</v>
      </c>
      <c r="I78" s="1722">
        <f t="shared" si="9"/>
        <v>2090890</v>
      </c>
      <c r="J78" s="1722">
        <f t="shared" si="9"/>
        <v>237706</v>
      </c>
      <c r="K78" s="1722">
        <f t="shared" si="9"/>
        <v>-122762</v>
      </c>
      <c r="L78" s="531"/>
    </row>
    <row r="79" spans="1:12" ht="13.5" thickTop="1" x14ac:dyDescent="0.2">
      <c r="A79" s="1514" t="s">
        <v>2069</v>
      </c>
      <c r="B79" s="532"/>
      <c r="C79" s="467">
        <v>5523269</v>
      </c>
      <c r="D79" s="467">
        <v>1367426</v>
      </c>
      <c r="E79" s="467">
        <v>937722</v>
      </c>
      <c r="F79" s="467">
        <v>828660</v>
      </c>
      <c r="G79" s="467">
        <v>720829</v>
      </c>
      <c r="H79" s="467">
        <v>126389</v>
      </c>
      <c r="I79" s="467">
        <v>5357551</v>
      </c>
      <c r="J79" s="467">
        <v>242368</v>
      </c>
      <c r="K79" s="467">
        <v>224613</v>
      </c>
      <c r="L79" s="347"/>
    </row>
    <row r="80" spans="1:12" x14ac:dyDescent="0.2">
      <c r="A80" s="2238" t="s">
        <v>1894</v>
      </c>
      <c r="B80" s="2239"/>
      <c r="C80" s="467">
        <v>0</v>
      </c>
      <c r="D80" s="467">
        <v>0</v>
      </c>
      <c r="E80" s="467">
        <v>0</v>
      </c>
      <c r="F80" s="467">
        <v>0</v>
      </c>
      <c r="G80" s="467">
        <v>0</v>
      </c>
      <c r="H80" s="467">
        <v>0</v>
      </c>
      <c r="I80" s="467">
        <v>0</v>
      </c>
      <c r="J80" s="467">
        <v>0</v>
      </c>
      <c r="K80" s="467">
        <v>0</v>
      </c>
      <c r="L80" s="347"/>
    </row>
    <row r="81" spans="1:12" ht="13.5" thickBot="1" x14ac:dyDescent="0.25">
      <c r="A81" s="2230" t="s">
        <v>2070</v>
      </c>
      <c r="B81" s="2231"/>
      <c r="C81" s="1708">
        <f>(SUM(C78:C80))</f>
        <v>6913944</v>
      </c>
      <c r="D81" s="1708">
        <f>SUM(D78:D80)</f>
        <v>1313995</v>
      </c>
      <c r="E81" s="1708">
        <f t="shared" ref="E81:K81" si="10">SUM(E78:E80)</f>
        <v>679685</v>
      </c>
      <c r="F81" s="1708">
        <f t="shared" si="10"/>
        <v>2087530</v>
      </c>
      <c r="G81" s="1708">
        <f t="shared" si="10"/>
        <v>835937</v>
      </c>
      <c r="H81" s="1708">
        <f t="shared" si="10"/>
        <v>621026</v>
      </c>
      <c r="I81" s="1708">
        <f t="shared" si="10"/>
        <v>7448441</v>
      </c>
      <c r="J81" s="1708">
        <f t="shared" si="10"/>
        <v>480074</v>
      </c>
      <c r="K81" s="1708">
        <f t="shared" si="10"/>
        <v>101851</v>
      </c>
      <c r="L81" s="347"/>
    </row>
    <row r="82" spans="1:12" ht="0.75" customHeight="1" thickTop="1" thickBot="1" x14ac:dyDescent="0.25">
      <c r="A82" s="534" t="s">
        <v>361</v>
      </c>
      <c r="B82" s="535"/>
      <c r="C82" s="536">
        <f>(C81-C79)</f>
        <v>1390675</v>
      </c>
      <c r="D82" s="536">
        <f t="shared" ref="D82:K82" si="11">(D81-D79)</f>
        <v>-53431</v>
      </c>
      <c r="E82" s="536">
        <f t="shared" si="11"/>
        <v>-258037</v>
      </c>
      <c r="F82" s="536">
        <f t="shared" si="11"/>
        <v>1258870</v>
      </c>
      <c r="G82" s="536">
        <f t="shared" si="11"/>
        <v>115108</v>
      </c>
      <c r="H82" s="536">
        <f t="shared" si="11"/>
        <v>494637</v>
      </c>
      <c r="I82" s="536">
        <f t="shared" si="11"/>
        <v>2090890</v>
      </c>
      <c r="J82" s="536">
        <f t="shared" si="11"/>
        <v>237706</v>
      </c>
      <c r="K82" s="536">
        <f t="shared" si="11"/>
        <v>-122762</v>
      </c>
    </row>
    <row r="83" spans="1:12" ht="14.25" hidden="1" thickTop="1" thickBot="1" x14ac:dyDescent="0.25">
      <c r="A83" s="537" t="s">
        <v>362</v>
      </c>
      <c r="B83" s="464"/>
      <c r="C83" s="538">
        <f>C82/C81</f>
        <v>0.20114062248696257</v>
      </c>
      <c r="D83" s="538">
        <f t="shared" ref="D83:K83" si="12">D82/D81</f>
        <v>-4.0663016221522914E-2</v>
      </c>
      <c r="E83" s="538">
        <f t="shared" si="12"/>
        <v>-0.3796420400626761</v>
      </c>
      <c r="F83" s="538">
        <f t="shared" si="12"/>
        <v>0.60304283052219609</v>
      </c>
      <c r="G83" s="538">
        <f t="shared" si="12"/>
        <v>0.13769937208186742</v>
      </c>
      <c r="H83" s="538">
        <f t="shared" si="12"/>
        <v>0.79648356107473761</v>
      </c>
      <c r="I83" s="538">
        <f t="shared" si="12"/>
        <v>0.28071511877451938</v>
      </c>
      <c r="J83" s="538">
        <f t="shared" si="12"/>
        <v>0.49514449855647252</v>
      </c>
      <c r="K83" s="538">
        <f t="shared" si="12"/>
        <v>-1.205309717135816</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34" t="s">
        <v>1901</v>
      </c>
      <c r="B1" s="452"/>
      <c r="C1" s="453" t="s">
        <v>445</v>
      </c>
      <c r="D1" s="453" t="s">
        <v>446</v>
      </c>
      <c r="E1" s="453" t="s">
        <v>447</v>
      </c>
      <c r="F1" s="453" t="s">
        <v>448</v>
      </c>
      <c r="G1" s="453" t="s">
        <v>449</v>
      </c>
      <c r="H1" s="453" t="s">
        <v>450</v>
      </c>
      <c r="I1" s="453" t="s">
        <v>451</v>
      </c>
      <c r="J1" s="453" t="s">
        <v>452</v>
      </c>
      <c r="K1" s="453" t="s">
        <v>780</v>
      </c>
    </row>
    <row r="2" spans="1:12" ht="36" x14ac:dyDescent="0.2">
      <c r="A2" s="2235"/>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8358891</v>
      </c>
      <c r="D5" s="480">
        <v>1448684</v>
      </c>
      <c r="E5" s="480">
        <v>2937440</v>
      </c>
      <c r="F5" s="546">
        <v>579474</v>
      </c>
      <c r="G5" s="466">
        <v>467297</v>
      </c>
      <c r="H5" s="466">
        <v>0</v>
      </c>
      <c r="I5" s="466">
        <v>144868</v>
      </c>
      <c r="J5" s="466">
        <v>1093034</v>
      </c>
      <c r="K5" s="466">
        <v>144868</v>
      </c>
    </row>
    <row r="6" spans="1:12" ht="15" x14ac:dyDescent="0.2">
      <c r="A6" s="463" t="s">
        <v>1761</v>
      </c>
      <c r="B6" s="470">
        <v>1130</v>
      </c>
      <c r="C6" s="466">
        <v>144868</v>
      </c>
      <c r="D6" s="466">
        <v>0</v>
      </c>
      <c r="E6" s="475"/>
      <c r="F6" s="475"/>
      <c r="G6" s="468"/>
      <c r="H6" s="468"/>
      <c r="I6" s="468"/>
      <c r="J6" s="468"/>
      <c r="K6" s="468"/>
    </row>
    <row r="7" spans="1:12" x14ac:dyDescent="0.2">
      <c r="A7" s="463" t="s">
        <v>112</v>
      </c>
      <c r="B7" s="547">
        <v>1140</v>
      </c>
      <c r="C7" s="466">
        <v>115894</v>
      </c>
      <c r="D7" s="466">
        <v>0</v>
      </c>
      <c r="E7" s="468"/>
      <c r="F7" s="467">
        <v>0</v>
      </c>
      <c r="G7" s="467">
        <v>0</v>
      </c>
      <c r="H7" s="467">
        <v>0</v>
      </c>
      <c r="I7" s="468"/>
      <c r="J7" s="468"/>
      <c r="K7" s="468"/>
    </row>
    <row r="8" spans="1:12" x14ac:dyDescent="0.2">
      <c r="A8" s="463" t="s">
        <v>433</v>
      </c>
      <c r="B8" s="470">
        <v>1150</v>
      </c>
      <c r="C8" s="475"/>
      <c r="D8" s="475"/>
      <c r="E8" s="476"/>
      <c r="F8" s="476"/>
      <c r="G8" s="480">
        <v>290719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8619653</v>
      </c>
      <c r="D12" s="1727">
        <f t="shared" si="0"/>
        <v>1448684</v>
      </c>
      <c r="E12" s="1727">
        <f t="shared" si="0"/>
        <v>2937440</v>
      </c>
      <c r="F12" s="1727">
        <f t="shared" si="0"/>
        <v>579474</v>
      </c>
      <c r="G12" s="1727">
        <f t="shared" si="0"/>
        <v>758016</v>
      </c>
      <c r="H12" s="1727">
        <f t="shared" si="0"/>
        <v>0</v>
      </c>
      <c r="I12" s="1727">
        <f t="shared" si="0"/>
        <v>144868</v>
      </c>
      <c r="J12" s="1727">
        <f t="shared" si="0"/>
        <v>1093034</v>
      </c>
      <c r="K12" s="1708">
        <f t="shared" si="0"/>
        <v>144868</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1412</v>
      </c>
      <c r="D14" s="466">
        <v>238</v>
      </c>
      <c r="E14" s="466">
        <v>493</v>
      </c>
      <c r="F14" s="466">
        <v>95</v>
      </c>
      <c r="G14" s="466">
        <v>125</v>
      </c>
      <c r="H14" s="466">
        <v>0</v>
      </c>
      <c r="I14" s="466">
        <v>24</v>
      </c>
      <c r="J14" s="467">
        <v>161</v>
      </c>
      <c r="K14" s="466">
        <v>24</v>
      </c>
    </row>
    <row r="15" spans="1:12" ht="12.75" customHeight="1" x14ac:dyDescent="0.2">
      <c r="A15" s="463" t="s">
        <v>97</v>
      </c>
      <c r="B15" s="470">
        <v>1220</v>
      </c>
      <c r="C15" s="549">
        <v>101</v>
      </c>
      <c r="D15" s="466">
        <v>17</v>
      </c>
      <c r="E15" s="466">
        <v>35</v>
      </c>
      <c r="F15" s="466">
        <v>7</v>
      </c>
      <c r="G15" s="466">
        <v>9</v>
      </c>
      <c r="H15" s="466">
        <v>0</v>
      </c>
      <c r="I15" s="466">
        <v>2</v>
      </c>
      <c r="J15" s="467">
        <v>12</v>
      </c>
      <c r="K15" s="466">
        <v>2</v>
      </c>
    </row>
    <row r="16" spans="1:12" ht="15" customHeight="1" x14ac:dyDescent="0.2">
      <c r="A16" s="463" t="s">
        <v>1762</v>
      </c>
      <c r="B16" s="547">
        <v>1230</v>
      </c>
      <c r="C16" s="549">
        <v>0</v>
      </c>
      <c r="D16" s="466">
        <v>313713</v>
      </c>
      <c r="E16" s="466">
        <v>0</v>
      </c>
      <c r="F16" s="466">
        <v>0</v>
      </c>
      <c r="G16" s="466">
        <v>16800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1513</v>
      </c>
      <c r="D18" s="1730">
        <f t="shared" ref="D18:K18" si="1">SUM(D14:D17)</f>
        <v>313968</v>
      </c>
      <c r="E18" s="1730">
        <f t="shared" si="1"/>
        <v>528</v>
      </c>
      <c r="F18" s="1730">
        <f t="shared" si="1"/>
        <v>102</v>
      </c>
      <c r="G18" s="1730">
        <f t="shared" si="1"/>
        <v>16934</v>
      </c>
      <c r="H18" s="1730">
        <f t="shared" si="1"/>
        <v>0</v>
      </c>
      <c r="I18" s="1730">
        <f t="shared" si="1"/>
        <v>26</v>
      </c>
      <c r="J18" s="1730">
        <f t="shared" si="1"/>
        <v>173</v>
      </c>
      <c r="K18" s="1731">
        <f t="shared" si="1"/>
        <v>26</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75002</v>
      </c>
      <c r="D65" s="466">
        <v>17838</v>
      </c>
      <c r="E65" s="466">
        <v>9764</v>
      </c>
      <c r="F65" s="467">
        <v>10182</v>
      </c>
      <c r="G65" s="466">
        <v>8246</v>
      </c>
      <c r="H65" s="466">
        <v>18566</v>
      </c>
      <c r="I65" s="466">
        <v>45996</v>
      </c>
      <c r="J65" s="467">
        <v>4579</v>
      </c>
      <c r="K65" s="466">
        <v>2344</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75002</v>
      </c>
      <c r="D67" s="1708">
        <f t="shared" ref="D67:K67" si="2">SUM(D65:D66)</f>
        <v>17838</v>
      </c>
      <c r="E67" s="1708">
        <f t="shared" si="2"/>
        <v>9764</v>
      </c>
      <c r="F67" s="1708">
        <f t="shared" si="2"/>
        <v>10182</v>
      </c>
      <c r="G67" s="1708">
        <f t="shared" si="2"/>
        <v>8246</v>
      </c>
      <c r="H67" s="1708">
        <f t="shared" si="2"/>
        <v>18566</v>
      </c>
      <c r="I67" s="1708">
        <f t="shared" si="2"/>
        <v>45996</v>
      </c>
      <c r="J67" s="1708">
        <f t="shared" si="2"/>
        <v>4579</v>
      </c>
      <c r="K67" s="1708">
        <f t="shared" si="2"/>
        <v>2344</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20572</v>
      </c>
      <c r="D70" s="468"/>
      <c r="E70" s="468"/>
      <c r="F70" s="468"/>
      <c r="G70" s="468"/>
      <c r="H70" s="468"/>
      <c r="I70" s="468"/>
      <c r="J70" s="468"/>
      <c r="K70" s="468"/>
    </row>
    <row r="71" spans="1:11" ht="12.75" customHeight="1" x14ac:dyDescent="0.2">
      <c r="A71" s="463" t="s">
        <v>291</v>
      </c>
      <c r="B71" s="470">
        <v>1613</v>
      </c>
      <c r="C71" s="549">
        <v>19104</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409915</v>
      </c>
      <c r="D74" s="468"/>
      <c r="E74" s="468"/>
      <c r="F74" s="468"/>
      <c r="G74" s="468"/>
      <c r="H74" s="468"/>
      <c r="I74" s="468"/>
      <c r="J74" s="468"/>
      <c r="K74" s="468"/>
    </row>
    <row r="75" spans="1:11" ht="12.75" customHeight="1" thickBot="1" x14ac:dyDescent="0.25">
      <c r="A75" s="1728" t="s">
        <v>569</v>
      </c>
      <c r="B75" s="1729"/>
      <c r="C75" s="1708">
        <f>SUM(C69:C74)</f>
        <v>449591</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24753</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81203</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525</v>
      </c>
      <c r="D81" s="466">
        <v>0</v>
      </c>
      <c r="E81" s="468"/>
      <c r="F81" s="468"/>
      <c r="G81" s="468"/>
      <c r="H81" s="468"/>
      <c r="I81" s="468"/>
      <c r="J81" s="468"/>
      <c r="K81" s="468"/>
    </row>
    <row r="82" spans="1:11" ht="12.75" customHeight="1" thickBot="1" x14ac:dyDescent="0.25">
      <c r="A82" s="1728" t="s">
        <v>259</v>
      </c>
      <c r="B82" s="1729"/>
      <c r="C82" s="1727">
        <f>SUM(C77:C81)</f>
        <v>106481</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185055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185055</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1301</v>
      </c>
      <c r="E95" s="519"/>
      <c r="F95" s="519"/>
      <c r="G95" s="519"/>
      <c r="H95" s="519"/>
      <c r="I95" s="519"/>
      <c r="J95" s="519"/>
      <c r="K95" s="519"/>
    </row>
    <row r="96" spans="1:11" ht="12.75" customHeight="1" x14ac:dyDescent="0.2">
      <c r="A96" s="463" t="s">
        <v>409</v>
      </c>
      <c r="B96" s="470">
        <v>1920</v>
      </c>
      <c r="C96" s="549">
        <v>3650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3900</v>
      </c>
      <c r="D98" s="466">
        <v>0</v>
      </c>
      <c r="E98" s="510"/>
      <c r="F98" s="466">
        <v>0</v>
      </c>
      <c r="G98" s="510"/>
      <c r="H98" s="510"/>
      <c r="I98" s="508"/>
      <c r="J98" s="510"/>
      <c r="K98" s="510"/>
    </row>
    <row r="99" spans="1:12" ht="12.75" customHeight="1" x14ac:dyDescent="0.2">
      <c r="A99" s="463" t="s">
        <v>875</v>
      </c>
      <c r="B99" s="470">
        <v>1950</v>
      </c>
      <c r="C99" s="487">
        <v>7568</v>
      </c>
      <c r="D99" s="466">
        <v>0</v>
      </c>
      <c r="E99" s="466">
        <v>0</v>
      </c>
      <c r="F99" s="466">
        <v>0</v>
      </c>
      <c r="G99" s="466">
        <v>0</v>
      </c>
      <c r="H99" s="466">
        <v>0</v>
      </c>
      <c r="I99" s="468"/>
      <c r="J99" s="467">
        <v>0</v>
      </c>
      <c r="K99" s="466">
        <v>0</v>
      </c>
    </row>
    <row r="100" spans="1:12" ht="12.75" customHeight="1" x14ac:dyDescent="0.2">
      <c r="A100" s="463" t="s">
        <v>263</v>
      </c>
      <c r="B100" s="470">
        <v>1960</v>
      </c>
      <c r="C100" s="487">
        <v>36216</v>
      </c>
      <c r="D100" s="487">
        <v>0</v>
      </c>
      <c r="E100" s="487">
        <v>0</v>
      </c>
      <c r="F100" s="487">
        <v>0</v>
      </c>
      <c r="G100" s="487">
        <v>0</v>
      </c>
      <c r="H100" s="487">
        <v>0</v>
      </c>
      <c r="I100" s="467">
        <v>0</v>
      </c>
      <c r="J100" s="487">
        <v>0</v>
      </c>
      <c r="K100" s="467">
        <v>0</v>
      </c>
    </row>
    <row r="101" spans="1:12" ht="12.75" customHeight="1" x14ac:dyDescent="0.2">
      <c r="A101" s="463" t="s">
        <v>264</v>
      </c>
      <c r="B101" s="470">
        <v>1970</v>
      </c>
      <c r="C101" s="487">
        <v>11878</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203740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19019</v>
      </c>
      <c r="D107" s="466">
        <v>41041</v>
      </c>
      <c r="E107" s="466">
        <v>0</v>
      </c>
      <c r="F107" s="466">
        <v>67362</v>
      </c>
      <c r="G107" s="466">
        <v>0</v>
      </c>
      <c r="H107" s="466">
        <v>0</v>
      </c>
      <c r="I107" s="466">
        <v>0</v>
      </c>
      <c r="J107" s="467">
        <v>0</v>
      </c>
      <c r="K107" s="466">
        <v>0</v>
      </c>
    </row>
    <row r="108" spans="1:12" ht="12.75" customHeight="1" thickBot="1" x14ac:dyDescent="0.25">
      <c r="A108" s="1728" t="s">
        <v>508</v>
      </c>
      <c r="B108" s="1732"/>
      <c r="C108" s="1727">
        <f>SUM(C95:C107)</f>
        <v>82231</v>
      </c>
      <c r="D108" s="1727">
        <f t="shared" ref="D108:K108" si="3">SUM(D95:D107)</f>
        <v>42342</v>
      </c>
      <c r="E108" s="1727">
        <f t="shared" si="3"/>
        <v>0</v>
      </c>
      <c r="F108" s="1727">
        <f t="shared" si="3"/>
        <v>67362</v>
      </c>
      <c r="G108" s="1727">
        <f t="shared" si="3"/>
        <v>0</v>
      </c>
      <c r="H108" s="1727">
        <f t="shared" si="3"/>
        <v>203740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9519526</v>
      </c>
      <c r="D109" s="1735">
        <f t="shared" si="4"/>
        <v>1822832</v>
      </c>
      <c r="E109" s="1735">
        <f t="shared" si="4"/>
        <v>2947732</v>
      </c>
      <c r="F109" s="1735">
        <f t="shared" si="4"/>
        <v>657120</v>
      </c>
      <c r="G109" s="1735">
        <f t="shared" si="4"/>
        <v>783196</v>
      </c>
      <c r="H109" s="1735">
        <f t="shared" si="4"/>
        <v>222306</v>
      </c>
      <c r="I109" s="1735">
        <f t="shared" si="4"/>
        <v>190890</v>
      </c>
      <c r="J109" s="1735">
        <f t="shared" si="4"/>
        <v>1097786</v>
      </c>
      <c r="K109" s="1722">
        <f t="shared" si="4"/>
        <v>147238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2919845</v>
      </c>
      <c r="D117" s="480">
        <v>0</v>
      </c>
      <c r="E117" s="466">
        <v>0</v>
      </c>
      <c r="F117" s="480">
        <v>0</v>
      </c>
      <c r="G117" s="480">
        <v>0</v>
      </c>
      <c r="H117" s="466">
        <v>0</v>
      </c>
      <c r="I117" s="468"/>
      <c r="J117" s="467">
        <v>0</v>
      </c>
      <c r="K117" s="466">
        <v>0</v>
      </c>
    </row>
    <row r="118" spans="1:11" ht="12.75" customHeight="1" x14ac:dyDescent="0.2">
      <c r="A118" s="463" t="s">
        <v>1898</v>
      </c>
      <c r="B118" s="560">
        <v>3002</v>
      </c>
      <c r="C118" s="549">
        <v>0</v>
      </c>
      <c r="D118" s="466">
        <v>0</v>
      </c>
      <c r="E118" s="466">
        <v>0</v>
      </c>
      <c r="F118" s="466">
        <v>0</v>
      </c>
      <c r="G118" s="466">
        <v>0</v>
      </c>
      <c r="H118" s="466">
        <v>0</v>
      </c>
      <c r="I118" s="468"/>
      <c r="J118" s="467">
        <v>0</v>
      </c>
      <c r="K118" s="466">
        <v>0</v>
      </c>
    </row>
    <row r="119" spans="1:11" ht="12.75" customHeight="1" x14ac:dyDescent="0.2">
      <c r="A119" s="463" t="s">
        <v>1899</v>
      </c>
      <c r="B119" s="560">
        <v>3005</v>
      </c>
      <c r="C119" s="549">
        <v>0</v>
      </c>
      <c r="D119" s="466">
        <v>0</v>
      </c>
      <c r="E119" s="466">
        <v>0</v>
      </c>
      <c r="F119" s="466">
        <v>0</v>
      </c>
      <c r="G119" s="466">
        <v>0</v>
      </c>
      <c r="H119" s="466">
        <v>0</v>
      </c>
      <c r="I119" s="468"/>
      <c r="J119" s="467">
        <v>0</v>
      </c>
      <c r="K119" s="466">
        <v>0</v>
      </c>
    </row>
    <row r="120" spans="1:11" x14ac:dyDescent="0.2">
      <c r="A120" s="1516" t="s">
        <v>1900</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2919845</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367106</v>
      </c>
      <c r="D124" s="559"/>
      <c r="E124" s="468"/>
      <c r="F124" s="546">
        <v>0</v>
      </c>
      <c r="G124" s="468"/>
      <c r="H124" s="468"/>
      <c r="I124" s="468"/>
      <c r="J124" s="468"/>
      <c r="K124" s="468"/>
    </row>
    <row r="125" spans="1:11" ht="12.75" customHeight="1" x14ac:dyDescent="0.2">
      <c r="A125" s="463" t="s">
        <v>1521</v>
      </c>
      <c r="B125" s="560">
        <v>3105</v>
      </c>
      <c r="C125" s="466">
        <v>116243</v>
      </c>
      <c r="D125" s="559"/>
      <c r="E125" s="468"/>
      <c r="F125" s="466">
        <v>0</v>
      </c>
      <c r="G125" s="468"/>
      <c r="H125" s="468"/>
      <c r="I125" s="468"/>
      <c r="J125" s="468"/>
      <c r="K125" s="468"/>
    </row>
    <row r="126" spans="1:11" ht="12.75" customHeight="1" x14ac:dyDescent="0.2">
      <c r="A126" s="463" t="s">
        <v>922</v>
      </c>
      <c r="B126" s="560">
        <v>3110</v>
      </c>
      <c r="C126" s="549">
        <v>134969</v>
      </c>
      <c r="D126" s="466">
        <v>0</v>
      </c>
      <c r="E126" s="468"/>
      <c r="F126" s="466">
        <v>0</v>
      </c>
      <c r="G126" s="468"/>
      <c r="H126" s="468"/>
      <c r="I126" s="468"/>
      <c r="J126" s="468"/>
      <c r="K126" s="468"/>
    </row>
    <row r="127" spans="1:11" ht="12.75" customHeight="1" x14ac:dyDescent="0.2">
      <c r="A127" s="463" t="s">
        <v>107</v>
      </c>
      <c r="B127" s="560">
        <v>3120</v>
      </c>
      <c r="C127" s="466">
        <v>48647</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2303</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669268</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11154</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11154</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5199</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13650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825342</v>
      </c>
      <c r="G151" s="467">
        <v>0</v>
      </c>
      <c r="H151" s="468"/>
      <c r="I151" s="468"/>
      <c r="J151" s="468"/>
      <c r="K151" s="468"/>
    </row>
    <row r="152" spans="1:11" ht="12.75" customHeight="1" x14ac:dyDescent="0.2">
      <c r="A152" s="463" t="s">
        <v>1117</v>
      </c>
      <c r="B152" s="560">
        <v>3510</v>
      </c>
      <c r="C152" s="549">
        <v>0</v>
      </c>
      <c r="D152" s="466">
        <v>0</v>
      </c>
      <c r="E152" s="559"/>
      <c r="F152" s="466">
        <v>394432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1219774</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267812</v>
      </c>
      <c r="D158" s="576">
        <v>0</v>
      </c>
      <c r="E158" s="559"/>
      <c r="F158" s="574">
        <v>0</v>
      </c>
      <c r="G158" s="574">
        <v>248</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2383</v>
      </c>
      <c r="D171" s="578">
        <v>0</v>
      </c>
      <c r="E171" s="578">
        <v>0</v>
      </c>
      <c r="F171" s="578">
        <v>0</v>
      </c>
      <c r="G171" s="579">
        <v>0</v>
      </c>
      <c r="H171" s="580">
        <v>0</v>
      </c>
      <c r="I171" s="579">
        <v>0</v>
      </c>
      <c r="J171" s="579">
        <v>0</v>
      </c>
      <c r="K171" s="580">
        <v>0</v>
      </c>
    </row>
    <row r="172" spans="1:11" ht="12.75" customHeight="1" thickTop="1" thickBot="1" x14ac:dyDescent="0.25">
      <c r="A172" s="2254" t="s">
        <v>418</v>
      </c>
      <c r="B172" s="2255"/>
      <c r="C172" s="1742">
        <f t="shared" ref="C172:K172" si="6">SUM(C131,C140,C144,C145:C149,C154,C155:C170,C171)</f>
        <v>969466</v>
      </c>
      <c r="D172" s="1742">
        <f t="shared" si="6"/>
        <v>0</v>
      </c>
      <c r="E172" s="1742">
        <f t="shared" si="6"/>
        <v>0</v>
      </c>
      <c r="F172" s="1742">
        <f t="shared" si="6"/>
        <v>1219774</v>
      </c>
      <c r="G172" s="1742">
        <f t="shared" si="6"/>
        <v>248</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3889311</v>
      </c>
      <c r="D173" s="1735">
        <f>SUM(D121,D172)</f>
        <v>0</v>
      </c>
      <c r="E173" s="1735">
        <f>SUM(E121,E172)</f>
        <v>0</v>
      </c>
      <c r="F173" s="1735">
        <f t="shared" ref="F173:K173" si="7">SUM(F121,F172)</f>
        <v>1219774</v>
      </c>
      <c r="G173" s="1735">
        <f t="shared" si="7"/>
        <v>248</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256" t="s">
        <v>1572</v>
      </c>
      <c r="B175" s="2257"/>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60" t="s">
        <v>1764</v>
      </c>
      <c r="B178" s="2261"/>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264" t="s">
        <v>1763</v>
      </c>
      <c r="B179" s="2265"/>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62" t="s">
        <v>818</v>
      </c>
      <c r="B184" s="2263"/>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58" t="s">
        <v>1902</v>
      </c>
      <c r="B185" s="2259"/>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323248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68439</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391687</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197006</v>
      </c>
      <c r="D203" s="466">
        <v>0</v>
      </c>
      <c r="E203" s="468"/>
      <c r="F203" s="466">
        <v>0</v>
      </c>
      <c r="G203" s="466">
        <v>24297</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197006</v>
      </c>
      <c r="D211" s="1727">
        <f>SUM(D203:D210)</f>
        <v>0</v>
      </c>
      <c r="E211" s="468"/>
      <c r="F211" s="1727">
        <f>SUM(F203:F210)</f>
        <v>0</v>
      </c>
      <c r="G211" s="1727">
        <f>SUM(G203:G210)</f>
        <v>24297</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25477</v>
      </c>
      <c r="D218" s="466">
        <v>0</v>
      </c>
      <c r="E218" s="468"/>
      <c r="F218" s="466">
        <v>0</v>
      </c>
      <c r="G218" s="466">
        <v>3581</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261744</v>
      </c>
      <c r="D220" s="466">
        <v>0</v>
      </c>
      <c r="E220" s="468"/>
      <c r="F220" s="466">
        <v>0</v>
      </c>
      <c r="G220" s="466">
        <v>32250</v>
      </c>
      <c r="H220" s="468"/>
      <c r="I220" s="468"/>
      <c r="J220" s="468"/>
      <c r="K220" s="468"/>
    </row>
    <row r="221" spans="1:11" ht="12.75" customHeight="1" x14ac:dyDescent="0.2">
      <c r="A221" s="463" t="s">
        <v>1114</v>
      </c>
      <c r="B221" s="470">
        <v>4625</v>
      </c>
      <c r="C221" s="549">
        <v>114193</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401414</v>
      </c>
      <c r="D224" s="1727">
        <f>SUM(D218:D223)</f>
        <v>0</v>
      </c>
      <c r="E224" s="468"/>
      <c r="F224" s="1727">
        <f>SUM(F218:F223)</f>
        <v>0</v>
      </c>
      <c r="G224" s="1727">
        <f>SUM(G218:G223)</f>
        <v>35831</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52056</v>
      </c>
      <c r="D268" s="574">
        <v>0</v>
      </c>
      <c r="E268" s="468"/>
      <c r="F268" s="574">
        <v>0</v>
      </c>
      <c r="G268" s="574">
        <v>357</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15940</v>
      </c>
      <c r="D270" s="574">
        <v>0</v>
      </c>
      <c r="E270" s="468"/>
      <c r="F270" s="574">
        <v>0</v>
      </c>
      <c r="G270" s="574">
        <v>0</v>
      </c>
      <c r="H270" s="468"/>
      <c r="I270" s="468"/>
      <c r="J270" s="468"/>
      <c r="K270" s="468"/>
    </row>
    <row r="271" spans="1:11" ht="12.75" customHeight="1" thickTop="1" thickBot="1" x14ac:dyDescent="0.25">
      <c r="A271" s="463" t="s">
        <v>395</v>
      </c>
      <c r="B271" s="470">
        <v>4992</v>
      </c>
      <c r="C271" s="573">
        <v>25645</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1083748</v>
      </c>
      <c r="D273" s="1735">
        <f t="shared" si="10"/>
        <v>0</v>
      </c>
      <c r="E273" s="1735">
        <f t="shared" si="10"/>
        <v>0</v>
      </c>
      <c r="F273" s="1735">
        <f t="shared" si="10"/>
        <v>0</v>
      </c>
      <c r="G273" s="1735">
        <f t="shared" si="10"/>
        <v>60485</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1083748</v>
      </c>
      <c r="D274" s="1735">
        <f>SUM(D178,D184,D273)</f>
        <v>0</v>
      </c>
      <c r="E274" s="1735">
        <f>SUM(E178,E273)</f>
        <v>0</v>
      </c>
      <c r="F274" s="1735">
        <f t="shared" ref="F274:K274" si="11">SUM(F178,F184,F273)</f>
        <v>0</v>
      </c>
      <c r="G274" s="1735">
        <f t="shared" si="11"/>
        <v>60485</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14492585</v>
      </c>
      <c r="D275" s="1735">
        <f t="shared" si="12"/>
        <v>1822832</v>
      </c>
      <c r="E275" s="1735">
        <f t="shared" si="12"/>
        <v>2947732</v>
      </c>
      <c r="F275" s="1735">
        <f t="shared" si="12"/>
        <v>1876894</v>
      </c>
      <c r="G275" s="1735">
        <f t="shared" si="12"/>
        <v>843929</v>
      </c>
      <c r="H275" s="1735">
        <f t="shared" si="12"/>
        <v>222306</v>
      </c>
      <c r="I275" s="1735">
        <f t="shared" si="12"/>
        <v>190890</v>
      </c>
      <c r="J275" s="1735">
        <f t="shared" si="12"/>
        <v>1097786</v>
      </c>
      <c r="K275" s="1722">
        <f t="shared" si="12"/>
        <v>147238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34" t="s">
        <v>1901</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68"/>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74" t="s">
        <v>315</v>
      </c>
      <c r="B3" s="2275"/>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4652293</v>
      </c>
      <c r="D5" s="466">
        <v>1456285</v>
      </c>
      <c r="E5" s="466">
        <v>96884</v>
      </c>
      <c r="F5" s="466">
        <v>344584</v>
      </c>
      <c r="G5" s="466">
        <v>86663</v>
      </c>
      <c r="H5" s="466">
        <v>1377</v>
      </c>
      <c r="I5" s="467">
        <v>0</v>
      </c>
      <c r="J5" s="467">
        <v>0</v>
      </c>
      <c r="K5" s="1691">
        <f>SUM(C5:J5)</f>
        <v>6638086</v>
      </c>
      <c r="L5" s="466">
        <v>6651966</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1237142</v>
      </c>
      <c r="D8" s="466">
        <v>368362</v>
      </c>
      <c r="E8" s="466">
        <v>128175</v>
      </c>
      <c r="F8" s="466">
        <v>5964</v>
      </c>
      <c r="G8" s="466">
        <v>0</v>
      </c>
      <c r="H8" s="466">
        <v>0</v>
      </c>
      <c r="I8" s="467">
        <v>0</v>
      </c>
      <c r="J8" s="467">
        <v>0</v>
      </c>
      <c r="K8" s="1691">
        <f t="shared" si="0"/>
        <v>1739643</v>
      </c>
      <c r="L8" s="466">
        <v>1748300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145409</v>
      </c>
      <c r="D10" s="466">
        <v>26616</v>
      </c>
      <c r="E10" s="466">
        <v>229</v>
      </c>
      <c r="F10" s="466">
        <v>0</v>
      </c>
      <c r="G10" s="466">
        <v>0</v>
      </c>
      <c r="H10" s="466">
        <v>0</v>
      </c>
      <c r="I10" s="467">
        <v>0</v>
      </c>
      <c r="J10" s="467">
        <v>0</v>
      </c>
      <c r="K10" s="1691">
        <f t="shared" si="0"/>
        <v>172254</v>
      </c>
      <c r="L10" s="466">
        <v>169800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290394</v>
      </c>
      <c r="D13" s="466">
        <v>58892</v>
      </c>
      <c r="E13" s="466">
        <v>32997</v>
      </c>
      <c r="F13" s="466">
        <v>0</v>
      </c>
      <c r="G13" s="466">
        <v>0</v>
      </c>
      <c r="H13" s="466">
        <v>0</v>
      </c>
      <c r="I13" s="467">
        <v>0</v>
      </c>
      <c r="J13" s="467">
        <v>0</v>
      </c>
      <c r="K13" s="1691">
        <f t="shared" si="0"/>
        <v>382283</v>
      </c>
      <c r="L13" s="466">
        <v>380700</v>
      </c>
    </row>
    <row r="14" spans="1:14" x14ac:dyDescent="0.2">
      <c r="A14" s="1524" t="s">
        <v>1020</v>
      </c>
      <c r="B14" s="613">
        <v>1500</v>
      </c>
      <c r="C14" s="467">
        <v>317901</v>
      </c>
      <c r="D14" s="466">
        <v>25977</v>
      </c>
      <c r="E14" s="466">
        <v>43365</v>
      </c>
      <c r="F14" s="466">
        <v>37091</v>
      </c>
      <c r="G14" s="466">
        <v>3015</v>
      </c>
      <c r="H14" s="466">
        <v>17460</v>
      </c>
      <c r="I14" s="467">
        <v>0</v>
      </c>
      <c r="J14" s="467">
        <v>0</v>
      </c>
      <c r="K14" s="1691">
        <f t="shared" si="0"/>
        <v>444809</v>
      </c>
      <c r="L14" s="466">
        <v>453000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32512</v>
      </c>
      <c r="D17" s="467">
        <v>6197</v>
      </c>
      <c r="E17" s="467">
        <v>0</v>
      </c>
      <c r="F17" s="467">
        <v>0</v>
      </c>
      <c r="G17" s="467">
        <v>0</v>
      </c>
      <c r="H17" s="467">
        <v>0</v>
      </c>
      <c r="I17" s="467">
        <v>0</v>
      </c>
      <c r="J17" s="467">
        <v>0</v>
      </c>
      <c r="K17" s="1691">
        <f t="shared" si="0"/>
        <v>38709</v>
      </c>
      <c r="L17" s="466">
        <v>34000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477774</v>
      </c>
      <c r="I22" s="615"/>
      <c r="J22" s="476"/>
      <c r="K22" s="1691">
        <f t="shared" si="0"/>
        <v>477774</v>
      </c>
      <c r="L22" s="466">
        <v>380000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6675651</v>
      </c>
      <c r="D33" s="1690">
        <f t="shared" ref="D33:L33" si="1">SUM(D5:D32)</f>
        <v>1942329</v>
      </c>
      <c r="E33" s="1690">
        <f t="shared" si="1"/>
        <v>301650</v>
      </c>
      <c r="F33" s="1690">
        <f t="shared" si="1"/>
        <v>387639</v>
      </c>
      <c r="G33" s="1690">
        <f t="shared" si="1"/>
        <v>89678</v>
      </c>
      <c r="H33" s="1690">
        <f t="shared" si="1"/>
        <v>496611</v>
      </c>
      <c r="I33" s="1690">
        <f t="shared" si="1"/>
        <v>0</v>
      </c>
      <c r="J33" s="1690">
        <f t="shared" si="1"/>
        <v>0</v>
      </c>
      <c r="K33" s="1690">
        <f t="shared" si="1"/>
        <v>9893558</v>
      </c>
      <c r="L33" s="1690">
        <f t="shared" si="1"/>
        <v>9817766</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121309</v>
      </c>
      <c r="D37" s="466">
        <v>51853</v>
      </c>
      <c r="E37" s="466">
        <v>0</v>
      </c>
      <c r="F37" s="466">
        <v>98</v>
      </c>
      <c r="G37" s="466">
        <v>0</v>
      </c>
      <c r="H37" s="466">
        <v>0</v>
      </c>
      <c r="I37" s="467">
        <v>0</v>
      </c>
      <c r="J37" s="467">
        <v>0</v>
      </c>
      <c r="K37" s="1691">
        <f t="shared" si="2"/>
        <v>173260</v>
      </c>
      <c r="L37" s="466">
        <v>169200</v>
      </c>
    </row>
    <row r="38" spans="1:14" x14ac:dyDescent="0.2">
      <c r="A38" s="1524" t="s">
        <v>207</v>
      </c>
      <c r="B38" s="613">
        <v>2130</v>
      </c>
      <c r="C38" s="466">
        <v>85154</v>
      </c>
      <c r="D38" s="466">
        <v>8597</v>
      </c>
      <c r="E38" s="466">
        <v>0</v>
      </c>
      <c r="F38" s="466">
        <v>1635</v>
      </c>
      <c r="G38" s="466">
        <v>0</v>
      </c>
      <c r="H38" s="466">
        <v>0</v>
      </c>
      <c r="I38" s="467">
        <v>0</v>
      </c>
      <c r="J38" s="467">
        <v>0</v>
      </c>
      <c r="K38" s="1691">
        <f t="shared" si="2"/>
        <v>95386</v>
      </c>
      <c r="L38" s="466">
        <v>98350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146467</v>
      </c>
      <c r="D40" s="466">
        <v>37102</v>
      </c>
      <c r="E40" s="466">
        <v>702</v>
      </c>
      <c r="F40" s="466">
        <v>3879</v>
      </c>
      <c r="G40" s="466">
        <v>0</v>
      </c>
      <c r="H40" s="466">
        <v>0</v>
      </c>
      <c r="I40" s="467">
        <v>0</v>
      </c>
      <c r="J40" s="467">
        <v>0</v>
      </c>
      <c r="K40" s="1691">
        <f t="shared" si="2"/>
        <v>188150</v>
      </c>
      <c r="L40" s="466">
        <v>184000</v>
      </c>
    </row>
    <row r="41" spans="1:14" x14ac:dyDescent="0.2">
      <c r="A41" s="1524" t="s">
        <v>1768</v>
      </c>
      <c r="B41" s="613">
        <v>2190</v>
      </c>
      <c r="C41" s="466">
        <v>0</v>
      </c>
      <c r="D41" s="466">
        <v>0</v>
      </c>
      <c r="E41" s="466">
        <v>0</v>
      </c>
      <c r="F41" s="466">
        <v>0</v>
      </c>
      <c r="G41" s="466">
        <v>0</v>
      </c>
      <c r="H41" s="466">
        <v>0</v>
      </c>
      <c r="I41" s="467">
        <v>0</v>
      </c>
      <c r="J41" s="467">
        <v>0</v>
      </c>
      <c r="K41" s="1691">
        <f t="shared" si="2"/>
        <v>0</v>
      </c>
      <c r="L41" s="466">
        <v>6000</v>
      </c>
    </row>
    <row r="42" spans="1:14" ht="12.75" customHeight="1" thickBot="1" x14ac:dyDescent="0.25">
      <c r="A42" s="1688" t="s">
        <v>581</v>
      </c>
      <c r="B42" s="1689" t="s">
        <v>740</v>
      </c>
      <c r="C42" s="1690">
        <f>SUM(C36:C41)</f>
        <v>352930</v>
      </c>
      <c r="D42" s="1690">
        <f t="shared" ref="D42:L42" si="3">SUM(D36:D41)</f>
        <v>97552</v>
      </c>
      <c r="E42" s="1690">
        <f t="shared" si="3"/>
        <v>702</v>
      </c>
      <c r="F42" s="1690">
        <f t="shared" si="3"/>
        <v>5612</v>
      </c>
      <c r="G42" s="1690">
        <f t="shared" si="3"/>
        <v>0</v>
      </c>
      <c r="H42" s="1690">
        <f t="shared" si="3"/>
        <v>0</v>
      </c>
      <c r="I42" s="1690">
        <f t="shared" si="3"/>
        <v>0</v>
      </c>
      <c r="J42" s="1690">
        <f t="shared" si="3"/>
        <v>0</v>
      </c>
      <c r="K42" s="1690">
        <f t="shared" si="3"/>
        <v>456796</v>
      </c>
      <c r="L42" s="1690">
        <f t="shared" si="3"/>
        <v>457550</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147065</v>
      </c>
      <c r="D44" s="480">
        <v>25091</v>
      </c>
      <c r="E44" s="480">
        <v>38956</v>
      </c>
      <c r="F44" s="480">
        <v>10954</v>
      </c>
      <c r="G44" s="480">
        <v>5264</v>
      </c>
      <c r="H44" s="480">
        <v>0</v>
      </c>
      <c r="I44" s="467">
        <v>0</v>
      </c>
      <c r="J44" s="467">
        <v>0</v>
      </c>
      <c r="K44" s="1692">
        <f>SUM(C44:J44)</f>
        <v>227330</v>
      </c>
      <c r="L44" s="480">
        <v>205200</v>
      </c>
    </row>
    <row r="45" spans="1:14" x14ac:dyDescent="0.2">
      <c r="A45" s="1524" t="s">
        <v>869</v>
      </c>
      <c r="B45" s="613">
        <v>2220</v>
      </c>
      <c r="C45" s="467">
        <v>346043</v>
      </c>
      <c r="D45" s="466">
        <v>87370</v>
      </c>
      <c r="E45" s="466">
        <v>360925</v>
      </c>
      <c r="F45" s="466">
        <v>46584</v>
      </c>
      <c r="G45" s="466">
        <v>0</v>
      </c>
      <c r="H45" s="466">
        <v>0</v>
      </c>
      <c r="I45" s="467">
        <v>0</v>
      </c>
      <c r="J45" s="467">
        <v>0</v>
      </c>
      <c r="K45" s="1692">
        <f>SUM(C45:J45)</f>
        <v>840922</v>
      </c>
      <c r="L45" s="466">
        <v>840000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493108</v>
      </c>
      <c r="D47" s="1690">
        <f t="shared" ref="D47:K47" si="4">SUM(D44:D46)</f>
        <v>112461</v>
      </c>
      <c r="E47" s="1690">
        <f t="shared" si="4"/>
        <v>399881</v>
      </c>
      <c r="F47" s="1690">
        <f t="shared" si="4"/>
        <v>57538</v>
      </c>
      <c r="G47" s="1690">
        <f t="shared" si="4"/>
        <v>5264</v>
      </c>
      <c r="H47" s="1690">
        <f t="shared" si="4"/>
        <v>0</v>
      </c>
      <c r="I47" s="1690">
        <f t="shared" si="4"/>
        <v>0</v>
      </c>
      <c r="J47" s="1690">
        <f t="shared" si="4"/>
        <v>0</v>
      </c>
      <c r="K47" s="1690">
        <f t="shared" si="4"/>
        <v>1068252</v>
      </c>
      <c r="L47" s="1690">
        <f>SUM(L44:L46)</f>
        <v>1045200</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136492</v>
      </c>
      <c r="F49" s="480">
        <v>23649</v>
      </c>
      <c r="G49" s="480">
        <v>0</v>
      </c>
      <c r="H49" s="480">
        <v>13852</v>
      </c>
      <c r="I49" s="467">
        <v>0</v>
      </c>
      <c r="J49" s="467">
        <v>0</v>
      </c>
      <c r="K49" s="1692">
        <f>SUM(C49:J49)</f>
        <v>173993</v>
      </c>
      <c r="L49" s="466">
        <v>157500</v>
      </c>
    </row>
    <row r="50" spans="1:14" x14ac:dyDescent="0.2">
      <c r="A50" s="1524" t="s">
        <v>872</v>
      </c>
      <c r="B50" s="613">
        <v>2320</v>
      </c>
      <c r="C50" s="466">
        <v>252019</v>
      </c>
      <c r="D50" s="466">
        <v>48603</v>
      </c>
      <c r="E50" s="466">
        <v>0</v>
      </c>
      <c r="F50" s="466">
        <v>490</v>
      </c>
      <c r="G50" s="466">
        <v>0</v>
      </c>
      <c r="H50" s="466">
        <v>0</v>
      </c>
      <c r="I50" s="467">
        <v>0</v>
      </c>
      <c r="J50" s="467">
        <v>0</v>
      </c>
      <c r="K50" s="1692">
        <f>SUM(C50:J50)</f>
        <v>301112</v>
      </c>
      <c r="L50" s="466">
        <v>320500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252019</v>
      </c>
      <c r="D53" s="1690">
        <f t="shared" ref="D53:L53" si="5">SUM(D49:D52)</f>
        <v>48603</v>
      </c>
      <c r="E53" s="1690">
        <f t="shared" si="5"/>
        <v>136492</v>
      </c>
      <c r="F53" s="1690">
        <f t="shared" si="5"/>
        <v>24139</v>
      </c>
      <c r="G53" s="1690">
        <f t="shared" si="5"/>
        <v>0</v>
      </c>
      <c r="H53" s="1690">
        <f t="shared" si="5"/>
        <v>13852</v>
      </c>
      <c r="I53" s="1690">
        <f t="shared" si="5"/>
        <v>0</v>
      </c>
      <c r="J53" s="1690">
        <f t="shared" si="5"/>
        <v>0</v>
      </c>
      <c r="K53" s="1690">
        <f t="shared" si="5"/>
        <v>475105</v>
      </c>
      <c r="L53" s="1690">
        <f t="shared" si="5"/>
        <v>478000</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758419</v>
      </c>
      <c r="D55" s="480">
        <v>187348</v>
      </c>
      <c r="E55" s="480">
        <v>11006</v>
      </c>
      <c r="F55" s="480">
        <v>3407</v>
      </c>
      <c r="G55" s="480">
        <v>0</v>
      </c>
      <c r="H55" s="480">
        <v>2007</v>
      </c>
      <c r="I55" s="467">
        <v>0</v>
      </c>
      <c r="J55" s="467">
        <v>0</v>
      </c>
      <c r="K55" s="1692">
        <f>SUM(C55:J55)</f>
        <v>962187</v>
      </c>
      <c r="L55" s="480">
        <v>961900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758419</v>
      </c>
      <c r="D57" s="1694">
        <f t="shared" ref="D57:K57" si="6">SUM(D55:D56)</f>
        <v>187348</v>
      </c>
      <c r="E57" s="1694">
        <f t="shared" si="6"/>
        <v>11006</v>
      </c>
      <c r="F57" s="1694">
        <f t="shared" si="6"/>
        <v>3407</v>
      </c>
      <c r="G57" s="1694">
        <f t="shared" si="6"/>
        <v>0</v>
      </c>
      <c r="H57" s="1694">
        <f t="shared" si="6"/>
        <v>2007</v>
      </c>
      <c r="I57" s="1694">
        <f t="shared" si="6"/>
        <v>0</v>
      </c>
      <c r="J57" s="1694">
        <f t="shared" si="6"/>
        <v>0</v>
      </c>
      <c r="K57" s="1694">
        <f t="shared" si="6"/>
        <v>962187</v>
      </c>
      <c r="L57" s="1690">
        <f>SUM(L55:L56)</f>
        <v>961900</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1924</v>
      </c>
      <c r="F59" s="480">
        <v>326</v>
      </c>
      <c r="G59" s="480">
        <v>0</v>
      </c>
      <c r="H59" s="480">
        <v>3053</v>
      </c>
      <c r="I59" s="467">
        <v>0</v>
      </c>
      <c r="J59" s="467">
        <v>0</v>
      </c>
      <c r="K59" s="1692">
        <f t="shared" ref="K59:K64" si="7">SUM(C59:J59)</f>
        <v>5303</v>
      </c>
      <c r="L59" s="480">
        <v>8000</v>
      </c>
      <c r="M59" s="608"/>
      <c r="N59" s="608"/>
    </row>
    <row r="60" spans="1:14" s="343" customFormat="1" x14ac:dyDescent="0.2">
      <c r="A60" s="1524" t="s">
        <v>483</v>
      </c>
      <c r="B60" s="613">
        <v>2520</v>
      </c>
      <c r="C60" s="466">
        <v>90003</v>
      </c>
      <c r="D60" s="466">
        <v>17238</v>
      </c>
      <c r="E60" s="466">
        <v>0</v>
      </c>
      <c r="F60" s="466">
        <v>0</v>
      </c>
      <c r="G60" s="466">
        <v>0</v>
      </c>
      <c r="H60" s="466">
        <v>0</v>
      </c>
      <c r="I60" s="467">
        <v>0</v>
      </c>
      <c r="J60" s="467">
        <v>0</v>
      </c>
      <c r="K60" s="1692">
        <f t="shared" si="7"/>
        <v>107241</v>
      </c>
      <c r="L60" s="466">
        <v>103400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311607</v>
      </c>
      <c r="D63" s="466">
        <v>92693</v>
      </c>
      <c r="E63" s="466">
        <v>2103</v>
      </c>
      <c r="F63" s="466">
        <v>400235</v>
      </c>
      <c r="G63" s="466">
        <v>0</v>
      </c>
      <c r="H63" s="466">
        <v>0</v>
      </c>
      <c r="I63" s="467">
        <v>0</v>
      </c>
      <c r="J63" s="467">
        <v>0</v>
      </c>
      <c r="K63" s="1692">
        <f t="shared" si="7"/>
        <v>806638</v>
      </c>
      <c r="L63" s="466">
        <v>844900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401610</v>
      </c>
      <c r="D65" s="1690">
        <f t="shared" ref="D65:L65" si="8">SUM(D59:D64)</f>
        <v>109931</v>
      </c>
      <c r="E65" s="1690">
        <f t="shared" si="8"/>
        <v>4027</v>
      </c>
      <c r="F65" s="1690">
        <f t="shared" si="8"/>
        <v>400561</v>
      </c>
      <c r="G65" s="1690">
        <f t="shared" si="8"/>
        <v>0</v>
      </c>
      <c r="H65" s="1690">
        <f t="shared" si="8"/>
        <v>3053</v>
      </c>
      <c r="I65" s="1690">
        <f t="shared" si="8"/>
        <v>0</v>
      </c>
      <c r="J65" s="1690">
        <f t="shared" si="8"/>
        <v>0</v>
      </c>
      <c r="K65" s="1690">
        <f t="shared" si="8"/>
        <v>919182</v>
      </c>
      <c r="L65" s="1690">
        <f t="shared" si="8"/>
        <v>956300</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7264</v>
      </c>
      <c r="F71" s="466">
        <v>386</v>
      </c>
      <c r="G71" s="466">
        <v>0</v>
      </c>
      <c r="H71" s="466">
        <v>0</v>
      </c>
      <c r="I71" s="467">
        <v>0</v>
      </c>
      <c r="J71" s="467">
        <v>0</v>
      </c>
      <c r="K71" s="1692">
        <f>SUM(C71:J71)</f>
        <v>7650</v>
      </c>
      <c r="L71" s="466">
        <v>9000</v>
      </c>
      <c r="M71" s="608"/>
      <c r="N71" s="608"/>
    </row>
    <row r="72" spans="1:14" s="343" customFormat="1" ht="12.75" customHeight="1" thickBot="1" x14ac:dyDescent="0.25">
      <c r="A72" s="1688" t="s">
        <v>37</v>
      </c>
      <c r="B72" s="1695" t="s">
        <v>36</v>
      </c>
      <c r="C72" s="1690">
        <f>SUM(C67:C71)</f>
        <v>0</v>
      </c>
      <c r="D72" s="1690">
        <f t="shared" ref="D72:K72" si="9">SUM(D67:D71)</f>
        <v>0</v>
      </c>
      <c r="E72" s="1690">
        <f t="shared" si="9"/>
        <v>7264</v>
      </c>
      <c r="F72" s="1690">
        <f t="shared" si="9"/>
        <v>386</v>
      </c>
      <c r="G72" s="1690">
        <f t="shared" si="9"/>
        <v>0</v>
      </c>
      <c r="H72" s="1690">
        <f t="shared" si="9"/>
        <v>0</v>
      </c>
      <c r="I72" s="1690">
        <f t="shared" si="9"/>
        <v>0</v>
      </c>
      <c r="J72" s="1690">
        <f t="shared" si="9"/>
        <v>0</v>
      </c>
      <c r="K72" s="1690">
        <f t="shared" si="9"/>
        <v>7650</v>
      </c>
      <c r="L72" s="1690">
        <f>SUM(L67:L71)</f>
        <v>9000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300</v>
      </c>
      <c r="M73" s="608"/>
      <c r="N73" s="608"/>
    </row>
    <row r="74" spans="1:14" ht="12.75" customHeight="1" thickTop="1" thickBot="1" x14ac:dyDescent="0.25">
      <c r="A74" s="1688" t="s">
        <v>865</v>
      </c>
      <c r="B74" s="1696">
        <v>2000</v>
      </c>
      <c r="C74" s="1697">
        <f>SUM(C42,C47,C53,C57,C65,C72,C73)</f>
        <v>2258086</v>
      </c>
      <c r="D74" s="1697">
        <f t="shared" ref="D74:K74" si="10">SUM(D42,D47,D53,D57,D65,D72,D73)</f>
        <v>555895</v>
      </c>
      <c r="E74" s="1697">
        <f t="shared" si="10"/>
        <v>559372</v>
      </c>
      <c r="F74" s="1697">
        <f t="shared" si="10"/>
        <v>491643</v>
      </c>
      <c r="G74" s="1697">
        <f t="shared" si="10"/>
        <v>5264</v>
      </c>
      <c r="H74" s="1697">
        <f t="shared" si="10"/>
        <v>18912</v>
      </c>
      <c r="I74" s="1697">
        <f t="shared" si="10"/>
        <v>0</v>
      </c>
      <c r="J74" s="1697">
        <f t="shared" si="10"/>
        <v>0</v>
      </c>
      <c r="K74" s="1697">
        <f t="shared" si="10"/>
        <v>3889172</v>
      </c>
      <c r="L74" s="1697">
        <f>SUM(L42,L47,L53,L57,L65,L72,L73)</f>
        <v>3908250</v>
      </c>
    </row>
    <row r="75" spans="1:14" s="259" customFormat="1" ht="15.95" customHeight="1" thickTop="1" thickBot="1" x14ac:dyDescent="0.25">
      <c r="A75" s="1630" t="s">
        <v>49</v>
      </c>
      <c r="B75" s="1631" t="s">
        <v>596</v>
      </c>
      <c r="C75" s="571">
        <v>0</v>
      </c>
      <c r="D75" s="571">
        <v>0</v>
      </c>
      <c r="E75" s="571">
        <v>5318</v>
      </c>
      <c r="F75" s="571">
        <v>1134</v>
      </c>
      <c r="G75" s="571">
        <v>0</v>
      </c>
      <c r="H75" s="571">
        <v>0</v>
      </c>
      <c r="I75" s="529">
        <v>0</v>
      </c>
      <c r="J75" s="529">
        <v>0</v>
      </c>
      <c r="K75" s="1690">
        <f>SUM(C75:J75)</f>
        <v>6452</v>
      </c>
      <c r="L75" s="574">
        <v>14800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6629</v>
      </c>
      <c r="I78" s="476"/>
      <c r="J78" s="476"/>
      <c r="K78" s="1691">
        <f t="shared" ref="K78:K83" si="11">SUM(C78:J78)</f>
        <v>6629</v>
      </c>
      <c r="L78" s="480">
        <v>0</v>
      </c>
    </row>
    <row r="79" spans="1:14" x14ac:dyDescent="0.2">
      <c r="A79" s="1524" t="s">
        <v>322</v>
      </c>
      <c r="B79" s="613">
        <v>4120</v>
      </c>
      <c r="C79" s="615"/>
      <c r="D79" s="615"/>
      <c r="E79" s="466">
        <v>460796</v>
      </c>
      <c r="F79" s="615"/>
      <c r="G79" s="615"/>
      <c r="H79" s="466">
        <v>0</v>
      </c>
      <c r="I79" s="476"/>
      <c r="J79" s="476"/>
      <c r="K79" s="1691">
        <f t="shared" si="11"/>
        <v>460796</v>
      </c>
      <c r="L79" s="466">
        <v>410000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2230</v>
      </c>
      <c r="I81" s="476"/>
      <c r="J81" s="476"/>
      <c r="K81" s="1691">
        <f t="shared" si="11"/>
        <v>2230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460796</v>
      </c>
      <c r="F84" s="615"/>
      <c r="G84" s="615"/>
      <c r="H84" s="1690">
        <f>SUM(H78:H83)</f>
        <v>8859</v>
      </c>
      <c r="I84" s="476"/>
      <c r="J84" s="476"/>
      <c r="K84" s="1690">
        <f>SUM(K78:K83)</f>
        <v>469655</v>
      </c>
      <c r="L84" s="1690">
        <f>SUM(L78:L83)</f>
        <v>410000</v>
      </c>
    </row>
    <row r="85" spans="1:12" ht="12.75" customHeight="1" thickTop="1" thickBot="1" x14ac:dyDescent="0.25">
      <c r="A85" s="1531" t="s">
        <v>273</v>
      </c>
      <c r="B85" s="634">
        <v>4210</v>
      </c>
      <c r="C85" s="615"/>
      <c r="D85" s="615"/>
      <c r="E85" s="635"/>
      <c r="F85" s="615"/>
      <c r="G85" s="615"/>
      <c r="H85" s="533">
        <v>7940</v>
      </c>
      <c r="I85" s="476"/>
      <c r="J85" s="476"/>
      <c r="K85" s="1697">
        <f>H85</f>
        <v>7940</v>
      </c>
      <c r="L85" s="528">
        <v>0</v>
      </c>
    </row>
    <row r="86" spans="1:12" ht="12.75" customHeight="1" thickTop="1" thickBot="1" x14ac:dyDescent="0.25">
      <c r="A86" s="1532" t="s">
        <v>723</v>
      </c>
      <c r="B86" s="636">
        <v>4220</v>
      </c>
      <c r="C86" s="615"/>
      <c r="D86" s="615"/>
      <c r="E86" s="637"/>
      <c r="F86" s="615"/>
      <c r="G86" s="615"/>
      <c r="H86" s="467">
        <v>36483</v>
      </c>
      <c r="I86" s="476"/>
      <c r="J86" s="476"/>
      <c r="K86" s="1697">
        <f t="shared" ref="K86:K98" si="12">H86</f>
        <v>36483</v>
      </c>
      <c r="L86" s="528">
        <v>100000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48650</v>
      </c>
      <c r="I88" s="476"/>
      <c r="J88" s="476"/>
      <c r="K88" s="1697">
        <f t="shared" si="12"/>
        <v>48650</v>
      </c>
      <c r="L88" s="528">
        <v>110000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93073</v>
      </c>
      <c r="I92" s="476"/>
      <c r="J92" s="476"/>
      <c r="K92" s="1697">
        <f t="shared" si="12"/>
        <v>93073</v>
      </c>
      <c r="L92" s="1690">
        <f>SUM(L85:L91)</f>
        <v>210000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460796</v>
      </c>
      <c r="F102" s="615"/>
      <c r="G102" s="615"/>
      <c r="H102" s="1697">
        <f>SUM(H84,H92,H100,H101)</f>
        <v>101932</v>
      </c>
      <c r="I102" s="476"/>
      <c r="J102" s="476"/>
      <c r="K102" s="1697">
        <f>SUM(K84,K92,K100,K101)</f>
        <v>562728</v>
      </c>
      <c r="L102" s="1697">
        <f>SUM(L84,L92,L100,L101)</f>
        <v>620000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8933737</v>
      </c>
      <c r="D114" s="1690">
        <f t="shared" ref="D114:K114" si="13">SUM(D33,D74,D75,D102,D112,D113)</f>
        <v>2498224</v>
      </c>
      <c r="E114" s="1690">
        <f t="shared" si="13"/>
        <v>1327136</v>
      </c>
      <c r="F114" s="1690">
        <f t="shared" si="13"/>
        <v>880416</v>
      </c>
      <c r="G114" s="1690">
        <f t="shared" si="13"/>
        <v>94942</v>
      </c>
      <c r="H114" s="1690">
        <f>SUM(H33,H74,H75,H102,H112,H113)</f>
        <v>617455</v>
      </c>
      <c r="I114" s="1690">
        <f t="shared" si="13"/>
        <v>0</v>
      </c>
      <c r="J114" s="1690">
        <f t="shared" si="13"/>
        <v>0</v>
      </c>
      <c r="K114" s="1690">
        <f t="shared" si="13"/>
        <v>14351910</v>
      </c>
      <c r="L114" s="1690">
        <f>SUM(L33,L74,L75,L102,L112,L113)</f>
        <v>14360816</v>
      </c>
    </row>
    <row r="115" spans="1:14" ht="13.5" thickTop="1" x14ac:dyDescent="0.2">
      <c r="A115" s="2266" t="s">
        <v>1053</v>
      </c>
      <c r="B115" s="2267"/>
      <c r="C115" s="617"/>
      <c r="D115" s="617"/>
      <c r="E115" s="617"/>
      <c r="F115" s="617"/>
      <c r="G115" s="617"/>
      <c r="H115" s="617"/>
      <c r="I115" s="617"/>
      <c r="J115" s="617"/>
      <c r="K115" s="1704">
        <f>'Revenues 9-14'!C275-'Expenditures 15-22'!K114</f>
        <v>140675</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71" t="s">
        <v>314</v>
      </c>
      <c r="B117" s="2272"/>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24821</v>
      </c>
      <c r="D123" s="466">
        <v>0</v>
      </c>
      <c r="E123" s="466">
        <v>274978</v>
      </c>
      <c r="F123" s="466">
        <v>49972</v>
      </c>
      <c r="G123" s="466">
        <v>0</v>
      </c>
      <c r="H123" s="466">
        <v>0</v>
      </c>
      <c r="I123" s="467">
        <v>0</v>
      </c>
      <c r="J123" s="467">
        <v>0</v>
      </c>
      <c r="K123" s="1690">
        <f>SUM(C123:J123)</f>
        <v>349771</v>
      </c>
      <c r="L123" s="466">
        <v>347000</v>
      </c>
    </row>
    <row r="124" spans="1:14" ht="14.25" thickTop="1" thickBot="1" x14ac:dyDescent="0.25">
      <c r="A124" s="1524" t="s">
        <v>206</v>
      </c>
      <c r="B124" s="613">
        <v>2540</v>
      </c>
      <c r="C124" s="466">
        <v>641925</v>
      </c>
      <c r="D124" s="466">
        <v>138024</v>
      </c>
      <c r="E124" s="466">
        <v>218646</v>
      </c>
      <c r="F124" s="466">
        <v>624145</v>
      </c>
      <c r="G124" s="466">
        <v>1153752</v>
      </c>
      <c r="H124" s="466">
        <v>0</v>
      </c>
      <c r="I124" s="467">
        <v>0</v>
      </c>
      <c r="J124" s="467">
        <v>0</v>
      </c>
      <c r="K124" s="1690">
        <f>SUM(C124:J124)</f>
        <v>2776492</v>
      </c>
      <c r="L124" s="466">
        <v>6261767</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666746</v>
      </c>
      <c r="D127" s="1690">
        <f t="shared" ref="D127:L127" si="14">SUM(D122:D126)</f>
        <v>138024</v>
      </c>
      <c r="E127" s="1690">
        <f t="shared" si="14"/>
        <v>493624</v>
      </c>
      <c r="F127" s="1690">
        <f t="shared" si="14"/>
        <v>674117</v>
      </c>
      <c r="G127" s="1690">
        <f t="shared" si="14"/>
        <v>1153752</v>
      </c>
      <c r="H127" s="1690">
        <f t="shared" si="14"/>
        <v>0</v>
      </c>
      <c r="I127" s="1690">
        <f t="shared" si="14"/>
        <v>0</v>
      </c>
      <c r="J127" s="1690">
        <f t="shared" si="14"/>
        <v>0</v>
      </c>
      <c r="K127" s="1690">
        <f t="shared" si="14"/>
        <v>3126263</v>
      </c>
      <c r="L127" s="1690">
        <f t="shared" si="14"/>
        <v>6608767</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666746</v>
      </c>
      <c r="D129" s="1697">
        <f t="shared" ref="D129:L129" si="15">SUM(D120,D127,D128)</f>
        <v>138024</v>
      </c>
      <c r="E129" s="1697">
        <f t="shared" si="15"/>
        <v>493624</v>
      </c>
      <c r="F129" s="1697">
        <f t="shared" si="15"/>
        <v>674117</v>
      </c>
      <c r="G129" s="1697">
        <f t="shared" si="15"/>
        <v>1153752</v>
      </c>
      <c r="H129" s="1697">
        <f t="shared" si="15"/>
        <v>0</v>
      </c>
      <c r="I129" s="1697">
        <f t="shared" si="15"/>
        <v>0</v>
      </c>
      <c r="J129" s="1697">
        <f t="shared" si="15"/>
        <v>0</v>
      </c>
      <c r="K129" s="1697">
        <f t="shared" si="15"/>
        <v>3126263</v>
      </c>
      <c r="L129" s="1697">
        <f t="shared" si="15"/>
        <v>6608767</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1953</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283" t="s">
        <v>641</v>
      </c>
      <c r="B151" s="2263"/>
      <c r="C151" s="1690">
        <f>SUM(C129,C130,C139,C149,C150)</f>
        <v>666746</v>
      </c>
      <c r="D151" s="1690">
        <f t="shared" ref="D151:K151" si="16">SUM(D129,D130,D139,D149,D150)</f>
        <v>138024</v>
      </c>
      <c r="E151" s="1690">
        <f t="shared" si="16"/>
        <v>493624</v>
      </c>
      <c r="F151" s="1690">
        <f t="shared" si="16"/>
        <v>674117</v>
      </c>
      <c r="G151" s="1690">
        <f t="shared" si="16"/>
        <v>1153752</v>
      </c>
      <c r="H151" s="1690">
        <f t="shared" si="16"/>
        <v>0</v>
      </c>
      <c r="I151" s="1690">
        <f t="shared" si="16"/>
        <v>0</v>
      </c>
      <c r="J151" s="1690">
        <f t="shared" si="16"/>
        <v>0</v>
      </c>
      <c r="K151" s="1690">
        <f t="shared" si="16"/>
        <v>3126263</v>
      </c>
      <c r="L151" s="1690">
        <f>SUM(L129,L130,L139,L149,L150)</f>
        <v>6608767</v>
      </c>
    </row>
    <row r="152" spans="1:14" ht="12.75" customHeight="1" thickTop="1" x14ac:dyDescent="0.2">
      <c r="A152" s="2286" t="s">
        <v>1240</v>
      </c>
      <c r="B152" s="2287"/>
      <c r="C152" s="617"/>
      <c r="D152" s="617"/>
      <c r="E152" s="617"/>
      <c r="F152" s="617"/>
      <c r="G152" s="617"/>
      <c r="H152" s="617"/>
      <c r="I152" s="617"/>
      <c r="J152" s="615"/>
      <c r="K152" s="1704">
        <f>'Revenues 9-14'!D275-'Expenditures 15-22'!K151</f>
        <v>-1303431</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71" t="s">
        <v>642</v>
      </c>
      <c r="B154" s="2273"/>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1954</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1953</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1955</v>
      </c>
      <c r="C158" s="615"/>
      <c r="D158" s="615"/>
      <c r="E158" s="615"/>
      <c r="F158" s="615"/>
      <c r="G158" s="615"/>
      <c r="H158" s="467">
        <v>0</v>
      </c>
      <c r="I158" s="615"/>
      <c r="J158" s="615"/>
      <c r="K158" s="1691">
        <f>H158</f>
        <v>0</v>
      </c>
      <c r="L158" s="467">
        <v>0</v>
      </c>
      <c r="M158" s="618"/>
      <c r="N158" s="618"/>
    </row>
    <row r="159" spans="1:14" s="619" customFormat="1" ht="12" x14ac:dyDescent="0.2">
      <c r="A159" s="1847" t="s">
        <v>1956</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1957</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3206000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3206000</v>
      </c>
    </row>
    <row r="169" spans="1:14" ht="15.95" customHeight="1" thickTop="1" x14ac:dyDescent="0.2">
      <c r="A169" s="668" t="s">
        <v>85</v>
      </c>
      <c r="B169" s="669" t="s">
        <v>38</v>
      </c>
      <c r="C169" s="615"/>
      <c r="D169" s="615"/>
      <c r="E169" s="615"/>
      <c r="F169" s="615"/>
      <c r="G169" s="615"/>
      <c r="H169" s="655">
        <v>363769</v>
      </c>
      <c r="I169" s="615"/>
      <c r="J169" s="615"/>
      <c r="K169" s="1691">
        <f>SUM(C169:H169)</f>
        <v>363769</v>
      </c>
      <c r="L169" s="655">
        <v>0</v>
      </c>
    </row>
    <row r="170" spans="1:14" ht="33.950000000000003" customHeight="1" x14ac:dyDescent="0.2">
      <c r="A170" s="668" t="s">
        <v>1769</v>
      </c>
      <c r="B170" s="670" t="s">
        <v>31</v>
      </c>
      <c r="C170" s="615"/>
      <c r="D170" s="615"/>
      <c r="E170" s="615"/>
      <c r="F170" s="615"/>
      <c r="G170" s="615"/>
      <c r="H170" s="567">
        <v>2840000</v>
      </c>
      <c r="I170" s="615"/>
      <c r="J170" s="615"/>
      <c r="K170" s="1691">
        <f>SUM(C170:J170)</f>
        <v>2840000</v>
      </c>
      <c r="L170" s="567">
        <v>0</v>
      </c>
    </row>
    <row r="171" spans="1:14" ht="15.95" customHeight="1" x14ac:dyDescent="0.2">
      <c r="A171" s="620" t="s">
        <v>790</v>
      </c>
      <c r="B171" s="671" t="s">
        <v>86</v>
      </c>
      <c r="C171" s="615"/>
      <c r="D171" s="615"/>
      <c r="E171" s="466">
        <v>0</v>
      </c>
      <c r="F171" s="615"/>
      <c r="G171" s="615"/>
      <c r="H171" s="567">
        <v>2000</v>
      </c>
      <c r="I171" s="476"/>
      <c r="J171" s="615"/>
      <c r="K171" s="1691">
        <f>SUM(C171:J171)</f>
        <v>2000</v>
      </c>
      <c r="L171" s="567">
        <v>0</v>
      </c>
    </row>
    <row r="172" spans="1:14" ht="12.75" customHeight="1" thickBot="1" x14ac:dyDescent="0.25">
      <c r="A172" s="1688" t="s">
        <v>659</v>
      </c>
      <c r="B172" s="1689" t="s">
        <v>513</v>
      </c>
      <c r="C172" s="615"/>
      <c r="D172" s="615"/>
      <c r="E172" s="1697">
        <f>SUM(E168,E169,E170,E171)</f>
        <v>0</v>
      </c>
      <c r="F172" s="615"/>
      <c r="G172" s="615"/>
      <c r="H172" s="1697">
        <f>SUM(H168,H169,H170,H171)</f>
        <v>3205769</v>
      </c>
      <c r="I172" s="637"/>
      <c r="J172" s="615"/>
      <c r="K172" s="1697">
        <f>SUM(K168,K169,K170,K171)</f>
        <v>3205769</v>
      </c>
      <c r="L172" s="1697">
        <f>SUM(L168,L169,L170,L171)</f>
        <v>3206000</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3205769</v>
      </c>
      <c r="I174" s="637"/>
      <c r="J174" s="615"/>
      <c r="K174" s="1697">
        <f>SUM(K160,K172,K173)</f>
        <v>3205769</v>
      </c>
      <c r="L174" s="1697">
        <f>SUM(L160,L172,L173)</f>
        <v>3206000</v>
      </c>
    </row>
    <row r="175" spans="1:14" ht="13.5" thickTop="1" x14ac:dyDescent="0.2">
      <c r="A175" s="2266" t="s">
        <v>1053</v>
      </c>
      <c r="B175" s="2267"/>
      <c r="C175" s="615"/>
      <c r="D175" s="615"/>
      <c r="E175" s="615"/>
      <c r="F175" s="615"/>
      <c r="G175" s="615"/>
      <c r="H175" s="617"/>
      <c r="I175" s="615"/>
      <c r="J175" s="615"/>
      <c r="K175" s="1704">
        <f>'Revenues 9-14'!E275-'Expenditures 15-22'!K174</f>
        <v>-258037</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865947</v>
      </c>
      <c r="D182" s="467">
        <v>241681</v>
      </c>
      <c r="E182" s="467">
        <v>207320</v>
      </c>
      <c r="F182" s="467">
        <v>268035</v>
      </c>
      <c r="G182" s="467">
        <v>35041</v>
      </c>
      <c r="H182" s="466">
        <v>0</v>
      </c>
      <c r="I182" s="467">
        <v>0</v>
      </c>
      <c r="J182" s="467">
        <v>0</v>
      </c>
      <c r="K182" s="1691">
        <f>SUM(C182:J182)</f>
        <v>1618024</v>
      </c>
      <c r="L182" s="466">
        <v>1605400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865947</v>
      </c>
      <c r="D184" s="1697">
        <f t="shared" ref="D184:J184" si="17">SUM(D180,D182,D183)</f>
        <v>241681</v>
      </c>
      <c r="E184" s="1697">
        <f t="shared" si="17"/>
        <v>207320</v>
      </c>
      <c r="F184" s="1697">
        <f t="shared" si="17"/>
        <v>268035</v>
      </c>
      <c r="G184" s="1697">
        <f t="shared" si="17"/>
        <v>35041</v>
      </c>
      <c r="H184" s="1697">
        <f t="shared" si="17"/>
        <v>0</v>
      </c>
      <c r="I184" s="1697">
        <f t="shared" si="17"/>
        <v>0</v>
      </c>
      <c r="J184" s="1697">
        <f t="shared" si="17"/>
        <v>0</v>
      </c>
      <c r="K184" s="1697">
        <f>SUM(K180,K182,K183)</f>
        <v>1618024</v>
      </c>
      <c r="L184" s="1697">
        <f>SUM(L180, L182:L183)</f>
        <v>1605400</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9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865947</v>
      </c>
      <c r="D210" s="1690">
        <f>SUM(D184,D185)</f>
        <v>241681</v>
      </c>
      <c r="E210" s="1690">
        <f>SUM(E184,E185,E196)</f>
        <v>207320</v>
      </c>
      <c r="F210" s="1690">
        <f>SUM(F184,F185)</f>
        <v>268035</v>
      </c>
      <c r="G210" s="1690">
        <f>SUM(G184,G185)</f>
        <v>35041</v>
      </c>
      <c r="H210" s="1690">
        <f>SUM(H184,H185,H196,H208,H209)</f>
        <v>0</v>
      </c>
      <c r="I210" s="1690">
        <f>SUM(I184,I185)</f>
        <v>0</v>
      </c>
      <c r="J210" s="1690">
        <f>SUM(J184,J185)</f>
        <v>0</v>
      </c>
      <c r="K210" s="1691">
        <f>SUM(K184,K185,K196,K208,K209)</f>
        <v>1618024</v>
      </c>
      <c r="L210" s="1690">
        <f>SUM(L184,L185,L196,L208,L209)</f>
        <v>1605400</v>
      </c>
    </row>
    <row r="211" spans="1:14" ht="13.5" thickTop="1" x14ac:dyDescent="0.2">
      <c r="A211" s="2266" t="s">
        <v>1053</v>
      </c>
      <c r="B211" s="2267"/>
      <c r="C211" s="617"/>
      <c r="D211" s="617"/>
      <c r="E211" s="617"/>
      <c r="F211" s="617"/>
      <c r="G211" s="617"/>
      <c r="H211" s="617"/>
      <c r="I211" s="615"/>
      <c r="J211" s="615"/>
      <c r="K211" s="1704">
        <f>'Revenues 9-14'!F275-'Expenditures 15-22'!K210</f>
        <v>258870</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88" t="s">
        <v>1022</v>
      </c>
      <c r="B213" s="2289"/>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88411</v>
      </c>
      <c r="E215" s="615"/>
      <c r="F215" s="615"/>
      <c r="G215" s="615"/>
      <c r="H215" s="615"/>
      <c r="I215" s="615"/>
      <c r="J215" s="615"/>
      <c r="K215" s="1691">
        <f>D215</f>
        <v>88411</v>
      </c>
      <c r="L215" s="466">
        <v>62610</v>
      </c>
    </row>
    <row r="216" spans="1:14" x14ac:dyDescent="0.2">
      <c r="A216" s="1524" t="s">
        <v>165</v>
      </c>
      <c r="B216" s="613" t="s">
        <v>1024</v>
      </c>
      <c r="C216" s="615"/>
      <c r="D216" s="467">
        <v>0</v>
      </c>
      <c r="E216" s="615"/>
      <c r="F216" s="615"/>
      <c r="G216" s="615"/>
      <c r="H216" s="615"/>
      <c r="I216" s="615"/>
      <c r="J216" s="615"/>
      <c r="K216" s="1691">
        <f t="shared" ref="K216:K228" si="19">D216</f>
        <v>0</v>
      </c>
      <c r="L216" s="466">
        <v>25950</v>
      </c>
    </row>
    <row r="217" spans="1:14" x14ac:dyDescent="0.2">
      <c r="A217" s="1524" t="s">
        <v>166</v>
      </c>
      <c r="B217" s="613">
        <v>1200</v>
      </c>
      <c r="C217" s="615"/>
      <c r="D217" s="466">
        <v>97871</v>
      </c>
      <c r="E217" s="615"/>
      <c r="F217" s="615"/>
      <c r="G217" s="615"/>
      <c r="H217" s="615"/>
      <c r="I217" s="615"/>
      <c r="J217" s="615"/>
      <c r="K217" s="1691">
        <f t="shared" si="19"/>
        <v>97871</v>
      </c>
      <c r="L217" s="466">
        <v>98710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26381</v>
      </c>
      <c r="E219" s="615"/>
      <c r="F219" s="615"/>
      <c r="G219" s="615"/>
      <c r="H219" s="615"/>
      <c r="I219" s="615"/>
      <c r="J219" s="615"/>
      <c r="K219" s="1691">
        <f t="shared" si="19"/>
        <v>26381</v>
      </c>
      <c r="L219" s="466">
        <v>26400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3923</v>
      </c>
      <c r="E222" s="615"/>
      <c r="F222" s="615"/>
      <c r="G222" s="615"/>
      <c r="H222" s="615"/>
      <c r="I222" s="615"/>
      <c r="J222" s="615"/>
      <c r="K222" s="1691">
        <f t="shared" si="19"/>
        <v>3923</v>
      </c>
      <c r="L222" s="466">
        <v>4000</v>
      </c>
    </row>
    <row r="223" spans="1:14" x14ac:dyDescent="0.2">
      <c r="A223" s="1524" t="s">
        <v>1020</v>
      </c>
      <c r="B223" s="613">
        <v>1500</v>
      </c>
      <c r="C223" s="615"/>
      <c r="D223" s="466">
        <v>11026</v>
      </c>
      <c r="E223" s="615"/>
      <c r="F223" s="615"/>
      <c r="G223" s="615"/>
      <c r="H223" s="615"/>
      <c r="I223" s="615"/>
      <c r="J223" s="615"/>
      <c r="K223" s="1691">
        <f t="shared" si="19"/>
        <v>11026</v>
      </c>
      <c r="L223" s="466">
        <v>12500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442</v>
      </c>
      <c r="E226" s="615"/>
      <c r="F226" s="615"/>
      <c r="G226" s="615"/>
      <c r="H226" s="615"/>
      <c r="I226" s="615"/>
      <c r="J226" s="615"/>
      <c r="K226" s="1691">
        <f t="shared" si="19"/>
        <v>442</v>
      </c>
      <c r="L226" s="466">
        <v>400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228054</v>
      </c>
      <c r="E229" s="615"/>
      <c r="F229" s="615"/>
      <c r="G229" s="615"/>
      <c r="H229" s="615"/>
      <c r="I229" s="615"/>
      <c r="J229" s="615"/>
      <c r="K229" s="1690">
        <f>SUM(K215:K228)</f>
        <v>228054</v>
      </c>
      <c r="L229" s="1690">
        <f>SUM(L215:L228)</f>
        <v>230570</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1740</v>
      </c>
      <c r="E233" s="615"/>
      <c r="F233" s="615"/>
      <c r="G233" s="615"/>
      <c r="H233" s="615"/>
      <c r="I233" s="615"/>
      <c r="J233" s="615"/>
      <c r="K233" s="1691">
        <f t="shared" si="20"/>
        <v>1740</v>
      </c>
      <c r="L233" s="466">
        <v>1700</v>
      </c>
    </row>
    <row r="234" spans="1:12" x14ac:dyDescent="0.2">
      <c r="A234" s="1524" t="s">
        <v>207</v>
      </c>
      <c r="B234" s="613">
        <v>2130</v>
      </c>
      <c r="C234" s="615"/>
      <c r="D234" s="466">
        <v>15551</v>
      </c>
      <c r="E234" s="615"/>
      <c r="F234" s="615"/>
      <c r="G234" s="615"/>
      <c r="H234" s="615"/>
      <c r="I234" s="615"/>
      <c r="J234" s="615"/>
      <c r="K234" s="1691">
        <f t="shared" si="20"/>
        <v>15551</v>
      </c>
      <c r="L234" s="466">
        <v>15900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2124</v>
      </c>
      <c r="E236" s="615"/>
      <c r="F236" s="615"/>
      <c r="G236" s="615"/>
      <c r="H236" s="615"/>
      <c r="I236" s="615"/>
      <c r="J236" s="615"/>
      <c r="K236" s="1691">
        <f t="shared" si="20"/>
        <v>2124</v>
      </c>
      <c r="L236" s="466">
        <v>2200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19415</v>
      </c>
      <c r="E238" s="615"/>
      <c r="F238" s="615"/>
      <c r="G238" s="615"/>
      <c r="H238" s="615"/>
      <c r="I238" s="615"/>
      <c r="J238" s="615"/>
      <c r="K238" s="1690">
        <f>SUM(K232:K237)</f>
        <v>19415</v>
      </c>
      <c r="L238" s="1690">
        <f>SUM(L232:L237)</f>
        <v>19800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8787</v>
      </c>
      <c r="E240" s="615"/>
      <c r="F240" s="615"/>
      <c r="G240" s="615"/>
      <c r="H240" s="615"/>
      <c r="I240" s="615"/>
      <c r="J240" s="615"/>
      <c r="K240" s="1692">
        <f>D240</f>
        <v>8787</v>
      </c>
      <c r="L240" s="480">
        <v>9015</v>
      </c>
    </row>
    <row r="241" spans="1:12" x14ac:dyDescent="0.2">
      <c r="A241" s="1524" t="s">
        <v>869</v>
      </c>
      <c r="B241" s="613">
        <v>2220</v>
      </c>
      <c r="C241" s="615"/>
      <c r="D241" s="466">
        <v>41833</v>
      </c>
      <c r="E241" s="615"/>
      <c r="F241" s="615"/>
      <c r="G241" s="615"/>
      <c r="H241" s="615"/>
      <c r="I241" s="615"/>
      <c r="J241" s="615"/>
      <c r="K241" s="1692">
        <f>D241</f>
        <v>41833</v>
      </c>
      <c r="L241" s="466">
        <v>40900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50620</v>
      </c>
      <c r="E243" s="615"/>
      <c r="F243" s="615"/>
      <c r="G243" s="615"/>
      <c r="H243" s="615"/>
      <c r="I243" s="615"/>
      <c r="J243" s="615"/>
      <c r="K243" s="1690">
        <f>SUM(K240:K242)</f>
        <v>50620</v>
      </c>
      <c r="L243" s="1690">
        <f>SUM(L240:L242)</f>
        <v>49915</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13414</v>
      </c>
      <c r="E246" s="615"/>
      <c r="F246" s="615"/>
      <c r="G246" s="615"/>
      <c r="H246" s="615"/>
      <c r="I246" s="615"/>
      <c r="J246" s="615"/>
      <c r="K246" s="1692">
        <f t="shared" ref="K246:K256" si="21">D246</f>
        <v>13414</v>
      </c>
      <c r="L246" s="466">
        <v>13250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1904</v>
      </c>
      <c r="B249" s="682" t="s">
        <v>300</v>
      </c>
      <c r="C249" s="615"/>
      <c r="D249" s="474">
        <v>0</v>
      </c>
      <c r="E249" s="615"/>
      <c r="F249" s="615"/>
      <c r="G249" s="615"/>
      <c r="H249" s="615"/>
      <c r="I249" s="615"/>
      <c r="J249" s="615"/>
      <c r="K249" s="1692">
        <f t="shared" si="21"/>
        <v>0</v>
      </c>
      <c r="L249" s="466">
        <v>0</v>
      </c>
    </row>
    <row r="250" spans="1:12" x14ac:dyDescent="0.2">
      <c r="A250" s="1525" t="s">
        <v>1905</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34861</v>
      </c>
      <c r="E252" s="615"/>
      <c r="F252" s="615"/>
      <c r="G252" s="615"/>
      <c r="H252" s="615"/>
      <c r="I252" s="615"/>
      <c r="J252" s="615"/>
      <c r="K252" s="1692">
        <f t="shared" si="21"/>
        <v>34861</v>
      </c>
      <c r="L252" s="466">
        <v>34600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48275</v>
      </c>
      <c r="E257" s="615"/>
      <c r="F257" s="615"/>
      <c r="G257" s="615"/>
      <c r="H257" s="615"/>
      <c r="I257" s="615"/>
      <c r="J257" s="615"/>
      <c r="K257" s="1690">
        <f>SUM(K245:K256)</f>
        <v>48275</v>
      </c>
      <c r="L257" s="1690">
        <f>SUM(L245:L256)</f>
        <v>47850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53439</v>
      </c>
      <c r="E259" s="615"/>
      <c r="F259" s="615"/>
      <c r="G259" s="615"/>
      <c r="H259" s="615"/>
      <c r="I259" s="615"/>
      <c r="J259" s="615"/>
      <c r="K259" s="1692">
        <f>D259</f>
        <v>53439</v>
      </c>
      <c r="L259" s="480">
        <v>53625</v>
      </c>
    </row>
    <row r="260" spans="1:14" s="596" customFormat="1" x14ac:dyDescent="0.2">
      <c r="A260" s="1542" t="s">
        <v>1903</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53439</v>
      </c>
      <c r="E261" s="615"/>
      <c r="F261" s="615"/>
      <c r="G261" s="615"/>
      <c r="H261" s="615"/>
      <c r="I261" s="615"/>
      <c r="J261" s="615"/>
      <c r="K261" s="1690">
        <f>SUM(K259:K260)</f>
        <v>53439</v>
      </c>
      <c r="L261" s="1690">
        <f>SUM(L259:L260)</f>
        <v>53625</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16832</v>
      </c>
      <c r="E264" s="615"/>
      <c r="F264" s="615"/>
      <c r="G264" s="615"/>
      <c r="H264" s="615"/>
      <c r="I264" s="615"/>
      <c r="J264" s="615"/>
      <c r="K264" s="1692">
        <f t="shared" ref="K264:K269" si="22">D264</f>
        <v>16832</v>
      </c>
      <c r="L264" s="466">
        <v>16450</v>
      </c>
    </row>
    <row r="265" spans="1:14" x14ac:dyDescent="0.2">
      <c r="A265" s="1524" t="s">
        <v>4</v>
      </c>
      <c r="B265" s="613">
        <v>2530</v>
      </c>
      <c r="C265" s="615"/>
      <c r="D265" s="466">
        <v>4552</v>
      </c>
      <c r="E265" s="615"/>
      <c r="F265" s="615"/>
      <c r="G265" s="615"/>
      <c r="H265" s="615"/>
      <c r="I265" s="615"/>
      <c r="J265" s="615"/>
      <c r="K265" s="1692">
        <f t="shared" si="22"/>
        <v>4552</v>
      </c>
      <c r="L265" s="466">
        <v>4100</v>
      </c>
    </row>
    <row r="266" spans="1:14" x14ac:dyDescent="0.2">
      <c r="A266" s="1524" t="s">
        <v>206</v>
      </c>
      <c r="B266" s="613">
        <v>2540</v>
      </c>
      <c r="C266" s="615"/>
      <c r="D266" s="466">
        <v>106217</v>
      </c>
      <c r="E266" s="615"/>
      <c r="F266" s="615"/>
      <c r="G266" s="615"/>
      <c r="H266" s="615"/>
      <c r="I266" s="615"/>
      <c r="J266" s="615"/>
      <c r="K266" s="1692">
        <f t="shared" si="22"/>
        <v>106217</v>
      </c>
      <c r="L266" s="466">
        <v>105400</v>
      </c>
    </row>
    <row r="267" spans="1:14" x14ac:dyDescent="0.2">
      <c r="A267" s="1524" t="s">
        <v>1010</v>
      </c>
      <c r="B267" s="613">
        <v>2550</v>
      </c>
      <c r="C267" s="615"/>
      <c r="D267" s="466">
        <v>149739</v>
      </c>
      <c r="E267" s="615"/>
      <c r="F267" s="615"/>
      <c r="G267" s="615"/>
      <c r="H267" s="615"/>
      <c r="I267" s="615"/>
      <c r="J267" s="615"/>
      <c r="K267" s="1692">
        <f t="shared" si="22"/>
        <v>149739</v>
      </c>
      <c r="L267" s="466">
        <v>158400</v>
      </c>
    </row>
    <row r="268" spans="1:14" x14ac:dyDescent="0.2">
      <c r="A268" s="1524" t="s">
        <v>102</v>
      </c>
      <c r="B268" s="613">
        <v>2560</v>
      </c>
      <c r="C268" s="615"/>
      <c r="D268" s="466">
        <v>51678</v>
      </c>
      <c r="E268" s="615"/>
      <c r="F268" s="615"/>
      <c r="G268" s="615"/>
      <c r="H268" s="615"/>
      <c r="I268" s="615"/>
      <c r="J268" s="615"/>
      <c r="K268" s="1692">
        <f t="shared" si="22"/>
        <v>51678</v>
      </c>
      <c r="L268" s="466">
        <v>52600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329018</v>
      </c>
      <c r="E270" s="615"/>
      <c r="F270" s="615"/>
      <c r="G270" s="615"/>
      <c r="H270" s="615"/>
      <c r="I270" s="615"/>
      <c r="J270" s="615"/>
      <c r="K270" s="1690">
        <f>SUM(K263:K269)</f>
        <v>329018</v>
      </c>
      <c r="L270" s="1690">
        <f>SUM(L263:L269)</f>
        <v>336950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500767</v>
      </c>
      <c r="E279" s="615"/>
      <c r="F279" s="615"/>
      <c r="G279" s="615"/>
      <c r="H279" s="615"/>
      <c r="I279" s="615"/>
      <c r="J279" s="615"/>
      <c r="K279" s="1697">
        <f>SUM(K238,K243,K257,K261,K270,K277,K278)</f>
        <v>500767</v>
      </c>
      <c r="L279" s="1697">
        <f>SUM(L238,L243,L257,L261,L270,L277,L278)</f>
        <v>508140</v>
      </c>
    </row>
    <row r="280" spans="1:12" ht="15.9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1953</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284" t="s">
        <v>526</v>
      </c>
      <c r="B295" s="2285"/>
      <c r="C295" s="615"/>
      <c r="D295" s="1690">
        <f>SUM(D229,D279,D280,D285)</f>
        <v>728821</v>
      </c>
      <c r="E295" s="615"/>
      <c r="F295" s="615"/>
      <c r="G295" s="615"/>
      <c r="H295" s="1690">
        <f>H293</f>
        <v>0</v>
      </c>
      <c r="I295" s="615"/>
      <c r="J295" s="615"/>
      <c r="K295" s="1690">
        <f>SUM(K229,K279,K280,K285,K293,K294)</f>
        <v>728821</v>
      </c>
      <c r="L295" s="1690">
        <f>SUM(L229,L279,L280,L285,L293,L294)</f>
        <v>738710</v>
      </c>
    </row>
    <row r="296" spans="1:14" ht="13.5" thickTop="1" x14ac:dyDescent="0.2">
      <c r="A296" s="2266" t="s">
        <v>1053</v>
      </c>
      <c r="B296" s="2267"/>
      <c r="C296" s="615"/>
      <c r="D296" s="617"/>
      <c r="E296" s="615"/>
      <c r="F296" s="615"/>
      <c r="G296" s="615"/>
      <c r="H296" s="686"/>
      <c r="I296" s="615"/>
      <c r="J296" s="615"/>
      <c r="K296" s="1704">
        <f>'Revenues 9-14'!G275-'Expenditures 15-22'!K295</f>
        <v>115108</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76" t="s">
        <v>145</v>
      </c>
      <c r="B298" s="2270"/>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3661718</v>
      </c>
      <c r="H301" s="466">
        <v>0</v>
      </c>
      <c r="I301" s="467">
        <v>0</v>
      </c>
      <c r="J301" s="467">
        <v>0</v>
      </c>
      <c r="K301" s="1691">
        <f>SUM(C301:J301)</f>
        <v>3661718</v>
      </c>
      <c r="L301" s="467">
        <v>180000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3661718</v>
      </c>
      <c r="H303" s="1697">
        <f t="shared" si="23"/>
        <v>0</v>
      </c>
      <c r="I303" s="1697">
        <f t="shared" si="23"/>
        <v>0</v>
      </c>
      <c r="J303" s="1697">
        <f t="shared" si="23"/>
        <v>0</v>
      </c>
      <c r="K303" s="1697">
        <f t="shared" si="23"/>
        <v>3661718</v>
      </c>
      <c r="L303" s="1697">
        <f t="shared" si="23"/>
        <v>180000</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1958</v>
      </c>
      <c r="B306" s="689" t="s">
        <v>1953</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281" t="s">
        <v>295</v>
      </c>
      <c r="B312" s="2282"/>
      <c r="C312" s="1690">
        <f>SUM(C303)</f>
        <v>0</v>
      </c>
      <c r="D312" s="1690">
        <f>SUM(D303)</f>
        <v>0</v>
      </c>
      <c r="E312" s="1690">
        <f>SUM(E303,E310)</f>
        <v>0</v>
      </c>
      <c r="F312" s="1690">
        <f>SUM(F303)</f>
        <v>0</v>
      </c>
      <c r="G312" s="1690">
        <f>SUM(G303)</f>
        <v>3661718</v>
      </c>
      <c r="H312" s="1690">
        <f>SUM(H303,H310)</f>
        <v>0</v>
      </c>
      <c r="I312" s="1690">
        <f>SUM(I303)</f>
        <v>0</v>
      </c>
      <c r="J312" s="1690">
        <f>SUM(J303)</f>
        <v>0</v>
      </c>
      <c r="K312" s="1690">
        <f>SUM(K303,K310,K311)</f>
        <v>3661718</v>
      </c>
      <c r="L312" s="1690">
        <f>SUM(L303,L310,L311)</f>
        <v>180000</v>
      </c>
      <c r="M312" s="664"/>
      <c r="N312" s="664"/>
    </row>
    <row r="313" spans="1:14" ht="13.5" thickTop="1" x14ac:dyDescent="0.2">
      <c r="A313" s="2277" t="s">
        <v>1053</v>
      </c>
      <c r="B313" s="2278"/>
      <c r="C313" s="625"/>
      <c r="D313" s="625"/>
      <c r="E313" s="625"/>
      <c r="F313" s="625"/>
      <c r="G313" s="625"/>
      <c r="H313" s="625"/>
      <c r="I313" s="625"/>
      <c r="J313" s="625"/>
      <c r="K313" s="1705">
        <f>'Revenues 9-14'!H275-'Expenditures 15-22'!K312</f>
        <v>-3439412</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90" t="s">
        <v>151</v>
      </c>
      <c r="B315" s="2291"/>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92" t="s">
        <v>954</v>
      </c>
      <c r="B317" s="2291"/>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1904</v>
      </c>
      <c r="B320" s="697" t="s">
        <v>300</v>
      </c>
      <c r="C320" s="467">
        <v>0</v>
      </c>
      <c r="D320" s="467">
        <v>0</v>
      </c>
      <c r="E320" s="467">
        <v>337721</v>
      </c>
      <c r="F320" s="467">
        <v>0</v>
      </c>
      <c r="G320" s="467">
        <v>0</v>
      </c>
      <c r="H320" s="467">
        <v>0</v>
      </c>
      <c r="I320" s="467">
        <v>0</v>
      </c>
      <c r="J320" s="467">
        <v>0</v>
      </c>
      <c r="K320" s="1691">
        <f t="shared" ref="K320:K327" si="24">SUM(C320:J320)</f>
        <v>337721</v>
      </c>
      <c r="L320" s="467">
        <v>156000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177000</v>
      </c>
      <c r="M322" s="664"/>
      <c r="N322" s="664"/>
    </row>
    <row r="323" spans="1:14" s="673" customFormat="1" x14ac:dyDescent="0.2">
      <c r="A323" s="1539" t="s">
        <v>726</v>
      </c>
      <c r="B323" s="696" t="s">
        <v>303</v>
      </c>
      <c r="C323" s="467">
        <v>329355</v>
      </c>
      <c r="D323" s="467">
        <v>76677</v>
      </c>
      <c r="E323" s="467">
        <v>0</v>
      </c>
      <c r="F323" s="467">
        <v>0</v>
      </c>
      <c r="G323" s="467">
        <v>0</v>
      </c>
      <c r="H323" s="467">
        <v>0</v>
      </c>
      <c r="I323" s="467">
        <v>0</v>
      </c>
      <c r="J323" s="467">
        <v>0</v>
      </c>
      <c r="K323" s="1691">
        <f t="shared" si="24"/>
        <v>406032</v>
      </c>
      <c r="L323" s="467">
        <v>393500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111757</v>
      </c>
      <c r="F325" s="467">
        <v>4570</v>
      </c>
      <c r="G325" s="467">
        <v>0</v>
      </c>
      <c r="H325" s="467">
        <v>0</v>
      </c>
      <c r="I325" s="467">
        <v>0</v>
      </c>
      <c r="J325" s="467">
        <v>0</v>
      </c>
      <c r="K325" s="1691">
        <f t="shared" si="24"/>
        <v>116327</v>
      </c>
      <c r="L325" s="467">
        <v>135000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329355</v>
      </c>
      <c r="D330" s="1690">
        <f t="shared" ref="D330:J330" si="25">SUM(D319:D329)</f>
        <v>76677</v>
      </c>
      <c r="E330" s="1690">
        <f t="shared" si="25"/>
        <v>449478</v>
      </c>
      <c r="F330" s="1690">
        <f t="shared" si="25"/>
        <v>4570</v>
      </c>
      <c r="G330" s="1690">
        <f t="shared" si="25"/>
        <v>0</v>
      </c>
      <c r="H330" s="1690">
        <f t="shared" si="25"/>
        <v>0</v>
      </c>
      <c r="I330" s="1690">
        <f t="shared" si="25"/>
        <v>0</v>
      </c>
      <c r="J330" s="1690">
        <f t="shared" si="25"/>
        <v>0</v>
      </c>
      <c r="K330" s="1690">
        <f>SUM(K319:K329)</f>
        <v>860080</v>
      </c>
      <c r="L330" s="1690">
        <f>SUM(L319:L329)</f>
        <v>861500</v>
      </c>
      <c r="M330" s="664"/>
      <c r="N330" s="664"/>
    </row>
    <row r="331" spans="1:14" s="673" customFormat="1" ht="12.75" customHeight="1" thickTop="1" x14ac:dyDescent="0.2">
      <c r="A331" s="1852" t="s">
        <v>1959</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1953</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1955</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1960</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329355</v>
      </c>
      <c r="D342" s="1690">
        <f>SUM(D330)</f>
        <v>76677</v>
      </c>
      <c r="E342" s="1690">
        <f>SUM(E330)</f>
        <v>449478</v>
      </c>
      <c r="F342" s="1690">
        <f>SUM(F330)</f>
        <v>4570</v>
      </c>
      <c r="G342" s="1690">
        <f>SUM(G330)</f>
        <v>0</v>
      </c>
      <c r="H342" s="1690">
        <f>SUM(H330,H334,H340)</f>
        <v>0</v>
      </c>
      <c r="I342" s="1690">
        <f>SUM(I330)</f>
        <v>0</v>
      </c>
      <c r="J342" s="1690">
        <f>SUM(J330)</f>
        <v>0</v>
      </c>
      <c r="K342" s="1690">
        <f>SUM(K330,K334,K340)</f>
        <v>860080</v>
      </c>
      <c r="L342" s="1697">
        <f>SUM(L330,L340,L341)</f>
        <v>861500</v>
      </c>
    </row>
    <row r="343" spans="1:14" ht="12.75" customHeight="1" thickTop="1" x14ac:dyDescent="0.2">
      <c r="A343" s="2279" t="s">
        <v>1053</v>
      </c>
      <c r="B343" s="2280"/>
      <c r="C343" s="615"/>
      <c r="D343" s="615"/>
      <c r="E343" s="615"/>
      <c r="F343" s="615"/>
      <c r="G343" s="615"/>
      <c r="H343" s="615"/>
      <c r="I343" s="615"/>
      <c r="J343" s="615"/>
      <c r="K343" s="1704">
        <f>'Revenues 9-14'!J275-'Expenditures 15-22'!K342</f>
        <v>237706</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69" t="s">
        <v>1023</v>
      </c>
      <c r="B345" s="2270"/>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270000</v>
      </c>
      <c r="H348" s="466">
        <v>0</v>
      </c>
      <c r="I348" s="467">
        <v>0</v>
      </c>
      <c r="J348" s="467">
        <v>0</v>
      </c>
      <c r="K348" s="1691">
        <f>SUM(C348:J348)</f>
        <v>270000</v>
      </c>
      <c r="L348" s="466">
        <v>270000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270000</v>
      </c>
      <c r="H350" s="1690">
        <f t="shared" si="26"/>
        <v>0</v>
      </c>
      <c r="I350" s="1690">
        <f t="shared" si="26"/>
        <v>0</v>
      </c>
      <c r="J350" s="1690">
        <f t="shared" si="26"/>
        <v>0</v>
      </c>
      <c r="K350" s="1690">
        <f t="shared" si="26"/>
        <v>270000</v>
      </c>
      <c r="L350" s="1690">
        <f t="shared" si="26"/>
        <v>270000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270000</v>
      </c>
      <c r="H352" s="1690">
        <f t="shared" si="27"/>
        <v>0</v>
      </c>
      <c r="I352" s="1690">
        <f t="shared" si="27"/>
        <v>0</v>
      </c>
      <c r="J352" s="1690">
        <f t="shared" si="27"/>
        <v>0</v>
      </c>
      <c r="K352" s="1690">
        <f t="shared" si="27"/>
        <v>270000</v>
      </c>
      <c r="L352" s="1690">
        <f t="shared" si="27"/>
        <v>270000</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1961</v>
      </c>
      <c r="B354" s="682" t="s">
        <v>1953</v>
      </c>
      <c r="C354" s="615"/>
      <c r="D354" s="615"/>
      <c r="E354" s="615"/>
      <c r="F354" s="615"/>
      <c r="G354" s="615"/>
      <c r="H354" s="474">
        <v>0</v>
      </c>
      <c r="I354" s="700"/>
      <c r="J354" s="615"/>
      <c r="K354" s="1719">
        <f>H354</f>
        <v>0</v>
      </c>
      <c r="L354" s="471">
        <v>0</v>
      </c>
    </row>
    <row r="355" spans="1:14" ht="12.75" customHeight="1" x14ac:dyDescent="0.2">
      <c r="A355" s="1533" t="s">
        <v>1962</v>
      </c>
      <c r="B355" s="689" t="s">
        <v>1955</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270000</v>
      </c>
      <c r="H367" s="1690">
        <f t="shared" si="28"/>
        <v>0</v>
      </c>
      <c r="I367" s="1690">
        <f t="shared" si="28"/>
        <v>0</v>
      </c>
      <c r="J367" s="1690">
        <f t="shared" si="28"/>
        <v>0</v>
      </c>
      <c r="K367" s="1690">
        <f t="shared" si="28"/>
        <v>270000</v>
      </c>
      <c r="L367" s="1690">
        <f t="shared" si="28"/>
        <v>270000</v>
      </c>
    </row>
    <row r="368" spans="1:14" ht="13.5" thickTop="1" x14ac:dyDescent="0.2">
      <c r="A368" s="2266" t="s">
        <v>1053</v>
      </c>
      <c r="B368" s="2267"/>
      <c r="C368" s="653"/>
      <c r="D368" s="653"/>
      <c r="E368" s="625"/>
      <c r="F368" s="625"/>
      <c r="G368" s="625"/>
      <c r="H368" s="625"/>
      <c r="I368" s="625"/>
      <c r="J368" s="622"/>
      <c r="K368" s="1691">
        <f>'Revenues 9-14'!K275-'Expenditures 15-22'!K367</f>
        <v>-122762</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d21dc803-237d-4c68-8692-8d731fd29118"/>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6ce3111e-7420-4802-b50a-75d4e9a0b980"/>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18</vt:lpstr>
      <vt:lpstr> SEFA</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2018-10-23T18:33:36Z</cp:lastPrinted>
  <dcterms:created xsi:type="dcterms:W3CDTF">2003-10-29T19:06:34Z</dcterms:created>
  <dcterms:modified xsi:type="dcterms:W3CDTF">2018-11-09T21:52:11Z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