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 SEFA (5)" sheetId="186" r:id="rId32"/>
    <sheet name="SEFA NOTES" sheetId="173" r:id="rId33"/>
    <sheet name="SF&amp;QC Sec-1" sheetId="174" r:id="rId34"/>
    <sheet name="SF&amp;QC Sec-2" sheetId="175" r:id="rId35"/>
    <sheet name="SF&amp;QC Sec-3" sheetId="176" r:id="rId36"/>
    <sheet name="SSPAF" sheetId="177" r:id="rId37"/>
  </sheets>
  <definedNames>
    <definedName name="_xlnm.Print_Area" localSheetId="27">' SEFA'!$B$1:$M$46</definedName>
    <definedName name="_xlnm.Print_Area" localSheetId="28">' SEFA (2)'!$B$1:$M$48</definedName>
    <definedName name="_xlnm.Print_Area" localSheetId="29">' SEFA (3)'!$B$1:$M$46</definedName>
    <definedName name="_xlnm.Print_Area" localSheetId="30">' SEFA (4)'!$B$1:$M$48</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workbook>
</file>

<file path=xl/calcChain.xml><?xml version="1.0" encoding="utf-8"?>
<calcChain xmlns="http://schemas.openxmlformats.org/spreadsheetml/2006/main">
  <c r="I27" i="184" l="1"/>
  <c r="F27" i="184"/>
  <c r="I21" i="183"/>
  <c r="F21" i="183"/>
  <c r="I25" i="186" l="1"/>
  <c r="F25" i="186"/>
  <c r="C171" i="5" l="1"/>
  <c r="C58" i="4"/>
  <c r="C54" i="4"/>
  <c r="L28" i="185" l="1"/>
  <c r="F23" i="183"/>
  <c r="L14" i="183" l="1"/>
  <c r="L13" i="183"/>
  <c r="L13" i="179"/>
  <c r="I25" i="183" l="1"/>
  <c r="I21" i="185" s="1"/>
  <c r="F25" i="183"/>
  <c r="F21" i="185" s="1"/>
  <c r="C33" i="173" l="1"/>
  <c r="L27" i="185"/>
  <c r="L18" i="185"/>
  <c r="L23" i="184"/>
  <c r="I17" i="184"/>
  <c r="G38" i="174" s="1"/>
  <c r="F17" i="184"/>
  <c r="I27" i="179" l="1"/>
  <c r="G39" i="174" s="1"/>
  <c r="I25" i="179"/>
  <c r="F27" i="179"/>
  <c r="F25" i="179"/>
  <c r="L22" i="186"/>
  <c r="L21" i="186"/>
  <c r="L17" i="186"/>
  <c r="L13" i="186"/>
  <c r="B4" i="186"/>
  <c r="L17" i="185"/>
  <c r="L14" i="185"/>
  <c r="B4" i="185"/>
  <c r="L24" i="184"/>
  <c r="L20" i="184"/>
  <c r="L19" i="184"/>
  <c r="L14" i="184"/>
  <c r="B4" i="184"/>
  <c r="L28" i="183"/>
  <c r="L27" i="183"/>
  <c r="L24" i="183"/>
  <c r="L23" i="183"/>
  <c r="L18" i="183"/>
  <c r="L17" i="183"/>
  <c r="B4" i="183"/>
  <c r="I23" i="185" l="1"/>
  <c r="I27" i="186" s="1"/>
  <c r="D45" i="174" s="1"/>
  <c r="F23" i="185"/>
  <c r="F27" i="186" s="1"/>
  <c r="D35" i="171" s="1"/>
  <c r="D47" i="171" s="1"/>
  <c r="K9" i="12"/>
  <c r="K7" i="12"/>
  <c r="H5" i="12"/>
  <c r="D233" i="29" l="1"/>
  <c r="D280" i="29"/>
  <c r="D276" i="29"/>
  <c r="D275" i="29"/>
  <c r="D274" i="29"/>
  <c r="D269" i="29"/>
  <c r="D268" i="29"/>
  <c r="D267" i="29"/>
  <c r="D266" i="29"/>
  <c r="D264" i="29"/>
  <c r="D263" i="29"/>
  <c r="D259" i="29"/>
  <c r="D256" i="29"/>
  <c r="D247" i="29"/>
  <c r="D246" i="29"/>
  <c r="D241" i="29"/>
  <c r="D240" i="29"/>
  <c r="D234" i="29"/>
  <c r="D227" i="29"/>
  <c r="D224" i="29"/>
  <c r="D223" i="29"/>
  <c r="D217" i="29"/>
  <c r="D215" i="29"/>
  <c r="G65" i="5" l="1"/>
  <c r="G14" i="5"/>
  <c r="C77" i="5"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3" i="179" l="1"/>
  <c r="L21" i="179"/>
  <c r="L18" i="179"/>
  <c r="L17" i="179"/>
  <c r="L14" i="179"/>
  <c r="D14" i="171" l="1"/>
  <c r="D12" i="171"/>
  <c r="A15" i="169"/>
  <c r="A14" i="169"/>
  <c r="K18" i="169"/>
  <c r="G18" i="169"/>
  <c r="G15" i="169"/>
  <c r="I13" i="169"/>
  <c r="G10" i="169"/>
  <c r="G9" i="169"/>
  <c r="G7" i="169"/>
  <c r="E7" i="169"/>
  <c r="A7" i="169"/>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6"/>
  <c r="B1" i="185"/>
  <c r="B1" i="184"/>
  <c r="B2" i="179"/>
  <c r="B2" i="186"/>
  <c r="B2" i="185"/>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B7762" i="106"/>
  <c r="K12" i="12"/>
  <c r="K14" i="12" s="1"/>
  <c r="K23" i="12" s="1"/>
  <c r="K24" i="12" s="1"/>
  <c r="J12" i="12"/>
  <c r="B7718" i="106" s="1"/>
  <c r="D7718" i="106" s="1"/>
  <c r="J21" i="12"/>
  <c r="J23" i="12" s="1"/>
  <c r="B7729" i="106"/>
  <c r="B7734" i="106"/>
  <c r="D7734" i="106" s="1"/>
  <c r="B7726" i="106"/>
  <c r="D7726" i="106" s="1"/>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C259" i="5"/>
  <c r="B6833" i="106" s="1"/>
  <c r="D6833" i="106" s="1"/>
  <c r="B7761" i="106"/>
  <c r="D7761" i="106" s="1"/>
  <c r="L127" i="29"/>
  <c r="L129" i="29" s="1"/>
  <c r="L139" i="29"/>
  <c r="L149" i="29"/>
  <c r="I7" i="145"/>
  <c r="I6" i="145"/>
  <c r="D78" i="36"/>
  <c r="K75" i="29"/>
  <c r="K130" i="29"/>
  <c r="B2805" i="106" s="1"/>
  <c r="D2805" i="106" s="1"/>
  <c r="K185" i="29"/>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B6997" i="106" s="1"/>
  <c r="D6997" i="106" s="1"/>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B7088" i="106" s="1"/>
  <c r="D7088" i="106" s="1"/>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2" i="106"/>
  <c r="D7722" i="106" s="1"/>
  <c r="B7723" i="106"/>
  <c r="D7723" i="106" s="1"/>
  <c r="B7724" i="106"/>
  <c r="D7724" i="106" s="1"/>
  <c r="B7725" i="106"/>
  <c r="D7725" i="106" s="1"/>
  <c r="B7728" i="106"/>
  <c r="D7728" i="106" s="1"/>
  <c r="D7729" i="106"/>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3" i="127"/>
  <c r="B64" i="127"/>
  <c r="E26" i="108"/>
  <c r="G26" i="108"/>
  <c r="E27" i="108"/>
  <c r="F27" i="108"/>
  <c r="G27" i="108"/>
  <c r="F37" i="108"/>
  <c r="G28" i="108"/>
  <c r="D37" i="108"/>
  <c r="E31" i="108"/>
  <c r="G31" i="108"/>
  <c r="E33" i="108"/>
  <c r="G33" i="108"/>
  <c r="E34" i="108"/>
  <c r="G34"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C53" i="34"/>
  <c r="D53" i="34"/>
  <c r="C56" i="34"/>
  <c r="C57" i="34"/>
  <c r="D57" i="34"/>
  <c r="C61" i="34"/>
  <c r="C62" i="34"/>
  <c r="F62" i="34"/>
  <c r="C63" i="34"/>
  <c r="D63" i="34"/>
  <c r="C64" i="34"/>
  <c r="F64"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D14" i="4"/>
  <c r="B2570" i="106" s="1"/>
  <c r="D2570" i="106" s="1"/>
  <c r="F14" i="4"/>
  <c r="B2597" i="106" s="1"/>
  <c r="D2597" i="106" s="1"/>
  <c r="B2633" i="106"/>
  <c r="D2633" i="106" s="1"/>
  <c r="D7" i="118"/>
  <c r="D8" i="118"/>
  <c r="D9" i="118"/>
  <c r="H14" i="118"/>
  <c r="H19" i="118"/>
  <c r="H24" i="118"/>
  <c r="D24" i="37"/>
  <c r="B4270" i="106" s="1"/>
  <c r="D4270" i="106" s="1"/>
  <c r="H33" i="118" l="1"/>
  <c r="E35" i="108"/>
  <c r="B1223" i="106"/>
  <c r="D1223" i="106" s="1"/>
  <c r="D6103" i="106"/>
  <c r="F41" i="34"/>
  <c r="D12" i="7"/>
  <c r="B1769" i="106" s="1"/>
  <c r="D1769" i="106" s="1"/>
  <c r="F56" i="34"/>
  <c r="F45" i="34"/>
  <c r="F49" i="34"/>
  <c r="F35" i="34"/>
  <c r="B7721" i="106"/>
  <c r="D7721" i="106" s="1"/>
  <c r="L5" i="11"/>
  <c r="B131" i="106"/>
  <c r="D131" i="106" s="1"/>
  <c r="N21" i="3"/>
  <c r="B282" i="106" s="1"/>
  <c r="D282" i="106" s="1"/>
  <c r="D22" i="37"/>
  <c r="B7733" i="106"/>
  <c r="D7733" i="106" s="1"/>
  <c r="K26" i="12"/>
  <c r="B7743" i="106" s="1"/>
  <c r="D7743" i="106" s="1"/>
  <c r="B2734" i="106"/>
  <c r="D2734" i="106" s="1"/>
  <c r="F21" i="8"/>
  <c r="H28" i="118"/>
  <c r="G15" i="145"/>
  <c r="J352" i="29"/>
  <c r="J367" i="29" s="1"/>
  <c r="B7245" i="106" s="1"/>
  <c r="D7245" i="106" s="1"/>
  <c r="L15" i="11"/>
  <c r="L13" i="11"/>
  <c r="B2060" i="106" s="1"/>
  <c r="D2060" i="106" s="1"/>
  <c r="I24" i="12"/>
  <c r="B7727" i="106"/>
  <c r="D7727" i="106" s="1"/>
  <c r="D69" i="36"/>
  <c r="J22" i="37"/>
  <c r="D68" i="36"/>
  <c r="D11" i="7"/>
  <c r="B1768" i="106" s="1"/>
  <c r="D1768" i="106" s="1"/>
  <c r="F19" i="7"/>
  <c r="B1807" i="106" s="1"/>
  <c r="D1807" i="106" s="1"/>
  <c r="B3647" i="106"/>
  <c r="D3647" i="106" s="1"/>
  <c r="J129" i="29"/>
  <c r="B7038" i="106" s="1"/>
  <c r="D7038" i="106" s="1"/>
  <c r="I210" i="29"/>
  <c r="I129" i="29"/>
  <c r="B7037" i="106" s="1"/>
  <c r="D7037" i="106" s="1"/>
  <c r="G35" i="108"/>
  <c r="F72" i="34"/>
  <c r="G38" i="108"/>
  <c r="G29" i="108"/>
  <c r="F34" i="34"/>
  <c r="B3619" i="106"/>
  <c r="D3619" i="106" s="1"/>
  <c r="G39" i="108"/>
  <c r="E30" i="108"/>
  <c r="B6289" i="106"/>
  <c r="D6289" i="106" s="1"/>
  <c r="D11" i="37"/>
  <c r="D31" i="36"/>
  <c r="H29" i="118"/>
  <c r="D17" i="7"/>
  <c r="B4104" i="106" s="1"/>
  <c r="D4104" i="106" s="1"/>
  <c r="D9" i="7"/>
  <c r="B1767" i="106" s="1"/>
  <c r="D1767" i="106" s="1"/>
  <c r="D4" i="7"/>
  <c r="B1760" i="106" s="1"/>
  <c r="D1760" i="106" s="1"/>
  <c r="G5" i="4"/>
  <c r="B3409" i="106" s="1"/>
  <c r="D3409" i="106" s="1"/>
  <c r="B1746" i="106"/>
  <c r="D1746" i="106" s="1"/>
  <c r="F136" i="34"/>
  <c r="K76" i="4"/>
  <c r="B3586" i="106" s="1"/>
  <c r="D3586" i="106" s="1"/>
  <c r="J77" i="4"/>
  <c r="B6262" i="106" s="1"/>
  <c r="D6262" i="106" s="1"/>
  <c r="H76" i="4"/>
  <c r="B3298" i="106" s="1"/>
  <c r="D3298" i="106" s="1"/>
  <c r="I274" i="5"/>
  <c r="I7" i="4" s="1"/>
  <c r="B4444" i="106" s="1"/>
  <c r="D4444" i="106" s="1"/>
  <c r="D5" i="7"/>
  <c r="B1761" i="106" s="1"/>
  <c r="D1761" i="106" s="1"/>
  <c r="F131" i="34"/>
  <c r="D13" i="7"/>
  <c r="B3726" i="106" s="1"/>
  <c r="D3726" i="106" s="1"/>
  <c r="C172" i="5"/>
  <c r="B5214" i="106" s="1"/>
  <c r="D5214" i="106" s="1"/>
  <c r="F111" i="34"/>
  <c r="D5" i="4"/>
  <c r="B3406" i="106" s="1"/>
  <c r="D3406" i="106" s="1"/>
  <c r="F127" i="34"/>
  <c r="F128" i="34"/>
  <c r="J210" i="29"/>
  <c r="B7072" i="106" s="1"/>
  <c r="D7072" i="106" s="1"/>
  <c r="G109" i="5"/>
  <c r="H109" i="5"/>
  <c r="B6025" i="106" s="1"/>
  <c r="D6025" i="106" s="1"/>
  <c r="I173" i="5"/>
  <c r="B4216" i="106" s="1"/>
  <c r="D4216" i="106" s="1"/>
  <c r="F77" i="4"/>
  <c r="B3255" i="106" s="1"/>
  <c r="D3255" i="106" s="1"/>
  <c r="D15" i="7"/>
  <c r="B1772" i="106" s="1"/>
  <c r="D1772" i="106" s="1"/>
  <c r="D109" i="5"/>
  <c r="K274" i="5"/>
  <c r="K7" i="4" s="1"/>
  <c r="B3718" i="106" s="1"/>
  <c r="D3718" i="106" s="1"/>
  <c r="B5847" i="106"/>
  <c r="D5847" i="106" s="1"/>
  <c r="F130" i="34"/>
  <c r="B5756" i="106"/>
  <c r="D5756" i="106" s="1"/>
  <c r="G172" i="5"/>
  <c r="F94" i="34"/>
  <c r="C109" i="5"/>
  <c r="B5121" i="106" s="1"/>
  <c r="D5121" i="106" s="1"/>
  <c r="J274" i="5"/>
  <c r="B7054" i="106" s="1"/>
  <c r="D7054" i="106" s="1"/>
  <c r="B7041" i="106"/>
  <c r="D7041" i="106" s="1"/>
  <c r="B5518" i="106"/>
  <c r="D5518" i="106" s="1"/>
  <c r="E109" i="5"/>
  <c r="E4" i="4" s="1"/>
  <c r="B2630" i="106" s="1"/>
  <c r="D2630" i="106" s="1"/>
  <c r="D7" i="7"/>
  <c r="B1763" i="106" s="1"/>
  <c r="D1763" i="106" s="1"/>
  <c r="B5000" i="106"/>
  <c r="D5000" i="106" s="1"/>
  <c r="K173" i="5"/>
  <c r="K6" i="4" s="1"/>
  <c r="B3570" i="106" s="1"/>
  <c r="D3570" i="106" s="1"/>
  <c r="F106" i="34"/>
  <c r="H173" i="5"/>
  <c r="B5096" i="106"/>
  <c r="D5096" i="106" s="1"/>
  <c r="F172" i="5"/>
  <c r="B5644" i="106" s="1"/>
  <c r="D5644" i="106" s="1"/>
  <c r="B6238" i="106"/>
  <c r="D6238" i="106" s="1"/>
  <c r="B3254" i="106"/>
  <c r="D3254" i="106" s="1"/>
  <c r="H342" i="29"/>
  <c r="H365" i="29"/>
  <c r="B7242" i="106" s="1"/>
  <c r="D7242" i="106" s="1"/>
  <c r="K285" i="29"/>
  <c r="G14" i="4"/>
  <c r="B2609" i="106" s="1"/>
  <c r="D2609" i="106" s="1"/>
  <c r="F71" i="34"/>
  <c r="K184" i="29"/>
  <c r="F13" i="4" s="1"/>
  <c r="B2596" i="106" s="1"/>
  <c r="D2596" i="106" s="1"/>
  <c r="E29" i="108"/>
  <c r="B1329" i="106"/>
  <c r="D1329" i="106" s="1"/>
  <c r="F61" i="34"/>
  <c r="C14" i="4"/>
  <c r="B2558" i="106" s="1"/>
  <c r="D2558" i="106" s="1"/>
  <c r="F52" i="34"/>
  <c r="D36" i="108"/>
  <c r="F36" i="108"/>
  <c r="D31" i="108"/>
  <c r="G30" i="108"/>
  <c r="F28" i="108"/>
  <c r="E28" i="108"/>
  <c r="B1126" i="106"/>
  <c r="D1126" i="106" s="1"/>
  <c r="F26" i="108"/>
  <c r="D26" i="108"/>
  <c r="F38" i="34"/>
  <c r="L312" i="29"/>
  <c r="L342" i="29"/>
  <c r="G210" i="29"/>
  <c r="C342" i="29"/>
  <c r="B7216" i="106" s="1"/>
  <c r="D7216" i="106" s="1"/>
  <c r="E174" i="29"/>
  <c r="B1309" i="106" s="1"/>
  <c r="D1309" i="106" s="1"/>
  <c r="B3649" i="106"/>
  <c r="D3649" i="106" s="1"/>
  <c r="G367" i="29"/>
  <c r="B3650" i="106" s="1"/>
  <c r="D3650" i="106" s="1"/>
  <c r="L367" i="29"/>
  <c r="I342" i="29"/>
  <c r="B7222" i="106" s="1"/>
  <c r="D7222" i="106" s="1"/>
  <c r="K350" i="29"/>
  <c r="B3621" i="106"/>
  <c r="D3621" i="106" s="1"/>
  <c r="C367" i="29"/>
  <c r="B3622" i="106" s="1"/>
  <c r="D3622" i="106" s="1"/>
  <c r="H112" i="29"/>
  <c r="B7018" i="106" s="1"/>
  <c r="D7018" i="106" s="1"/>
  <c r="B1410" i="106"/>
  <c r="D1410"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B4435" i="106"/>
  <c r="D4435"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M17" i="3"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7270" i="106"/>
  <c r="B2058" i="106" l="1"/>
  <c r="D2058" i="106" s="1"/>
  <c r="M18" i="3"/>
  <c r="B275" i="106" s="1"/>
  <c r="D275" i="106" s="1"/>
  <c r="D7256" i="106"/>
  <c r="D7251" i="106"/>
  <c r="D7250" i="106"/>
  <c r="D7253" i="106"/>
  <c r="D7252" i="106"/>
  <c r="D7254" i="106"/>
  <c r="J32" i="8"/>
  <c r="J49" i="8" s="1"/>
  <c r="J7" i="4"/>
  <c r="B6222" i="106" s="1"/>
  <c r="D6222" i="106" s="1"/>
  <c r="D7255" i="106"/>
  <c r="B2059" i="106"/>
  <c r="D2059" i="106" s="1"/>
  <c r="M19" i="3"/>
  <c r="B276" i="106" s="1"/>
  <c r="D276" i="106" s="1"/>
  <c r="B2057" i="106"/>
  <c r="D2057" i="106" s="1"/>
  <c r="B274" i="106"/>
  <c r="D274" i="106" s="1"/>
  <c r="B3459" i="106"/>
  <c r="D3459" i="106" s="1"/>
  <c r="M20" i="3"/>
  <c r="B2864" i="106" s="1"/>
  <c r="D2864" i="106" s="1"/>
  <c r="B2056" i="106"/>
  <c r="D2056" i="106" s="1"/>
  <c r="M16" i="3"/>
  <c r="B7235" i="106"/>
  <c r="D7235" i="106" s="1"/>
  <c r="B1879" i="106"/>
  <c r="D1879" i="106" s="1"/>
  <c r="H22" i="37"/>
  <c r="K28" i="118"/>
  <c r="O27" i="118" s="1"/>
  <c r="O29" i="118" s="1"/>
  <c r="H77" i="4"/>
  <c r="B3299" i="106" s="1"/>
  <c r="D3299" i="106" s="1"/>
  <c r="L16" i="11"/>
  <c r="B2061" i="106" s="1"/>
  <c r="D2061" i="106" s="1"/>
  <c r="B1996" i="106"/>
  <c r="D1996" i="106" s="1"/>
  <c r="I26" i="12"/>
  <c r="B7741" i="106" s="1"/>
  <c r="D7741" i="106" s="1"/>
  <c r="J151" i="29"/>
  <c r="B7052" i="106" s="1"/>
  <c r="D7052" i="106" s="1"/>
  <c r="K365" i="29"/>
  <c r="K16" i="4" s="1"/>
  <c r="B7215" i="106"/>
  <c r="D7215" i="106" s="1"/>
  <c r="K77" i="4"/>
  <c r="B3587" i="106" s="1"/>
  <c r="D3587" i="106" s="1"/>
  <c r="B7071" i="106"/>
  <c r="D7071" i="106" s="1"/>
  <c r="F66" i="34"/>
  <c r="I151" i="29"/>
  <c r="F59" i="34" s="1"/>
  <c r="B1381" i="106"/>
  <c r="D1381" i="106" s="1"/>
  <c r="B1317" i="106"/>
  <c r="D1317" i="106" s="1"/>
  <c r="F73" i="34"/>
  <c r="G15" i="4"/>
  <c r="B6032" i="106" s="1"/>
  <c r="D6032" i="106" s="1"/>
  <c r="L114" i="29"/>
  <c r="B6022" i="106"/>
  <c r="D6022" i="106" s="1"/>
  <c r="H4" i="4"/>
  <c r="B2655" i="106" s="1"/>
  <c r="D2655" i="106" s="1"/>
  <c r="B5527" i="106"/>
  <c r="D5527" i="106" s="1"/>
  <c r="D274" i="5"/>
  <c r="D7" i="4" s="1"/>
  <c r="B5914" i="106"/>
  <c r="D5914" i="106" s="1"/>
  <c r="I6" i="4"/>
  <c r="B5011" i="106" s="1"/>
  <c r="D5011" i="106" s="1"/>
  <c r="C173" i="5"/>
  <c r="C4" i="4"/>
  <c r="B2551" i="106" s="1"/>
  <c r="D2551" i="106" s="1"/>
  <c r="B6014" i="106"/>
  <c r="D6014" i="106" s="1"/>
  <c r="B6024" i="106"/>
  <c r="D6024" i="106" s="1"/>
  <c r="G4" i="4"/>
  <c r="B2603" i="106" s="1"/>
  <c r="D2603" i="106" s="1"/>
  <c r="F173" i="5"/>
  <c r="B5906" i="106"/>
  <c r="D5906" i="106" s="1"/>
  <c r="H6" i="4"/>
  <c r="G173" i="5"/>
  <c r="B5770" i="106"/>
  <c r="D5770" i="106" s="1"/>
  <c r="B5356" i="106"/>
  <c r="D5356" i="106" s="1"/>
  <c r="D4" i="4"/>
  <c r="B2564" i="106" s="1"/>
  <c r="D2564" i="106" s="1"/>
  <c r="D19" i="7"/>
  <c r="B1775" i="106" s="1"/>
  <c r="D1775" i="106" s="1"/>
  <c r="H275" i="5"/>
  <c r="B5915" i="106" s="1"/>
  <c r="D5915" i="106" s="1"/>
  <c r="F274" i="5"/>
  <c r="B1365" i="106"/>
  <c r="D1365" i="106" s="1"/>
  <c r="F65" i="34"/>
  <c r="B1266" i="106"/>
  <c r="D1266" i="106" s="1"/>
  <c r="F41" i="108"/>
  <c r="G43" i="108" s="1"/>
  <c r="D41" i="108"/>
  <c r="E43" i="108" s="1"/>
  <c r="C114" i="29"/>
  <c r="B757" i="106" s="1"/>
  <c r="D757" i="106" s="1"/>
  <c r="K342" i="29"/>
  <c r="F13" i="34" s="1"/>
  <c r="B3628" i="106"/>
  <c r="D3628" i="106" s="1"/>
  <c r="H367" i="29"/>
  <c r="B3660" i="106" s="1"/>
  <c r="D3660" i="106" s="1"/>
  <c r="B3670" i="106"/>
  <c r="D3670" i="106" s="1"/>
  <c r="K352" i="29"/>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G22" i="108"/>
  <c r="B1119" i="106"/>
  <c r="D1119" i="106" s="1"/>
  <c r="E22" i="108"/>
  <c r="G12" i="145"/>
  <c r="G19" i="145" s="1"/>
  <c r="J20" i="145" s="1"/>
  <c r="E19" i="145"/>
  <c r="B7298" i="106"/>
  <c r="B7299" i="106"/>
  <c r="F24" i="37" l="1"/>
  <c r="B4172" i="106"/>
  <c r="D4172" i="106" s="1"/>
  <c r="N22" i="3"/>
  <c r="M23" i="3"/>
  <c r="B273" i="106"/>
  <c r="D273" i="106" s="1"/>
  <c r="K367" i="29"/>
  <c r="B7243" i="106"/>
  <c r="D7243" i="106" s="1"/>
  <c r="B7051" i="106"/>
  <c r="D7051" i="106" s="1"/>
  <c r="J17" i="4"/>
  <c r="B6227" i="106" s="1"/>
  <c r="D6227" i="106" s="1"/>
  <c r="B5507" i="106"/>
  <c r="D5507" i="106" s="1"/>
  <c r="D275" i="5"/>
  <c r="B5508" i="106" s="1"/>
  <c r="D5508" i="106" s="1"/>
  <c r="F275" i="5"/>
  <c r="B5720" i="106" s="1"/>
  <c r="D5720" i="106" s="1"/>
  <c r="F7" i="4"/>
  <c r="B2594" i="106" s="1"/>
  <c r="D2594" i="106" s="1"/>
  <c r="B5223" i="106"/>
  <c r="D5223" i="106" s="1"/>
  <c r="C6" i="4"/>
  <c r="B2553" i="106" s="1"/>
  <c r="D2553" i="106" s="1"/>
  <c r="B5653" i="106"/>
  <c r="D5653" i="106" s="1"/>
  <c r="F6" i="4"/>
  <c r="B2593" i="106" s="1"/>
  <c r="D2593" i="106" s="1"/>
  <c r="B2656" i="106"/>
  <c r="D2656" i="106" s="1"/>
  <c r="H8" i="4"/>
  <c r="B5778" i="106"/>
  <c r="D5778" i="106" s="1"/>
  <c r="G6" i="4"/>
  <c r="B2604" i="106" s="1"/>
  <c r="D2604" i="106" s="1"/>
  <c r="J8" i="4"/>
  <c r="B6223" i="106" s="1"/>
  <c r="D6223" i="106" s="1"/>
  <c r="B7224" i="106"/>
  <c r="D7224" i="106" s="1"/>
  <c r="B1145" i="106"/>
  <c r="D1145" i="106" s="1"/>
  <c r="E41" i="108"/>
  <c r="E44" i="108" s="1"/>
  <c r="E45" i="108" s="1"/>
  <c r="G41" i="108"/>
  <c r="G44" i="108" s="1"/>
  <c r="G45" i="108"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3" i="106" l="1"/>
  <c r="D283" i="106" s="1"/>
  <c r="N23" i="3"/>
  <c r="B284" i="106" s="1"/>
  <c r="D284" i="106" s="1"/>
  <c r="B279" i="106"/>
  <c r="D279" i="106" s="1"/>
  <c r="M40" i="3"/>
  <c r="F76" i="34"/>
  <c r="J19" i="4"/>
  <c r="B6229" i="106" s="1"/>
  <c r="D6229" i="106" s="1"/>
  <c r="D8" i="4"/>
  <c r="C8" i="146" s="1"/>
  <c r="J10" i="4"/>
  <c r="B6225" i="106" s="1"/>
  <c r="D6225" i="106" s="1"/>
  <c r="J20" i="4"/>
  <c r="J78" i="4" s="1"/>
  <c r="F8" i="4"/>
  <c r="B2595" i="106" s="1"/>
  <c r="D2595" i="106" s="1"/>
  <c r="B2658" i="106"/>
  <c r="D2658" i="106" s="1"/>
  <c r="H10" i="4"/>
  <c r="B4127" i="106" s="1"/>
  <c r="D4127" i="106" s="1"/>
  <c r="D10" i="171"/>
  <c r="D1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32" i="171" l="1"/>
  <c r="D49" i="171" s="1"/>
  <c r="B280" i="106"/>
  <c r="D280" i="106" s="1"/>
  <c r="M41" i="3"/>
  <c r="B2568" i="106"/>
  <c r="D2568" i="106" s="1"/>
  <c r="D10" i="4"/>
  <c r="B4123" i="106" s="1"/>
  <c r="D4123" i="106" s="1"/>
  <c r="H13" i="118"/>
  <c r="F10" i="4"/>
  <c r="B4125" i="106" s="1"/>
  <c r="D4125" i="106" s="1"/>
  <c r="D8" i="14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D78" i="4"/>
  <c r="B2574" i="106"/>
  <c r="D2574" i="106" s="1"/>
  <c r="F8" i="146"/>
  <c r="B6214" i="106" l="1"/>
  <c r="D6214" i="106" s="1"/>
  <c r="J41" i="3"/>
  <c r="B281" i="106"/>
  <c r="D281" i="106" s="1"/>
  <c r="D54" i="36"/>
  <c r="F179" i="34"/>
  <c r="F79" i="34"/>
  <c r="D10" i="146"/>
  <c r="B3588" i="106"/>
  <c r="D3588" i="106" s="1"/>
  <c r="K81" i="4"/>
  <c r="K39" i="3" s="1"/>
  <c r="F78" i="4"/>
  <c r="B2601" i="106"/>
  <c r="D2601" i="106" s="1"/>
  <c r="B3320" i="106"/>
  <c r="D3320" i="106" s="1"/>
  <c r="I81" i="4"/>
  <c r="I39" i="3" s="1"/>
  <c r="K17" i="118"/>
  <c r="B3300" i="106"/>
  <c r="D3300" i="106" s="1"/>
  <c r="H81" i="4"/>
  <c r="H39" i="3" s="1"/>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212" i="106" l="1"/>
  <c r="D212" i="106" s="1"/>
  <c r="H41" i="3"/>
  <c r="B123" i="106"/>
  <c r="D123" i="106" s="1"/>
  <c r="D41" i="3"/>
  <c r="B6216" i="106"/>
  <c r="D6216" i="106" s="1"/>
  <c r="D51" i="36"/>
  <c r="B2912" i="106"/>
  <c r="D2912" i="106" s="1"/>
  <c r="I41" i="3"/>
  <c r="B3567" i="106"/>
  <c r="D3567" i="106" s="1"/>
  <c r="K41" i="3"/>
  <c r="F181" i="34"/>
  <c r="F183" i="34" s="1"/>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6" i="36" l="1"/>
  <c r="B92" i="106"/>
  <c r="D92" i="106" s="1"/>
  <c r="C41" i="3"/>
  <c r="D45" i="36"/>
  <c r="B124" i="106"/>
  <c r="D124" i="106" s="1"/>
  <c r="B170" i="106"/>
  <c r="D170" i="106" s="1"/>
  <c r="F41" i="3"/>
  <c r="B140" i="106"/>
  <c r="D140" i="106" s="1"/>
  <c r="E41" i="3"/>
  <c r="B213" i="106"/>
  <c r="D213" i="106" s="1"/>
  <c r="D49" i="36"/>
  <c r="B189" i="106"/>
  <c r="D189" i="106" s="1"/>
  <c r="G41" i="3"/>
  <c r="B3568" i="106"/>
  <c r="D3568" i="106" s="1"/>
  <c r="D52" i="36"/>
  <c r="B2913" i="106"/>
  <c r="D2913" i="106" s="1"/>
  <c r="D50"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141" i="106"/>
  <c r="D141" i="106" s="1"/>
  <c r="D46" i="36"/>
  <c r="D47" i="36"/>
  <c r="B171" i="106"/>
  <c r="D171" i="106" s="1"/>
  <c r="B93" i="106"/>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<sst xmlns="http://schemas.openxmlformats.org/spreadsheetml/2006/main" count="5408" uniqueCount="2228">
  <si>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</si>
  <si>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</si>
  <si>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</si>
  <si>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</si>
  <si>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</si>
  <si>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</si>
  <si>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</si>
  <si>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</si>
  <si>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</si>
  <si>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</si>
  <si>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</si>
  <si>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</si>
  <si>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</si>
  <si>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</si>
  <si>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</si>
  <si>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</si>
  <si>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</si>
  <si>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</si>
  <si>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</si>
  <si>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</si>
  <si>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</si>
  <si>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</si>
  <si>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</si>
  <si>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</si>
  <si>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</si>
  <si>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</si>
  <si>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</si>
  <si>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</si>
  <si>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</si>
  <si>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</si>
  <si>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</si>
  <si>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</si>
  <si>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</si>
  <si>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</si>
  <si>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</si>
  <si>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</si>
  <si>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</si>
  <si>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</si>
  <si>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</si>
  <si>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</si>
  <si>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</si>
  <si>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</si>
  <si>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</si>
  <si>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</si>
  <si>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</si>
  <si>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</si>
  <si>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</si>
  <si>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</si>
  <si>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</si>
  <si>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</si>
  <si>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</si>
  <si>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</si>
  <si>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</si>
  <si>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</si>
  <si>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</si>
  <si>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</si>
  <si>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</si>
  <si>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</si>
  <si>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</si>
  <si>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</si>
  <si>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</si>
  <si>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</si>
  <si>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</si>
  <si>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</si>
  <si>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</si>
  <si>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</si>
  <si>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</si>
  <si>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</si>
  <si>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</si>
  <si>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</si>
  <si>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</si>
  <si>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</si>
  <si>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</si>
  <si>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</si>
  <si>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</si>
  <si>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</si>
  <si>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</si>
  <si>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</si>
  <si>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</si>
  <si>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</si>
  <si>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</si>
  <si>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</si>
  <si>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</si>
  <si>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</si>
  <si>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</si>
  <si>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</si>
  <si>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</si>
  <si>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</si>
  <si>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</si>
  <si>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</si>
  <si>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</si>
  <si>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</si>
  <si>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</si>
  <si>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</si>
  <si>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</si>
  <si>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</si>
  <si>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</si>
  <si>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</si>
  <si>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</si>
  <si>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</si>
  <si>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</si>
  <si>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</si>
  <si>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</si>
  <si>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</si>
  <si>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</si>
  <si>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</si>
  <si>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</si>
  <si>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</si>
  <si>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</si>
  <si>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</si>
  <si>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</si>
  <si>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</si>
  <si>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</si>
  <si>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</si>
  <si>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</si>
  <si>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</si>
  <si>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</si>
  <si>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</si>
  <si>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</si>
  <si>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</si>
  <si>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</si>
  <si>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</si>
  <si>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</si>
  <si>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</si>
  <si>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</si>
  <si>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</si>
  <si>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</si>
  <si>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</si>
  <si>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</si>
  <si>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</si>
  <si>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</si>
  <si>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</si>
  <si>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</si>
  <si>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</si>
  <si>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</si>
  <si>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</si>
  <si>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</si>
  <si>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</si>
  <si>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</si>
  <si>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</si>
  <si>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</si>
  <si>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</si>
  <si>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</si>
  <si>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</si>
  <si>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</si>
  <si>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</si>
  <si>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</si>
  <si>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</si>
  <si>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</si>
  <si>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</si>
  <si>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</si>
  <si>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</si>
  <si>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</si>
  <si>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</si>
  <si>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</si>
  <si>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</si>
  <si>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</si>
  <si>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</si>
  <si>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</si>
  <si>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</si>
  <si>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</si>
  <si>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</si>
  <si>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</si>
  <si>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</si>
  <si>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</si>
  <si>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</si>
  <si>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</si>
  <si>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</si>
  <si>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</si>
  <si>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</si>
  <si>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</si>
  <si>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</si>
  <si>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</si>
  <si>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</si>
  <si>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</si>
  <si>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</si>
  <si>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</si>
  <si>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</si>
  <si>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</si>
  <si>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</si>
  <si>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</si>
  <si>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</si>
  <si>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</si>
  <si>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</si>
  <si>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</si>
  <si>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</si>
  <si>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</si>
  <si>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</si>
  <si>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</si>
  <si>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</si>
  <si>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</si>
  <si>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</si>
  <si>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</si>
  <si>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</si>
  <si>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</si>
  <si>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</si>
  <si>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</si>
  <si>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</si>
  <si>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</si>
  <si>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</si>
  <si>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</si>
  <si>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</si>
  <si>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</si>
  <si>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</si>
  <si>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</si>
  <si>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</si>
  <si>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</si>
  <si>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</si>
  <si>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</si>
  <si>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</si>
  <si>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</si>
  <si>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</si>
  <si>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</si>
  <si>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</si>
  <si>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</si>
  <si>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</si>
  <si>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</si>
  <si>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</si>
  <si>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</si>
  <si>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</si>
  <si>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</si>
  <si>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</si>
  <si>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</si>
  <si>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</si>
  <si>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</si>
  <si>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</si>
  <si>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</si>
  <si>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</si>
  <si>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</si>
  <si>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</si>
  <si>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</si>
  <si>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</si>
  <si>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</si>
  <si>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</si>
  <si>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</si>
  <si>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</si>
  <si>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</si>
  <si>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</si>
  <si>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</si>
  <si>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</si>
  <si>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</si>
  <si>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</si>
  <si>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</si>
  <si>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</si>
  <si>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</si>
  <si>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</si>
  <si>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</si>
  <si>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</si>
  <si>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</si>
  <si>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</si>
  <si>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</si>
  <si>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</si>
  <si>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</si>
  <si>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</si>
  <si>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</si>
  <si>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</si>
  <si>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</si>
  <si>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</si>
  <si>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</si>
  <si>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</si>
  <si>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</si>
  <si>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</si>
  <si>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</si>
  <si>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</si>
  <si>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</si>
  <si>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</si>
  <si>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</si>
  <si>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</si>
  <si>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</si>
  <si>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</si>
  <si>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</si>
  <si>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</si>
  <si>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</si>
  <si>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</si>
  <si>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</si>
  <si>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</si>
  <si>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</si>
  <si>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</si>
  <si>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</si>
  <si>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</si>
  <si>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</si>
  <si>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</si>
  <si>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</si>
  <si>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</si>
  <si>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</si>
  <si>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</si>
  <si>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</si>
  <si>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</si>
  <si>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</si>
  <si>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</si>
  <si>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</si>
  <si>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</si>
  <si>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</si>
  <si>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</si>
  <si>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</si>
  <si>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</si>
  <si>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</si>
  <si>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</si>
  <si>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</si>
  <si>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</si>
  <si>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</si>
  <si>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</si>
  <si>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</si>
  <si>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</si>
  <si>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</si>
  <si>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</si>
  <si>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</si>
  <si>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</si>
  <si>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</si>
  <si>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</si>
  <si>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</si>
  <si>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</si>
  <si>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</si>
  <si>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</si>
  <si>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</si>
  <si>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</si>
  <si>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</si>
  <si>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</si>
  <si>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</si>
  <si>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</si>
  <si>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</si>
  <si>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</si>
  <si>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</si>
  <si>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</si>
  <si>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</si>
  <si>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</si>
  <si>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</si>
  <si>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</si>
  <si>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</si>
  <si>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</si>
  <si>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</si>
  <si>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</si>
  <si>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</si>
  <si>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</si>
  <si>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</si>
  <si>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</si>
  <si>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</si>
  <si>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</si>
  <si>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</si>
  <si>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</si>
  <si>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</si>
  <si>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</si>
  <si>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</si>
  <si>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</si>
  <si>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</si>
  <si>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</si>
  <si>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</si>
  <si>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</si>
  <si>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</si>
  <si>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</si>
  <si>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</si>
  <si>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</si>
  <si>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</si>
  <si>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</si>
  <si>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</si>
  <si>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</si>
  <si>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</si>
  <si>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</si>
  <si>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</si>
  <si>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</si>
  <si>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</si>
  <si>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</si>
  <si>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</si>
  <si>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</si>
  <si>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</si>
  <si>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</si>
  <si>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</si>
  <si>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</si>
  <si>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</si>
  <si>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</si>
  <si>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</si>
  <si>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</si>
  <si>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</si>
  <si>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</si>
  <si>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</si>
  <si>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</si>
  <si>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</si>
  <si>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</si>
  <si>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</si>
  <si>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</si>
  <si>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</si>
  <si>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</si>
  <si>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</si>
  <si>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</si>
  <si>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</si>
  <si>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</si>
  <si>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</si>
  <si>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</si>
  <si>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</si>
  <si>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</si>
  <si>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</si>
  <si>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</si>
  <si>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</si>
  <si>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</si>
  <si>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</si>
  <si>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</si>
  <si>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</si>
  <si>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</si>
  <si>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</si>
  <si>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</si>
  <si>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</si>
  <si>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</si>
  <si>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</si>
  <si>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</si>
  <si>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</si>
  <si>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</si>
  <si>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</si>
  <si>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</si>
  <si>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</si>
  <si>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</si>
  <si>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</si>
  <si>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</si>
  <si>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</si>
  <si>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</si>
  <si>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</si>
  <si>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</si>
  <si>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</si>
  <si>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</si>
  <si>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</si>
  <si>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</si>
  <si>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</si>
  <si>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</si>
  <si>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</si>
  <si>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</si>
  <si>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</si>
  <si>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</si>
  <si>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</si>
  <si>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</si>
  <si>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</si>
  <si>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</si>
  <si>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</si>
  <si>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</si>
  <si>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</si>
  <si>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</si>
  <si>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</si>
  <si>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</si>
  <si>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</si>
  <si>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</si>
  <si>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</si>
  <si>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</si>
  <si>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</si>
  <si>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</si>
  <si>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</si>
  <si>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</si>
  <si>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</si>
  <si>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</si>
  <si>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</si>
  <si>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</si>
  <si>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</si>
  <si>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</si>
  <si>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</si>
  <si>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</si>
  <si>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</si>
  <si>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</si>
  <si>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</si>
  <si>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</si>
  <si>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</si>
  <si>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</si>
  <si>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</si>
  <si>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</si>
  <si>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</si>
  <si>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</si>
  <si>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</si>
  <si>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</si>
  <si>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</si>
  <si>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</si>
  <si>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</si>
  <si>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</si>
  <si>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</si>
  <si>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</si>
  <si>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</si>
  <si>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</si>
  <si>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</si>
  <si>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</si>
  <si>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</si>
  <si>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</si>
  <si>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</si>
  <si>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</si>
  <si>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</si>
  <si>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</si>
  <si>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</si>
  <si>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</si>
  <si>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</si>
  <si>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</si>
  <si>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</si>
  <si>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</si>
  <si>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</si>
  <si>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</si>
  <si>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</si>
  <si>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</si>
  <si>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</si>
  <si>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</si>
  <si>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</si>
  <si>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</si>
  <si>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</si>
  <si>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</si>
  <si>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</si>
  <si>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</si>
  <si>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</si>
  <si>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</si>
  <si>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</si>
  <si>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</si>
  <si>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</si>
  <si>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</si>
  <si>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</si>
  <si>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</si>
  <si>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</si>
  <si>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</si>
  <si>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</si>
  <si>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</si>
  <si>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</si>
  <si>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</si>
  <si>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</si>
  <si>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</si>
  <si>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</si>
  <si>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</si>
  <si>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</si>
  <si>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</si>
  <si>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</si>
  <si>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</si>
  <si>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</si>
  <si>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</si>
  <si>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</si>
  <si>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</si>
  <si>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</si>
  <si>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</si>
  <si>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</si>
  <si>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</si>
  <si>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</si>
  <si>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</si>
  <si>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</si>
  <si>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</si>
  <si>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</si>
  <si>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</si>
  <si>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</si>
  <si>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</si>
  <si>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</si>
  <si>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</si>
  <si>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</si>
  <si>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</si>
  <si>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</si>
  <si>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</si>
  <si>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</si>
  <si>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</si>
  <si>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</si>
  <si>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</si>
  <si>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</si>
  <si>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</si>
  <si>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</si>
  <si>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</si>
  <si>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</si>
  <si>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</si>
  <si>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</si>
  <si>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</si>
  <si>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</si>
  <si>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</si>
  <si>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</si>
  <si>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</si>
  <si>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</si>
  <si>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</si>
  <si>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</si>
  <si>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</si>
  <si>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</si>
  <si>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</si>
  <si>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</si>
  <si>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</si>
  <si>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</si>
  <si>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</si>
  <si>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</si>
  <si>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</si>
  <si>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</si>
  <si>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</si>
  <si>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</si>
  <si>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</si>
  <si>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</si>
  <si>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</si>
  <si>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</si>
  <si>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</si>
  <si>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</si>
  <si>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</si>
  <si>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</si>
  <si>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</si>
  <si>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</si>
  <si>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</si>
  <si>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</si>
  <si>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</si>
  <si>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</si>
  <si>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</si>
  <si>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</si>
  <si>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</si>
  <si>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</si>
  <si>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</si>
  <si>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</si>
  <si>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</si>
  <si>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</si>
  <si>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</si>
  <si>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</si>
  <si>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</si>
  <si>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</si>
  <si>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</si>
  <si>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</si>
  <si>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</si>
  <si>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</si>
  <si>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</si>
  <si>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</si>
  <si>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</si>
  <si>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</si>
  <si>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</si>
  <si>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</si>
  <si>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</si>
  <si>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</si>
  <si>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</si>
  <si>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</si>
  <si>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</si>
  <si>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</si>
  <si>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</si>
  <si>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</si>
  <si>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</si>
  <si>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</si>
  <si>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</si>
  <si>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</si>
  <si>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</si>
  <si>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</si>
  <si>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</si>
  <si>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</si>
  <si>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</si>
  <si>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</si>
  <si>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</si>
  <si>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</si>
  <si>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</si>
  <si>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</si>
  <si>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</si>
  <si>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</si>
  <si>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</si>
  <si>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</si>
  <si>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</si>
  <si>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</si>
  <si>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</si>
  <si>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</si>
  <si>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</si>
  <si>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</si>
  <si>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</si>
  <si>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</si>
  <si>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</si>
  <si>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</si>
  <si>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</si>
  <si>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</si>
  <si>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</si>
  <si>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</si>
  <si>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</si>
  <si>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</si>
  <si>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</si>
  <si>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</si>
  <si>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</si>
  <si>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</si>
  <si>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</si>
  <si>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</si>
  <si>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</si>
  <si>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</si>
  <si>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</si>
  <si>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</si>
  <si>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</si>
  <si>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</si>
  <si>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</si>
  <si>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</si>
  <si>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</si>
  <si>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</si>
  <si>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</si>
  <si>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</si>
  <si>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</si>
  <si>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</si>
  <si>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</si>
  <si>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</si>
  <si>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</si>
  <si>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</si>
  <si>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</si>
  <si>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</si>
  <si>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</si>
  <si>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</si>
  <si>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</si>
  <si>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</si>
  <si>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</si>
  <si>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</si>
  <si>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</si>
  <si>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</si>
  <si>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</si>
  <si>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</si>
  <si>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</si>
  <si>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</si>
  <si>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</si>
  <si>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</si>
  <si>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</si>
  <si>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</si>
  <si>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</si>
  <si>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</si>
  <si>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</si>
  <si>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</si>
  <si>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</si>
  <si>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</si>
  <si>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</si>
  <si>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</si>
  <si>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</si>
  <si>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</si>
  <si>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</si>
  <si>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</si>
  <si>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</si>
  <si>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</si>
  <si>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</si>
  <si>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</si>
  <si>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</si>
  <si>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</si>
  <si>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</si>
  <si>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</si>
  <si>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</si>
  <si>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</si>
  <si>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</si>
  <si>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</si>
  <si>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</si>
  <si>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</si>
  <si>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</si>
  <si>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</si>
  <si>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</si>
  <si>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</si>
  <si>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</si>
  <si>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</si>
  <si>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</si>
  <si>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</si>
  <si>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</si>
  <si>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</si>
  <si>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</si>
  <si>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</si>
  <si>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</si>
  <si>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</si>
  <si>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</si>
  <si>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</si>
  <si>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</si>
  <si>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</si>
  <si>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</si>
  <si>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</si>
  <si>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</si>
  <si>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</si>
  <si>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</si>
  <si>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</si>
  <si>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</si>
  <si>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</si>
  <si>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</si>
  <si>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</si>
  <si>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</si>
  <si>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</si>
  <si>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</si>
  <si>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</si>
  <si>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</si>
  <si>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</si>
  <si>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</si>
  <si>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</si>
  <si>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</si>
  <si>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</si>
  <si>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</si>
  <si>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</si>
  <si>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</si>
  <si>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</si>
  <si>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</si>
  <si>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</si>
  <si>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</si>
  <si>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</si>
  <si>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</si>
  <si>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</si>
  <si>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</si>
  <si>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</si>
  <si>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</si>
  <si>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</si>
  <si>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</si>
  <si>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</si>
  <si>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</si>
  <si>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</si>
  <si>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</si>
  <si>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</si>
  <si>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</si>
  <si>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</si>
  <si>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</si>
  <si>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</si>
  <si>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</si>
  <si>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</si>
  <si>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</si>
  <si>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</si>
  <si>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</si>
  <si>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</si>
  <si>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</si>
  <si>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</si>
  <si>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</si>
  <si>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</si>
  <si>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</si>
  <si>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</si>
  <si>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</si>
  <si>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</si>
  <si>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</si>
  <si>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</si>
  <si>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</si>
  <si>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</si>
  <si>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</si>
  <si>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</si>
  <si>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</si>
  <si>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</si>
  <si>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</si>
  <si>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</si>
  <si>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</si>
  <si>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</si>
  <si>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</si>
  <si>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</si>
  <si>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</si>
  <si>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</si>
  <si>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</si>
  <si>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</si>
  <si>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</si>
  <si>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</si>
  <si>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</si>
  <si>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</si>
  <si>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</si>
  <si>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</si>
  <si>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</si>
  <si>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</si>
  <si>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</si>
  <si>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</si>
  <si>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</si>
  <si>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</si>
  <si>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</si>
  <si>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</si>
  <si>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</si>
  <si>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</si>
  <si>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</si>
  <si>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</si>
  <si>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</si>
  <si>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</si>
  <si>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</si>
  <si>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</si>
  <si>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</si>
  <si>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</si>
  <si>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</si>
  <si>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</si>
  <si>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</si>
  <si>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</si>
  <si>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</si>
  <si>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</si>
  <si>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</si>
  <si>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</si>
  <si>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</si>
  <si>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</si>
  <si>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</si>
  <si>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</si>
  <si>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</si>
  <si>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</si>
  <si>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</si>
  <si>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</si>
  <si>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</si>
  <si>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</si>
  <si>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</si>
  <si>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</si>
  <si>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</si>
  <si>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</si>
  <si>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</si>
  <si>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</si>
  <si>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</si>
  <si>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</si>
  <si>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</si>
  <si>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</si>
  <si>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</si>
  <si>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</si>
  <si>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</si>
  <si>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</si>
  <si>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</si>
  <si>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</si>
  <si>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</si>
  <si>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</si>
  <si>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</si>
  <si>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</si>
  <si>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</si>
  <si>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</si>
  <si>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</si>
  <si>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</si>
  <si>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</si>
  <si>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</si>
  <si>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</si>
  <si>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</si>
  <si>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</si>
  <si>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</si>
  <si>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</si>
  <si>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</si>
  <si>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</si>
  <si>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</si>
  <si>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</si>
  <si>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</si>
  <si>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</si>
  <si>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</si>
  <si>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</si>
  <si>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</si>
  <si>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</si>
  <si>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</si>
  <si>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</si>
  <si>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</si>
  <si>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</si>
  <si>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</si>
  <si>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</si>
  <si>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</si>
  <si>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</si>
  <si>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</si>
  <si>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</si>
  <si>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</si>
  <si>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</si>
  <si>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</si>
  <si>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</si>
  <si>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</si>
  <si>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</si>
  <si>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</si>
  <si>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</si>
  <si>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</si>
  <si>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</si>
  <si>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</si>
  <si>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</si>
  <si>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</si>
  <si>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</si>
  <si>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</si>
  <si>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</si>
  <si>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</si>
  <si>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</si>
  <si>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</si>
  <si>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</si>
  <si>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</si>
  <si>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</si>
  <si>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</si>
  <si>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</si>
  <si>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</si>
  <si>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</si>
  <si>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</si>
  <si>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</si>
  <si>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</si>
  <si>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</si>
  <si>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</si>
  <si>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</si>
  <si>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</si>
  <si>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</si>
  <si>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</si>
  <si>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</si>
  <si>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</si>
  <si>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</si>
  <si>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</si>
  <si>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</si>
  <si>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</si>
  <si>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</si>
  <si>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</si>
  <si>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</si>
  <si>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</si>
  <si>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</si>
  <si>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</si>
  <si>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</si>
  <si>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</si>
  <si>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</si>
  <si>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</si>
  <si>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</si>
  <si>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</si>
  <si>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</si>
  <si>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</si>
  <si>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</si>
  <si>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</si>
  <si>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</si>
  <si>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</si>
  <si>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</si>
  <si>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</si>
  <si>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</si>
  <si>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</si>
  <si>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</si>
  <si>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</si>
  <si>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</si>
  <si>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</si>
  <si>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</si>
  <si>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</si>
  <si>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</si>
  <si>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</si>
  <si>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</si>
  <si>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</si>
  <si>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</si>
  <si>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</si>
  <si>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</si>
  <si>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</si>
  <si>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</si>
  <si>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</si>
  <si>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</si>
  <si>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</si>
  <si>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</si>
  <si>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</si>
  <si>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</si>
  <si>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</si>
  <si>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</si>
  <si>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</si>
  <si>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</si>
  <si>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</si>
  <si>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</si>
  <si>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</si>
  <si>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</si>
  <si>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</si>
  <si>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</si>
  <si>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</si>
  <si>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</si>
  <si>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</si>
  <si>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</si>
  <si>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</si>
  <si>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</si>
  <si>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</si>
  <si>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</si>
  <si>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</si>
  <si>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</si>
  <si>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</si>
  <si>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</si>
  <si>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</si>
  <si>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</si>
  <si>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</si>
  <si>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</si>
  <si>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</si>
  <si>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</si>
  <si>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</si>
  <si>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</si>
  <si>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</si>
  <si>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</si>
  <si>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</si>
  <si>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</si>
  <si>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</si>
  <si>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</si>
  <si>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</si>
  <si>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</si>
  <si>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</si>
  <si>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</si>
  <si>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</si>
  <si>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</si>
  <si>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</si>
  <si>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</si>
  <si>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</si>
  <si>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</si>
  <si>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</si>
  <si>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</si>
  <si>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</si>
  <si>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</si>
  <si>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</si>
  <si>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</si>
  <si>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</si>
  <si>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</si>
  <si>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</si>
  <si>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</si>
  <si>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</si>
  <si>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</si>
  <si>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</si>
  <si>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</si>
  <si>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</si>
  <si>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</si>
  <si>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</si>
  <si>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</si>
  <si>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</si>
  <si>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</si>
  <si>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</si>
  <si>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</si>
  <si>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</si>
  <si>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</si>
  <si>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</si>
  <si>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</si>
  <si>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</si>
  <si>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</si>
  <si>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</si>
  <si>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</si>
  <si>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</si>
  <si>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</si>
  <si>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</si>
  <si>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</si>
  <si>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</si>
  <si>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</si>
  <si>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</si>
  <si>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</si>
  <si>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</si>
  <si>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</si>
  <si>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</si>
  <si>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</si>
  <si>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</si>
  <si>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</si>
  <si>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</si>
  <si>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</si>
  <si>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</si>
  <si>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</si>
  <si>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</si>
  <si>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</si>
  <si>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</si>
  <si>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</si>
  <si>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</si>
  <si>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</si>
  <si>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</si>
  <si>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</si>
  <si>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</si>
  <si>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</si>
  <si>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</si>
  <si>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</si>
  <si>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</si>
  <si>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</si>
  <si>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</si>
  <si>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</si>
  <si>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</si>
  <si>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</si>
  <si>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</si>
  <si>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</si>
  <si>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</si>
  <si>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</si>
  <si>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</si>
  <si>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</si>
  <si>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</si>
  <si>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</si>
  <si>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</si>
  <si>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</si>
  <si>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</si>
  <si>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</si>
  <si>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</si>
  <si>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</si>
  <si>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</si>
  <si>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</si>
  <si>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</si>
  <si>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</si>
  <si>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</si>
  <si>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</si>
  <si>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</si>
  <si>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</si>
  <si>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</si>
  <si>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</si>
  <si>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</si>
  <si>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</si>
  <si>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</si>
  <si>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</si>
  <si>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</si>
  <si>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</si>
  <si>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</si>
  <si>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</si>
  <si>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</si>
  <si>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</si>
  <si>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</si>
  <si>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</si>
  <si>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</si>
  <si>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</si>
  <si>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</si>
  <si>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</si>
  <si>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</si>
  <si>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</si>
  <si>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</si>
  <si>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</si>
  <si>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</si>
  <si>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</si>
  <si>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</si>
  <si>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</si>
  <si>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</si>
  <si>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</si>
  <si>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</si>
  <si>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</si>
  <si>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</si>
  <si>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</si>
  <si>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</si>
  <si>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</si>
  <si>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</si>
  <si>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</si>
  <si>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</si>
  <si>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</si>
  <si>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</si>
  <si>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</si>
  <si>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</si>
  <si>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</si>
  <si>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</si>
  <si>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</si>
  <si>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</si>
  <si>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</si>
  <si>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</si>
  <si>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</si>
  <si>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</si>
  <si>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</si>
  <si>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</si>
  <si>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</si>
  <si>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</si>
  <si>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</si>
  <si>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</si>
  <si>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</si>
  <si>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</si>
  <si>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</si>
  <si>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</si>
  <si>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</si>
  <si>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</si>
  <si>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</si>
  <si>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</si>
  <si>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</si>
  <si>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</si>
  <si>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</si>
  <si>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</si>
  <si>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</si>
  <si>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</si>
  <si>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</si>
  <si>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</si>
  <si>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</si>
  <si>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</si>
  <si>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</si>
  <si>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</si>
  <si>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</si>
  <si>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</si>
  <si>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</si>
  <si>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</si>
  <si>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</si>
  <si>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</si>
  <si>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</si>
  <si>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</si>
  <si>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</si>
  <si>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</si>
  <si>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</si>
  <si>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</si>
  <si>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</si>
  <si>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</si>
  <si>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</si>
  <si>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</si>
  <si>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</si>
  <si>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</si>
  <si>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</si>
  <si>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</si>
  <si>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</si>
  <si>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</si>
  <si>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</si>
  <si>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</si>
  <si>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</si>
  <si>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</si>
  <si>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</si>
  <si>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</si>
  <si>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</si>
  <si>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</si>
  <si>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</si>
  <si>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</si>
  <si>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</si>
  <si>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</si>
  <si>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</si>
  <si>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</si>
  <si>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</si>
  <si>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</si>
  <si>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</si>
  <si>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</si>
  <si>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</si>
  <si>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</si>
  <si>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</si>
  <si>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</si>
  <si>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</si>
  <si>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</si>
  <si>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</si>
  <si>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</si>
  <si>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</si>
  <si>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</si>
  <si>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</si>
  <si>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</si>
  <si>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</si>
  <si>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</si>
  <si>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</si>
  <si>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</si>
  <si>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</si>
  <si>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</si>
  <si>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</si>
  <si>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</si>
  <si>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</si>
  <si>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</si>
  <si>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</si>
  <si>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</si>
  <si>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</si>
  <si>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</si>
  <si>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</si>
  <si>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</si>
  <si>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</si>
  <si>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</si>
  <si>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</si>
  <si>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</si>
  <si>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</si>
  <si>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</si>
  <si>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</si>
  <si>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</si>
  <si>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</si>
  <si>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</si>
  <si>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</si>
  <si>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</si>
  <si>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</si>
  <si>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</si>
  <si>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</si>
  <si>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</si>
  <si>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</si>
  <si>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</si>
  <si>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</si>
  <si>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</si>
  <si>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</si>
  <si>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</si>
  <si>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</si>
  <si>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</si>
  <si>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</si>
  <si>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</si>
  <si>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</si>
  <si>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</si>
  <si>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</si>
  <si>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</si>
  <si>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</si>
  <si>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</si>
  <si>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</si>
  <si>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</si>
  <si>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</si>
  <si>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</si>
  <si>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</si>
  <si>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</si>
  <si>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</si>
  <si>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</si>
  <si>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</si>
  <si>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</si>
  <si>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</si>
  <si>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</si>
  <si>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</si>
  <si>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</si>
  <si>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</si>
  <si>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</si>
  <si>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</si>
  <si>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</si>
  <si>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</si>
  <si>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</si>
  <si>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</si>
  <si>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</si>
  <si>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</si>
  <si>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</si>
  <si>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</si>
  <si>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</si>
  <si>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</si>
  <si>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</si>
  <si>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</si>
  <si>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</si>
  <si>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</si>
  <si>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</si>
  <si>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</si>
  <si>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</si>
  <si>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</si>
  <si>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</si>
  <si>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</si>
  <si>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</si>
  <si>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</si>
  <si>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</si>
  <si>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</si>
  <si>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</si>
  <si>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</si>
  <si>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FINANCIAL STATEMENTS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</si>
  <si>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</si>
  <si>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</si>
  <si>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</si>
  <si>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</si>
  <si>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</si>
  <si>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</si>
  <si>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</si>
  <si>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</si>
  <si>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</si>
  <si>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</si>
  <si>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</si>
  <si>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</si>
  <si>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</si>
  <si>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</si>
  <si>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</si>
  <si>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</si>
  <si>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</si>
  <si>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</si>
  <si>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</si>
  <si>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</si>
  <si>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</si>
  <si>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</si>
  <si>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</si>
  <si>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</si>
  <si>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</si>
  <si>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</si>
  <si>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</si>
  <si>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</si>
  <si>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</si>
  <si>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</si>
  <si>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</si>
  <si>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</si>
  <si>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</si>
  <si>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</si>
  <si>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</si>
  <si>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</si>
  <si>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</si>
  <si>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</si>
  <si>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</si>
  <si>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</si>
  <si>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</si>
  <si>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</si>
  <si>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</si>
  <si>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</si>
  <si>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</si>
  <si>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</si>
  <si>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</si>
  <si>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</si>
  <si>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</si>
  <si>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</si>
  <si>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</si>
  <si>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</si>
  <si>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</si>
  <si>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</si>
  <si>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</si>
  <si>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</si>
  <si>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</si>
  <si>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</si>
  <si>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</si>
  <si>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</si>
  <si>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</si>
  <si>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</si>
  <si>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</si>
  <si>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</si>
  <si>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</si>
  <si>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</si>
  <si>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</si>
  <si>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</si>
  <si>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</si>
  <si>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</si>
  <si>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</si>
  <si>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</si>
  <si>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</si>
  <si>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</si>
  <si>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</si>
  <si>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</si>
  <si>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</si>
  <si>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</si>
  <si>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</si>
  <si>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</si>
  <si>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</si>
  <si>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</si>
  <si>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</si>
  <si>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</si>
  <si>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</si>
  <si>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</si>
  <si>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</si>
  <si>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</si>
  <si>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</si>
  <si>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</si>
  <si>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</si>
  <si>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</si>
  <si>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</si>
  <si>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</si>
  <si>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</si>
  <si>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</si>
  <si>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</si>
  <si>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</si>
  <si>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</si>
  <si>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</si>
  <si>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</si>
  <si>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</si>
  <si>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</si>
  <si>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</si>
  <si>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</si>
  <si>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</si>
  <si>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</si>
  <si>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</si>
  <si>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</si>
  <si>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</si>
  <si>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</si>
  <si>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</si>
  <si>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</si>
  <si>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</si>
  <si>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</si>
  <si>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</si>
  <si>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</si>
  <si>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</si>
  <si>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</si>
  <si>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</si>
  <si>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</si>
  <si>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</si>
  <si>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</si>
  <si>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</si>
  <si>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</si>
  <si>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</si>
  <si>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</si>
  <si>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</si>
  <si>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</si>
  <si>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</si>
  <si>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</si>
  <si>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</si>
  <si>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</si>
  <si>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</si>
  <si>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</si>
  <si>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</si>
  <si>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</si>
  <si>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</si>
  <si>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</si>
  <si>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</si>
  <si>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</si>
  <si>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</si>
  <si>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</si>
  <si>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</si>
  <si>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</si>
  <si>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</si>
  <si>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</si>
  <si>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</si>
  <si>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</si>
  <si>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</si>
  <si>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</si>
  <si>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</si>
  <si>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</si>
  <si>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</si>
  <si>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</si>
  <si>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</si>
  <si>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</si>
  <si>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</si>
  <si>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</si>
  <si>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</si>
  <si>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</si>
  <si>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</si>
  <si>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</si>
  <si>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</si>
  <si>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</si>
  <si>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</si>
  <si>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</si>
  <si>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</si>
  <si>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</si>
  <si>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</si>
  <si>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</si>
  <si>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</si>
  <si>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</si>
  <si>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</si>
  <si>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</si>
  <si>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</si>
  <si>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</si>
  <si>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</si>
  <si>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</si>
  <si>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</si>
  <si>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</si>
  <si>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</si>
  <si>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</si>
  <si>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</si>
  <si>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</si>
  <si>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</si>
  <si>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</si>
  <si>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</si>
  <si>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</si>
  <si>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</si>
  <si>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</si>
  <si>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</si>
  <si>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</si>
  <si>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</si>
  <si>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</si>
  <si>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</si>
  <si>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</si>
  <si>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</si>
  <si>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</si>
  <si>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</si>
  <si>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</si>
  <si>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</si>
  <si>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</si>
  <si>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</si>
  <si>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</si>
  <si>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</si>
  <si>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</si>
  <si>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</si>
  <si>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</si>
  <si>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</si>
  <si>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</si>
  <si>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</si>
  <si>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</si>
  <si>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</si>
  <si>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</si>
  <si>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</si>
  <si>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</si>
  <si>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</si>
  <si>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</si>
  <si>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</si>
  <si>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</si>
  <si>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</si>
  <si>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</si>
  <si>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</si>
  <si>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</si>
  <si>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</si>
  <si>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</si>
  <si>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</si>
  <si>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</si>
  <si>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</si>
  <si>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</si>
  <si>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</si>
  <si>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</si>
  <si>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</si>
  <si>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</si>
  <si>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</si>
  <si>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</si>
  <si>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</si>
  <si>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</si>
  <si>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</si>
  <si>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</si>
  <si>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</si>
  <si>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</si>
  <si>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</si>
  <si>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</si>
  <si>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</si>
  <si>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</si>
  <si>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</si>
  <si>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</si>
  <si>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</si>
  <si>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</si>
  <si>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</si>
  <si>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</si>
  <si>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</si>
  <si>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</si>
  <si>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</si>
  <si>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</si>
  <si>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</si>
  <si>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</si>
  <si>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</si>
  <si>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</si>
  <si>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</si>
  <si>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</si>
  <si>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</si>
  <si>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</si>
  <si>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</si>
  <si>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</si>
  <si>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</si>
  <si>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</si>
  <si>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</si>
  <si>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</si>
  <si>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</si>
  <si>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</si>
  <si>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</si>
  <si>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</si>
  <si>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</si>
  <si>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</si>
  <si>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</si>
  <si>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</si>
  <si>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</si>
  <si>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</si>
  <si>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</si>
  <si>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</si>
  <si>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</si>
  <si>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</si>
  <si>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</si>
  <si>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</si>
  <si>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</si>
  <si>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</si>
  <si>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</si>
  <si>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</si>
  <si>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</si>
  <si>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</si>
  <si>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</si>
  <si>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</si>
  <si>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</si>
  <si>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</si>
  <si>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</si>
  <si>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</si>
  <si>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</si>
  <si>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</si>
  <si>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</si>
  <si>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</si>
  <si>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</si>
  <si>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</si>
  <si>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</si>
  <si>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</si>
  <si>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</si>
  <si>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</si>
  <si>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</si>
  <si>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</si>
  <si>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</si>
  <si>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</si>
  <si>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</si>
  <si>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</si>
  <si>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</si>
  <si>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</si>
  <si>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</si>
  <si>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</si>
  <si>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</si>
  <si>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</si>
  <si>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</si>
  <si>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</si>
  <si>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</si>
  <si>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</si>
  <si>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</si>
  <si>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</si>
  <si>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</si>
  <si>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</si>
  <si>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</si>
  <si>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</si>
  <si>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</si>
  <si>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</si>
  <si>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</si>
  <si>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</si>
  <si>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</si>
  <si>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</si>
  <si>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</si>
  <si>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</si>
  <si>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</si>
  <si>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</si>
  <si>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</si>
  <si>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</si>
  <si>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</si>
  <si>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</si>
  <si>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</si>
  <si>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</si>
  <si>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</si>
  <si>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</si>
  <si>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</si>
  <si>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</si>
  <si>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</si>
  <si>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</si>
  <si>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</si>
  <si>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</si>
  <si>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</si>
  <si>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</si>
  <si>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</si>
  <si>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</si>
  <si>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</si>
  <si>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</si>
  <si>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</si>
  <si>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</si>
  <si>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</si>
  <si>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</si>
  <si>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</si>
  <si>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</si>
  <si>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</si>
  <si>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</si>
  <si>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</si>
  <si>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</si>
  <si>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</si>
  <si>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</si>
  <si>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</si>
  <si>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</si>
  <si>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</si>
  <si>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</si>
  <si>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</si>
  <si>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</si>
  <si>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</si>
  <si>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</si>
  <si>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</si>
  <si>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</si>
  <si>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</si>
  <si>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</si>
  <si>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</si>
  <si>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</si>
  <si>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</si>
  <si>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</si>
  <si>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</si>
  <si>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</si>
  <si>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</si>
  <si>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</si>
  <si>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</si>
  <si>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</si>
  <si>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</si>
  <si>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</si>
  <si>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</si>
  <si>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</si>
  <si>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</si>
  <si>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</si>
  <si>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</si>
  <si>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</si>
  <si>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</si>
  <si>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</si>
  <si>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</si>
  <si>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</si>
  <si>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</si>
  <si>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</si>
  <si>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</si>
  <si>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</si>
  <si>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</si>
  <si>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</si>
  <si>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</si>
  <si>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</si>
  <si>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</si>
  <si>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</si>
  <si>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</si>
  <si>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</si>
  <si>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</si>
  <si>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</si>
  <si>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</si>
  <si>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</si>
  <si>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</si>
  <si>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</si>
  <si>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</si>
  <si>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</si>
  <si>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</si>
  <si>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</si>
  <si>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</si>
  <si>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</si>
  <si>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</si>
  <si>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</si>
  <si>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</si>
  <si>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</si>
  <si>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</si>
  <si>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</si>
  <si>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</si>
  <si>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</si>
  <si>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</si>
  <si>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</si>
  <si>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</si>
  <si>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</si>
  <si>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</si>
  <si>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</si>
  <si>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</si>
  <si>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</si>
  <si>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</si>
  <si>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</si>
  <si>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</si>
  <si>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</si>
  <si>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</si>
  <si>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</si>
  <si>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</si>
  <si>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</si>
  <si>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</si>
  <si>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</si>
  <si>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</si>
  <si>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</si>
  <si>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</si>
  <si>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</si>
  <si>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</si>
  <si>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</si>
  <si>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</si>
  <si>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</si>
  <si>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</si>
  <si>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</si>
  <si>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</si>
  <si>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</si>
  <si>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</si>
  <si>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</si>
  <si>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</si>
  <si>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</si>
  <si>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</si>
  <si>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</si>
  <si>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</si>
  <si>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</si>
  <si>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</si>
  <si>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</si>
  <si>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</si>
  <si>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</si>
  <si>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</si>
  <si>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</si>
  <si>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</si>
  <si>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</si>
  <si>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</si>
  <si>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</si>
  <si>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</si>
  <si>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</si>
  <si>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</si>
  <si>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</si>
  <si>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</si>
  <si>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</si>
  <si>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</si>
  <si>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</si>
  <si>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</si>
  <si>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</si>
  <si>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</si>
  <si>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</si>
  <si>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</si>
  <si>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</si>
  <si>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</si>
  <si>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</si>
  <si>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</si>
  <si>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</si>
  <si>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</si>
  <si>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</si>
  <si>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</si>
  <si>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</si>
  <si>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</si>
  <si>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</si>
  <si>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</si>
  <si>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</si>
  <si>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</si>
  <si>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</si>
  <si>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</si>
  <si>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</si>
  <si>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</si>
  <si>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</si>
  <si>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</si>
  <si>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</si>
  <si>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</si>
  <si>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</si>
  <si>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</si>
  <si>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</si>
  <si>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</si>
  <si>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</si>
  <si>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</si>
  <si>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</si>
  <si>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</si>
  <si>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</si>
  <si>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</si>
  <si>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</si>
  <si>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</si>
  <si>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</si>
  <si>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</si>
  <si>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</si>
  <si>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</si>
  <si>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</si>
  <si>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</si>
  <si>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</si>
  <si>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</si>
  <si>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</si>
  <si>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</si>
  <si>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</si>
  <si>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</si>
  <si>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</si>
  <si>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</si>
  <si>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</si>
  <si>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</si>
  <si>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</si>
  <si>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</si>
  <si>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</si>
  <si>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</si>
  <si>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</si>
  <si>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</si>
  <si>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</si>
  <si>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</si>
  <si>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</si>
  <si>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</si>
  <si>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</si>
  <si>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</si>
  <si>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</si>
  <si>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</si>
  <si>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</si>
  <si>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</si>
  <si>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</si>
  <si>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</si>
  <si>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</si>
  <si>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</si>
  <si>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</si>
  <si>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</si>
  <si>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</si>
  <si>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</si>
  <si>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</si>
  <si>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</si>
  <si>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</si>
  <si>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</si>
  <si>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</si>
  <si>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</si>
  <si>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</si>
  <si>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</si>
  <si>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</si>
  <si>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</si>
  <si>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</si>
  <si>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</si>
  <si>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</si>
  <si>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</si>
  <si>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</si>
  <si>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</si>
  <si>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</si>
  <si>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</si>
  <si>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</si>
  <si>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</si>
  <si>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</si>
  <si>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</si>
  <si>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</si>
  <si>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</si>
  <si>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</si>
  <si>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</si>
  <si>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</si>
  <si>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</si>
  <si>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</si>
  <si>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</si>
  <si>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</si>
  <si>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</si>
  <si>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</si>
  <si>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</si>
  <si>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</si>
  <si>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</si>
  <si>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</si>
  <si>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</si>
  <si>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</si>
  <si>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</si>
  <si>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</si>
  <si>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</si>
  <si>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</si>
  <si>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</si>
  <si>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</si>
  <si>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</si>
  <si>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</si>
  <si>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</si>
  <si>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</si>
  <si>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</si>
  <si>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</si>
  <si>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</si>
  <si>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</si>
  <si>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</si>
  <si>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</si>
  <si>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</si>
  <si>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</si>
  <si>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</si>
  <si>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</si>
  <si>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</si>
  <si>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</si>
  <si>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</si>
  <si>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</si>
  <si>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</si>
  <si>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</si>
  <si>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</si>
  <si>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</si>
  <si>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</si>
  <si>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</si>
  <si>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</si>
  <si>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</si>
  <si>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</si>
  <si>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</si>
  <si>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</si>
  <si>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</si>
  <si>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</si>
  <si>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</si>
  <si>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</si>
  <si>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</si>
  <si>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</si>
  <si>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</si>
  <si>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</si>
  <si>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</si>
  <si>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</si>
  <si>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</si>
  <si>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</si>
  <si>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</si>
  <si>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</si>
  <si>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</si>
  <si>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</si>
  <si>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</si>
  <si>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</si>
  <si>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</si>
  <si>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</si>
  <si>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</si>
  <si>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</si>
  <si>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</si>
  <si>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</si>
  <si>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</si>
  <si>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</si>
  <si>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</si>
  <si>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</si>
  <si>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</si>
  <si>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</si>
  <si>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</si>
  <si>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</si>
  <si>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</si>
  <si>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</si>
  <si>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</si>
  <si>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</si>
  <si>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</si>
  <si>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</si>
  <si>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</si>
  <si>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</si>
  <si>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</si>
  <si>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</si>
  <si>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</si>
  <si>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</si>
  <si>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</si>
  <si>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</si>
  <si>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</si>
  <si>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</si>
  <si>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</si>
  <si>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</si>
  <si>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</si>
  <si>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</si>
  <si>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</si>
  <si>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</si>
  <si>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</si>
  <si>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</si>
  <si>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</si>
  <si>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</si>
  <si>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</si>
  <si>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</si>
  <si>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</si>
  <si>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</si>
  <si>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</si>
  <si>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</si>
  <si>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</si>
  <si>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</si>
  <si>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</si>
  <si>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</si>
  <si>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</si>
  <si>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</si>
  <si>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</si>
  <si>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</si>
  <si>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</si>
  <si>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</si>
  <si>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</si>
  <si>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</si>
  <si>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</si>
  <si>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</si>
  <si>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</si>
  <si>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17-064-0050-26</t>
  </si>
  <si>
    <t>McLean</t>
  </si>
  <si>
    <t>1809 West Hovey</t>
  </si>
  <si>
    <t>Normal</t>
  </si>
  <si>
    <t>danielmd@unit5.org</t>
  </si>
  <si>
    <t>61761-4339</t>
  </si>
  <si>
    <t>Mark Daniel</t>
  </si>
  <si>
    <t>309-452-4476</t>
  </si>
  <si>
    <t>309-452-7418</t>
  </si>
  <si>
    <t>CliftonLarsonAllen LLP</t>
  </si>
  <si>
    <t>Adam Pulley</t>
  </si>
  <si>
    <t>301 S.W. Adams Street, Suite 1000</t>
  </si>
  <si>
    <t>Peoria</t>
  </si>
  <si>
    <t>IL</t>
  </si>
  <si>
    <t>309-495-8767</t>
  </si>
  <si>
    <t>309-671-4508</t>
  </si>
  <si>
    <t>066-004450</t>
  </si>
  <si>
    <t>Adam.Pulley@claconnect.com</t>
  </si>
  <si>
    <t>General Obligation School Bonds, Series 2008</t>
  </si>
  <si>
    <t>General Obligation School Bonds, Series 2009</t>
  </si>
  <si>
    <t>Refunding Bonds 2011</t>
  </si>
  <si>
    <t>Refunding Bonds 2012</t>
  </si>
  <si>
    <t>General Obligation School Bonds, Series 2013</t>
  </si>
  <si>
    <t>Refunding Bonds 2014</t>
  </si>
  <si>
    <t>General Obligation School Bonds, Series 2016</t>
  </si>
  <si>
    <t>General Obligation School Bonds, Series 2017</t>
  </si>
  <si>
    <t>Refunding Bonds 2017A</t>
  </si>
  <si>
    <t>2009 Lease Certificates</t>
  </si>
  <si>
    <t>2012 Lease Certificates</t>
  </si>
  <si>
    <t>Capital Leases</t>
  </si>
  <si>
    <t>Various</t>
  </si>
  <si>
    <t>3&amp;6</t>
  </si>
  <si>
    <t>General Obligation School Bonds, Series 2017B</t>
  </si>
  <si>
    <t>General Obligation School Bonds, Series 2018</t>
  </si>
  <si>
    <t>Lease Certificates</t>
  </si>
  <si>
    <t>Olympia High School, Ridgeview High School, Tri-Valley High School, University High School</t>
  </si>
  <si>
    <t>Bloomington High School, Blue Ridge High School, Clinton High School, Heyworth High School, LeRoy High School, Lexington High School, Normal Community High School, Normal Community West High School,</t>
  </si>
  <si>
    <t>Page 19 - Line 237 - Other Support Services - Pupils $171</t>
  </si>
  <si>
    <t>Long term debt issues:</t>
  </si>
  <si>
    <t xml:space="preserve">(shown as other financing sources not classified elsewhere). </t>
  </si>
  <si>
    <t>Audit check error is due to capital lease proceeds not being classified as bond proceeds of $616,124</t>
  </si>
  <si>
    <t>Tab is not completed due to District not utilizing the indirect cost rate</t>
  </si>
  <si>
    <t xml:space="preserve">    IL               61761-4339</t>
  </si>
  <si>
    <t>U.S. Department of Agriculture</t>
  </si>
  <si>
    <t>Passed through to the Illinois State Board of Education (ISBE)</t>
  </si>
  <si>
    <t>National School Lunch Program (M)</t>
  </si>
  <si>
    <t>School Breakfast Program (M)</t>
  </si>
  <si>
    <t>Food Commodities (M)</t>
  </si>
  <si>
    <t>Dept of Defense Fresh Fruits and Vegetables (M)</t>
  </si>
  <si>
    <t>Total Nutrition Cluster</t>
  </si>
  <si>
    <t>Total U.S. Department of Agriculture</t>
  </si>
  <si>
    <t>17-4210-00</t>
  </si>
  <si>
    <t>18-4210-00</t>
  </si>
  <si>
    <t>17-4220-00</t>
  </si>
  <si>
    <t>18-4220-00</t>
  </si>
  <si>
    <t>N/A</t>
  </si>
  <si>
    <t>U.S. Department of Education</t>
  </si>
  <si>
    <t>Title I - Low Income - Delinquent Private</t>
  </si>
  <si>
    <t>Federal Special Educ.-IDEA-Room and Board (M)</t>
  </si>
  <si>
    <t>IDEA Part B Flow Through (M)</t>
  </si>
  <si>
    <t>17-4300-00</t>
  </si>
  <si>
    <t>18-4300-00</t>
  </si>
  <si>
    <t>17-4306-00</t>
  </si>
  <si>
    <t>18-4306-00</t>
  </si>
  <si>
    <t>17-4625-00</t>
  </si>
  <si>
    <t>18-4625-00</t>
  </si>
  <si>
    <t>17-4620-00</t>
  </si>
  <si>
    <t>18-4620-00</t>
  </si>
  <si>
    <t>IDEA Part B Pre-School Flow Through (M)</t>
  </si>
  <si>
    <t>17-4600-00</t>
  </si>
  <si>
    <t>18-4600-00</t>
  </si>
  <si>
    <t>Total IDEA Cluster</t>
  </si>
  <si>
    <t>17-4905-00</t>
  </si>
  <si>
    <t>18-4905-00</t>
  </si>
  <si>
    <t>17-4909-00</t>
  </si>
  <si>
    <t>18-4909-00</t>
  </si>
  <si>
    <t>17-4932-00</t>
  </si>
  <si>
    <t>18-4932-00</t>
  </si>
  <si>
    <t>17-4902-PE</t>
  </si>
  <si>
    <t>18-4902-PE</t>
  </si>
  <si>
    <t>Total US Department of Education</t>
  </si>
  <si>
    <t>Total passed through the Illinois State Board of Education</t>
  </si>
  <si>
    <t>Passed through the Illinois Department of Human Services</t>
  </si>
  <si>
    <t>46VF00040</t>
  </si>
  <si>
    <t>46CWF00040</t>
  </si>
  <si>
    <t>Passed through the Illinois Department of Healthcare and Family Services</t>
  </si>
  <si>
    <t>Title III - Immigrant Education Program</t>
  </si>
  <si>
    <t>Title III - Lang Inst Prog-Limited Eng LIPLEP</t>
  </si>
  <si>
    <t>Preschool Expansion Grant</t>
  </si>
  <si>
    <t>Secondary Transition Experience Program</t>
  </si>
  <si>
    <t>Medicaid Administrative Outreach</t>
  </si>
  <si>
    <t>Passed through University of Minnesota</t>
  </si>
  <si>
    <t xml:space="preserve"> U.S. Department of Education</t>
  </si>
  <si>
    <t>Passed through Illinois State University</t>
  </si>
  <si>
    <t>Federal School Leadership grant</t>
  </si>
  <si>
    <t>U.S. Department of Health and Human Services</t>
  </si>
  <si>
    <t>Total Expenditure of Federal Awards</t>
  </si>
  <si>
    <t>U411B110098</t>
  </si>
  <si>
    <t>U363A130063</t>
  </si>
  <si>
    <t>Investing in Innovation (i3) Fund</t>
  </si>
  <si>
    <t>Federal School Leadership grant received in prior year excluded from</t>
  </si>
  <si>
    <t>prior year SEFA</t>
  </si>
  <si>
    <t>Unmodified - Cash Basis</t>
  </si>
  <si>
    <t>Unmodified</t>
  </si>
  <si>
    <t>84.027/84.173</t>
  </si>
  <si>
    <t>10.553/10.555</t>
  </si>
  <si>
    <t>IDEA Cluster</t>
  </si>
  <si>
    <t>None</t>
  </si>
  <si>
    <t>IDEA Part B Flow Through 2018</t>
  </si>
  <si>
    <t>18-4620</t>
  </si>
  <si>
    <t>Illinois State Board of Education</t>
  </si>
  <si>
    <t>U.S Department of Education</t>
  </si>
  <si>
    <t>2017-001</t>
  </si>
  <si>
    <t xml:space="preserve">During our testing of room and board claims, we noted one student's rate changed during the fiscal year, but the rate claimed was not adjusted to reflect the change. </t>
  </si>
  <si>
    <t>Part C - # 20 - See Schedule of Findings and Questioned Costs, pages 42 through 44</t>
  </si>
  <si>
    <t>McLean-DeWitt Regional Vocational System (see below)</t>
  </si>
  <si>
    <t>Peoria, IL 61602</t>
  </si>
  <si>
    <t>SECTION I - SUMMARY OF AUDITORS' RESULTS</t>
  </si>
  <si>
    <t>Type of auditors' report issued:</t>
  </si>
  <si>
    <t>Type of auditors' report issued on compliance for major programs:</t>
  </si>
  <si>
    <t>The accompanying Schedule of Expenditures of Federal Awards includes the federal grant activity of McLean County Unit School District No. 5 (District)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</si>
  <si>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the District provided federal awards to subrecipients as follows:</t>
  </si>
  <si>
    <t>OTHER NON-CASH ASSISTANCE</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</si>
  <si>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</si>
  <si>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Financial reports and reimbursement requests should reconcile to the accounting records.</t>
  </si>
  <si>
    <t>During our testing of reimbursement requests, we noted that the accounting records indicated less expenditures incurred than what was requested for reimbursement.</t>
  </si>
  <si>
    <t>Finding was not repeated</t>
  </si>
  <si>
    <t>Page 10 - Educational Fund, Line 72 - Sales to Pupils - Other - Prepaid Lunches $3,115,740</t>
  </si>
  <si>
    <t>Page 10 - Educational Fund, Line 74 - Other Food Service - Food Sales to Outside Groups $77,115</t>
  </si>
  <si>
    <t>Page 10 - Educational Fund, Line 91 - Sales - Other - Registration Related Fees for Activity Funds $884</t>
  </si>
  <si>
    <t>Page 10 - Line 106 - Other Local Fees</t>
  </si>
  <si>
    <t>Educational Fund - Miscellaneous Revenues $33,830</t>
  </si>
  <si>
    <t>Operations and Maintenance Fund - Miscellaneous Revenues $223,307</t>
  </si>
  <si>
    <t>Page 10 - Line 107 - Other Local Revenues</t>
  </si>
  <si>
    <t>Educational Fund - Miscellaneous Revenues $147,893</t>
  </si>
  <si>
    <t>Operations and Maintenance Fund - Miscellaneous Revenues $207,009</t>
  </si>
  <si>
    <t>Transportation Fund - Miscellaneous Revenues $2,489</t>
  </si>
  <si>
    <t>Tort Fund - Miscellaneous Revenues $12,093</t>
  </si>
  <si>
    <t>Page 12 - Line 171 - Other Restricted Revenue from State Sources</t>
  </si>
  <si>
    <t>Page 14 - Educational Fund - Line 272 - Other Restricted Revenue from Federal Sources: $45,989 STEP Grant</t>
  </si>
  <si>
    <t xml:space="preserve">Page 16 - Line 83 - Other Payments to In-state Government Units - Title I Juvenile Delinquency $62,523 </t>
  </si>
  <si>
    <t>Page 15 - Line 41 - Other Support Services - Pupils - Positive Behavioral Intervention Strategy $14,955</t>
  </si>
  <si>
    <t>Page 16 - Line 120 - Other Support Services - Pupils $446</t>
  </si>
  <si>
    <t>Page 18 - Line 171 - Bond Service Costs $4,586</t>
  </si>
  <si>
    <t>Operations and Maintenance Fund - State of IL Energy Efficient Nicor Grant $216,107</t>
  </si>
  <si>
    <t>Educational Fund - $355,732 Orphanage Tuition, $12,447 STEP Grant, $1,500 ISU Mentoring, and $18,289 State of IL Library Grant</t>
  </si>
  <si>
    <t>Page 24 - Schedule of Long-Term Debt</t>
  </si>
  <si>
    <t>Page 29 - Contracts Paid in Current Year</t>
  </si>
  <si>
    <t>This was noted in one of four reimbursement requests tested. The discrepancy occurred in the third reimbursement request submitted.  The discrepancy was corrected with the final reimbursement request of the grant year.  Thus, total funding for the year was appropriate.</t>
  </si>
  <si>
    <t>The District received $1,062 of federal funds earlier in the year than it should have.</t>
  </si>
  <si>
    <t>The preventative control failed in this instance.  This was an oversight by management when submitting the reimbursement request.</t>
  </si>
  <si>
    <t>We recommend proper oversight over reimbursement requests to ensure expenditures reported agree to the accounting records. Supporting documentation should be reviewed during the approval process of the reimbursement request.</t>
  </si>
  <si>
    <t>Child Nutrition Cluster</t>
  </si>
  <si>
    <t>Total Medicaid Cluster</t>
  </si>
  <si>
    <t>Total 84.010</t>
  </si>
  <si>
    <t>Total 84.365</t>
  </si>
  <si>
    <t xml:space="preserve">Management is confident that the current controls would have caught the discrepancy on the next expenditure report and thus the District would have finished the grant year without an error.  However, management does agree that the controls did fail in the one instance causing the temporary over payment.
The Business Manager and/or the District Administrator will compare the GL report to the reimbursement request prior to submitting the claim.
</t>
  </si>
  <si>
    <t>McLean County 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</si>
</sst>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10">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 fontId="59" fillId="0" borderId="22" xfId="3" applyNumberFormat="1" applyFont="1" applyBorder="1" applyAlignment="1" applyProtection="1">
      <alignment horizontal="left" vertical="center" wrapText="1" indent="1"/>
      <protection locked="0"/>
    </xf>
    <xf numFmtId="3" fontId="59" fillId="0" borderId="22" xfId="3" applyNumberFormat="1" applyFont="1" applyBorder="1" applyAlignment="1" applyProtection="1">
      <alignment horizontal="left" vertical="center" wrapText="1" indent="2"/>
      <protection locked="0"/>
    </xf>
    <xf numFmtId="3" fontId="59" fillId="0" borderId="22" xfId="3" applyNumberFormat="1" applyFont="1" applyFill="1" applyBorder="1" applyAlignment="1" applyProtection="1">
      <alignment horizontal="center"/>
      <protection locked="0"/>
    </xf>
    <xf numFmtId="0" fontId="54" fillId="0" borderId="0" xfId="3" applyFont="1" applyBorder="1" applyAlignment="1" applyProtection="1">
      <alignment wrapText="1"/>
      <protection locked="0"/>
    </xf>
    <xf numFmtId="0" fontId="54" fillId="0" borderId="0" xfId="3" applyFont="1" applyBorder="1" applyAlignment="1" applyProtection="1">
      <alignment horizontal="center"/>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alignment horizontal="left"/>
    </xf>
    <xf numFmtId="0" fontId="62" fillId="0" borderId="0" xfId="3" applyFont="1" applyBorder="1" applyAlignment="1" applyProtection="1">
      <alignment horizontal="left"/>
    </xf>
    <xf numFmtId="0" fontId="62" fillId="0" borderId="40" xfId="3" applyFont="1" applyBorder="1" applyAlignment="1" applyProtection="1">
      <alignment horizontal="left"/>
    </xf>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62" fillId="0" borderId="0" xfId="3" applyNumberFormat="1" applyFont="1" applyAlignment="1">
      <alignment horizontal="center"/>
    </xf>
    <xf numFmtId="165" fontId="62" fillId="0" borderId="0" xfId="3" applyNumberFormat="1" applyFont="1" applyAlignment="1" applyProtection="1">
      <alignment horizontal="center" vertic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6" fontId="54" fillId="0" borderId="0" xfId="3" applyNumberFormat="1" applyFont="1" applyAlignment="1" applyProtection="1">
      <alignment horizontal="left" vertical="top" wrapText="1"/>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CC"/>
      <color rgb="FFFDDFC7"/>
      <color rgb="FFFF9966"/>
      <color rgb="FFDDDDDD"/>
      <color rgb="FFFFCC99"/>
      <color rgb="FF0000FF"/>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406977</xdr:colOff>
          <xdr:row>2</xdr:row>
          <xdr:rowOff>147205</xdr:rowOff>
        </xdr:from>
        <xdr:to>
          <xdr:col>1</xdr:col>
          <xdr:colOff>1318779</xdr:colOff>
          <xdr:row>7</xdr:row>
          <xdr:rowOff>20782</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1682</v>
      </c>
      <c r="B1" s="45"/>
      <c r="C1" s="45"/>
      <c r="D1" s="46"/>
      <c r="I1" s="2003" t="s">
        <v>424</v>
      </c>
      <c r="J1" s="2004"/>
      <c r="K1" s="2004"/>
      <c r="L1" s="2004"/>
      <c r="M1" s="2004"/>
      <c r="N1" s="2004"/>
      <c r="O1" s="2004"/>
      <c r="P1" s="2004"/>
      <c r="Q1" s="2004"/>
      <c r="R1" s="2004"/>
      <c r="S1" s="2004"/>
    </row>
    <row r="2" spans="1:28" ht="12" customHeight="1" x14ac:dyDescent="0.2">
      <c r="A2" s="47" t="s">
        <v>1680</v>
      </c>
      <c r="D2" s="48"/>
      <c r="I2" s="2005" t="s">
        <v>1035</v>
      </c>
      <c r="J2" s="2004"/>
      <c r="K2" s="2004"/>
      <c r="L2" s="2004"/>
      <c r="M2" s="2004"/>
      <c r="N2" s="2004"/>
      <c r="O2" s="2004"/>
      <c r="P2" s="2004"/>
      <c r="Q2" s="2004"/>
      <c r="R2" s="2004"/>
      <c r="S2" s="2004"/>
    </row>
    <row r="3" spans="1:28" ht="12" customHeight="1" x14ac:dyDescent="0.2">
      <c r="A3" s="155" t="s">
        <v>1681</v>
      </c>
      <c r="B3" s="156"/>
      <c r="C3" s="156"/>
      <c r="D3" s="157"/>
      <c r="I3" s="2005" t="s">
        <v>54</v>
      </c>
      <c r="J3" s="2004"/>
      <c r="K3" s="2004"/>
      <c r="L3" s="2004"/>
      <c r="M3" s="2004"/>
      <c r="N3" s="2004"/>
      <c r="O3" s="2004"/>
      <c r="P3" s="2004"/>
      <c r="Q3" s="2004"/>
      <c r="R3" s="2004"/>
      <c r="S3" s="2004"/>
    </row>
    <row r="4" spans="1:28" ht="12" customHeight="1" x14ac:dyDescent="0.2">
      <c r="A4" s="37"/>
      <c r="I4" s="2005" t="s">
        <v>544</v>
      </c>
      <c r="J4" s="2004"/>
      <c r="K4" s="2004"/>
      <c r="L4" s="2004"/>
      <c r="M4" s="2004"/>
      <c r="N4" s="2004"/>
      <c r="O4" s="2004"/>
      <c r="P4" s="2004"/>
      <c r="Q4" s="2004"/>
      <c r="R4" s="2004"/>
      <c r="S4" s="2004"/>
    </row>
    <row r="5" spans="1:28" ht="14.1" customHeight="1" x14ac:dyDescent="0.2">
      <c r="B5" s="104" t="s">
        <v>2069</v>
      </c>
      <c r="C5" s="26" t="s">
        <v>965</v>
      </c>
      <c r="D5" s="84"/>
      <c r="E5" s="84"/>
      <c r="H5" s="38"/>
      <c r="I5" s="2013" t="s">
        <v>700</v>
      </c>
      <c r="J5" s="2012"/>
      <c r="K5" s="2012"/>
      <c r="L5" s="2012"/>
      <c r="M5" s="2012"/>
      <c r="N5" s="2012"/>
      <c r="O5" s="2012"/>
      <c r="P5" s="2012"/>
      <c r="Q5" s="2012"/>
      <c r="R5" s="2012"/>
      <c r="S5" s="2012"/>
    </row>
    <row r="6" spans="1:28" ht="14.1" customHeight="1" x14ac:dyDescent="0.2">
      <c r="B6" s="104"/>
      <c r="C6" s="26" t="s">
        <v>966</v>
      </c>
      <c r="D6" s="84"/>
      <c r="E6" s="84"/>
      <c r="I6" s="2011" t="s">
        <v>937</v>
      </c>
      <c r="J6" s="2012"/>
      <c r="K6" s="2012"/>
      <c r="L6" s="2012"/>
      <c r="M6" s="2012"/>
      <c r="N6" s="2012"/>
      <c r="O6" s="2012"/>
      <c r="P6" s="2012"/>
      <c r="Q6" s="2012"/>
      <c r="R6" s="2012"/>
      <c r="S6" s="2012"/>
    </row>
    <row r="7" spans="1:28" ht="12.2" customHeight="1" x14ac:dyDescent="0.2">
      <c r="I7" s="2006">
        <v>43281</v>
      </c>
      <c r="J7" s="2007"/>
      <c r="K7" s="2007"/>
      <c r="L7" s="2007"/>
      <c r="M7" s="2007"/>
      <c r="N7" s="2007"/>
      <c r="O7" s="2007"/>
      <c r="P7" s="2007"/>
      <c r="Q7" s="2007"/>
      <c r="R7" s="2007"/>
      <c r="S7" s="200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8" t="s">
        <v>694</v>
      </c>
      <c r="J9" s="2009"/>
      <c r="K9" s="2009"/>
      <c r="L9" s="2009"/>
      <c r="M9" s="2009"/>
      <c r="N9" s="2009"/>
      <c r="O9" s="2009"/>
      <c r="P9" s="2009"/>
      <c r="Q9" s="2009"/>
      <c r="R9" s="2009"/>
      <c r="S9" s="2010"/>
      <c r="T9" s="2024" t="s">
        <v>553</v>
      </c>
      <c r="U9" s="2025"/>
      <c r="V9" s="2025"/>
      <c r="W9" s="2025"/>
      <c r="X9" s="2025"/>
      <c r="Y9" s="2025"/>
      <c r="Z9" s="2025"/>
      <c r="AA9" s="2026"/>
    </row>
    <row r="10" spans="1:28" ht="13.5" customHeight="1" x14ac:dyDescent="0.2">
      <c r="A10" s="2031" t="s">
        <v>695</v>
      </c>
      <c r="B10" s="2032"/>
      <c r="C10" s="2032"/>
      <c r="D10" s="2032"/>
      <c r="E10" s="2032"/>
      <c r="F10" s="2032"/>
      <c r="G10" s="2032"/>
      <c r="H10" s="2033"/>
      <c r="I10" s="29"/>
      <c r="J10" s="30"/>
      <c r="K10" s="28"/>
      <c r="R10" s="30"/>
      <c r="S10" s="30"/>
      <c r="T10" s="2027"/>
      <c r="U10" s="2012"/>
      <c r="V10" s="2012"/>
      <c r="W10" s="2012"/>
      <c r="X10" s="2012"/>
      <c r="Y10" s="2012"/>
      <c r="Z10" s="2012"/>
      <c r="AA10" s="2018"/>
    </row>
    <row r="11" spans="1:28" ht="14.25" customHeight="1" x14ac:dyDescent="0.2">
      <c r="A11" s="2034" t="s">
        <v>1011</v>
      </c>
      <c r="B11" s="2035"/>
      <c r="C11" s="2035"/>
      <c r="D11" s="2035"/>
      <c r="E11" s="2035"/>
      <c r="F11" s="2035"/>
      <c r="G11" s="2035"/>
      <c r="H11" s="2036"/>
      <c r="I11" s="27"/>
      <c r="J11" s="74"/>
      <c r="K11" s="27"/>
      <c r="O11" s="148" t="s">
        <v>2069</v>
      </c>
      <c r="P11" s="100" t="s">
        <v>210</v>
      </c>
      <c r="Q11" s="30"/>
      <c r="R11" s="28"/>
      <c r="S11" s="27"/>
      <c r="T11" s="2028"/>
      <c r="U11" s="2029"/>
      <c r="V11" s="2029"/>
      <c r="W11" s="2029"/>
      <c r="X11" s="2029"/>
      <c r="Y11" s="2029"/>
      <c r="Z11" s="2029"/>
      <c r="AA11" s="2030"/>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38" t="s">
        <v>2070</v>
      </c>
      <c r="B13" s="2039"/>
      <c r="C13" s="2039"/>
      <c r="D13" s="2039"/>
      <c r="E13" s="2039"/>
      <c r="F13" s="2039"/>
      <c r="G13" s="2039"/>
      <c r="H13" s="2040"/>
      <c r="I13" s="31"/>
      <c r="J13" s="30"/>
      <c r="K13" s="28"/>
      <c r="L13" s="30"/>
      <c r="M13" s="30"/>
      <c r="N13" s="30"/>
      <c r="O13" s="30"/>
      <c r="P13" s="30"/>
      <c r="Q13" s="30"/>
      <c r="R13" s="30"/>
      <c r="S13" s="30"/>
      <c r="T13" s="2043" t="s">
        <v>2079</v>
      </c>
      <c r="U13" s="2044"/>
      <c r="V13" s="2044"/>
      <c r="W13" s="2044"/>
      <c r="X13" s="2044"/>
      <c r="Y13" s="2045"/>
      <c r="Z13" s="2045"/>
      <c r="AA13" s="2046"/>
    </row>
    <row r="14" spans="1:28" ht="14.1" customHeight="1" x14ac:dyDescent="0.2">
      <c r="A14" s="85" t="s">
        <v>736</v>
      </c>
      <c r="B14" s="76"/>
      <c r="C14" s="76"/>
      <c r="D14" s="76"/>
      <c r="E14" s="76"/>
      <c r="F14" s="76"/>
      <c r="G14" s="76"/>
      <c r="H14" s="53"/>
      <c r="I14" s="116"/>
      <c r="S14" s="48"/>
      <c r="T14" s="85" t="s">
        <v>1392</v>
      </c>
      <c r="U14" s="51"/>
      <c r="V14" s="51"/>
      <c r="W14" s="51"/>
      <c r="X14" s="51"/>
      <c r="Y14" s="45"/>
      <c r="Z14" s="45"/>
      <c r="AA14" s="46"/>
    </row>
    <row r="15" spans="1:28" ht="13.5" customHeight="1" x14ac:dyDescent="0.2">
      <c r="A15" s="2037" t="s">
        <v>2071</v>
      </c>
      <c r="B15" s="2041"/>
      <c r="C15" s="2041"/>
      <c r="D15" s="2041"/>
      <c r="E15" s="2041"/>
      <c r="F15" s="2041"/>
      <c r="G15" s="2041"/>
      <c r="H15" s="2042"/>
      <c r="T15" s="2047" t="s">
        <v>2080</v>
      </c>
      <c r="U15" s="1991"/>
      <c r="V15" s="1991"/>
      <c r="W15" s="1991"/>
      <c r="X15" s="1991"/>
      <c r="Y15" s="2048"/>
      <c r="Z15" s="2048"/>
      <c r="AA15" s="2049"/>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97" t="s">
        <v>2227</v>
      </c>
      <c r="B17" s="1998"/>
      <c r="C17" s="1998"/>
      <c r="D17" s="1998"/>
      <c r="E17" s="1998"/>
      <c r="F17" s="1998"/>
      <c r="G17" s="1998"/>
      <c r="H17" s="2023"/>
      <c r="T17" s="2054" t="s">
        <v>2081</v>
      </c>
      <c r="U17" s="2055"/>
      <c r="V17" s="2055"/>
      <c r="W17" s="2055"/>
      <c r="X17" s="2055"/>
      <c r="Y17" s="2055"/>
      <c r="Z17" s="2055"/>
      <c r="AA17" s="2056"/>
    </row>
    <row r="18" spans="1:27" ht="13.5" customHeight="1" x14ac:dyDescent="0.2">
      <c r="A18" s="85" t="s">
        <v>550</v>
      </c>
      <c r="B18" s="76"/>
      <c r="C18" s="72"/>
      <c r="D18" s="76"/>
      <c r="E18" s="76"/>
      <c r="F18" s="76"/>
      <c r="G18" s="76"/>
      <c r="H18" s="56"/>
      <c r="I18" s="2022" t="s">
        <v>696</v>
      </c>
      <c r="J18" s="1973"/>
      <c r="K18" s="1973"/>
      <c r="L18" s="1973"/>
      <c r="M18" s="1973"/>
      <c r="N18" s="1973"/>
      <c r="O18" s="1973"/>
      <c r="P18" s="1973"/>
      <c r="Q18" s="1973"/>
      <c r="R18" s="1973"/>
      <c r="S18" s="1974"/>
      <c r="T18" s="85" t="s">
        <v>734</v>
      </c>
      <c r="U18" s="51"/>
      <c r="V18" s="72"/>
      <c r="W18" s="50"/>
      <c r="X18" s="85" t="s">
        <v>283</v>
      </c>
      <c r="Y18" s="81"/>
      <c r="Z18" s="159" t="s">
        <v>697</v>
      </c>
      <c r="AA18" s="46"/>
    </row>
    <row r="19" spans="1:27" ht="13.5" customHeight="1" x14ac:dyDescent="0.2">
      <c r="A19" s="2037" t="s">
        <v>2072</v>
      </c>
      <c r="B19" s="1983"/>
      <c r="C19" s="1983"/>
      <c r="D19" s="1983"/>
      <c r="E19" s="1983"/>
      <c r="F19" s="1983"/>
      <c r="G19" s="1983"/>
      <c r="H19" s="1963"/>
      <c r="I19" s="30"/>
      <c r="J19" s="99"/>
      <c r="K19" s="40"/>
      <c r="L19" s="38"/>
      <c r="M19" s="112" t="s">
        <v>332</v>
      </c>
      <c r="P19" s="27"/>
      <c r="Q19" s="27"/>
      <c r="R19" s="27"/>
      <c r="S19" s="31"/>
      <c r="T19" s="2037" t="s">
        <v>2082</v>
      </c>
      <c r="U19" s="1962"/>
      <c r="V19" s="1962"/>
      <c r="W19" s="1963"/>
      <c r="X19" s="2052" t="s">
        <v>2083</v>
      </c>
      <c r="Y19" s="2053"/>
      <c r="Z19" s="2050">
        <v>61602</v>
      </c>
      <c r="AA19" s="2051"/>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61" t="s">
        <v>2073</v>
      </c>
      <c r="B21" s="1962"/>
      <c r="C21" s="1962"/>
      <c r="D21" s="1962"/>
      <c r="E21" s="1962"/>
      <c r="F21" s="1962"/>
      <c r="G21" s="1962"/>
      <c r="H21" s="1963"/>
      <c r="I21" s="2017" t="s">
        <v>698</v>
      </c>
      <c r="J21" s="2012"/>
      <c r="K21" s="2012"/>
      <c r="L21" s="2012"/>
      <c r="M21" s="2012"/>
      <c r="N21" s="2012"/>
      <c r="O21" s="2012"/>
      <c r="P21" s="2012"/>
      <c r="Q21" s="2012"/>
      <c r="R21" s="2012"/>
      <c r="S21" s="2018"/>
      <c r="T21" s="2061" t="s">
        <v>2084</v>
      </c>
      <c r="U21" s="2062"/>
      <c r="V21" s="2062"/>
      <c r="W21" s="2062"/>
      <c r="X21" s="2067" t="s">
        <v>2085</v>
      </c>
      <c r="Y21" s="2068"/>
      <c r="Z21" s="2068"/>
      <c r="AA21" s="2069"/>
    </row>
    <row r="22" spans="1:27" ht="13.5" customHeight="1" x14ac:dyDescent="0.2">
      <c r="A22" s="87" t="s">
        <v>551</v>
      </c>
      <c r="B22" s="59"/>
      <c r="C22" s="59"/>
      <c r="D22" s="59"/>
      <c r="E22" s="59"/>
      <c r="F22" s="59"/>
      <c r="G22" s="59"/>
      <c r="H22" s="60"/>
      <c r="I22" s="2019" t="s">
        <v>1500</v>
      </c>
      <c r="J22" s="2020"/>
      <c r="K22" s="2020"/>
      <c r="L22" s="2020"/>
      <c r="M22" s="2020"/>
      <c r="N22" s="2020"/>
      <c r="O22" s="2020"/>
      <c r="P22" s="2020"/>
      <c r="Q22" s="2020"/>
      <c r="R22" s="2020"/>
      <c r="S22" s="2021"/>
      <c r="T22" s="85" t="s">
        <v>1592</v>
      </c>
      <c r="U22" s="51"/>
      <c r="V22" s="72"/>
      <c r="W22" s="51"/>
      <c r="X22" s="160" t="s">
        <v>1381</v>
      </c>
      <c r="Z22" s="45"/>
      <c r="AA22" s="46"/>
    </row>
    <row r="23" spans="1:27" ht="13.5" customHeight="1" x14ac:dyDescent="0.2">
      <c r="A23" s="2014" t="s">
        <v>2074</v>
      </c>
      <c r="B23" s="2015"/>
      <c r="C23" s="2015"/>
      <c r="D23" s="2015"/>
      <c r="E23" s="2015"/>
      <c r="F23" s="2015"/>
      <c r="G23" s="2015"/>
      <c r="H23" s="2016"/>
      <c r="T23" s="1997" t="s">
        <v>2086</v>
      </c>
      <c r="U23" s="2060"/>
      <c r="V23" s="2060"/>
      <c r="W23" s="2060"/>
      <c r="X23" s="2064">
        <v>43434</v>
      </c>
      <c r="Y23" s="2065"/>
      <c r="Z23" s="2065"/>
      <c r="AA23" s="2066"/>
    </row>
    <row r="24" spans="1:27" ht="14.1" customHeight="1" x14ac:dyDescent="0.2">
      <c r="A24" s="88" t="s">
        <v>697</v>
      </c>
      <c r="B24" s="49"/>
      <c r="C24" s="49"/>
      <c r="D24" s="49"/>
      <c r="E24" s="49"/>
      <c r="F24" s="49"/>
      <c r="G24" s="49"/>
      <c r="H24" s="61"/>
      <c r="J24" s="1984">
        <f>IF(B5="x",IF(AUDITCHECK!D29="AFR form Incomplete.","",IF(AUDITCHECK!D29="Deficit reduction plan is required.","School District must complete a deficit reduction plan in the 2018-2019 Budget",)),"")</f>
        <v>0</v>
      </c>
      <c r="K24" s="1984"/>
      <c r="L24" s="1984"/>
      <c r="M24" s="1984"/>
      <c r="N24" s="1984"/>
      <c r="O24" s="1984"/>
      <c r="P24" s="1984"/>
      <c r="Q24" s="1984"/>
      <c r="R24" s="1984"/>
      <c r="S24" s="1985"/>
      <c r="T24" s="105" t="s">
        <v>551</v>
      </c>
      <c r="U24" s="106"/>
      <c r="V24" s="106"/>
      <c r="W24" s="106"/>
      <c r="X24" s="107"/>
      <c r="Y24" s="107"/>
      <c r="Z24" s="107"/>
      <c r="AA24" s="108"/>
    </row>
    <row r="25" spans="1:27" ht="14.1" customHeight="1" x14ac:dyDescent="0.2">
      <c r="A25" s="1961" t="s">
        <v>2075</v>
      </c>
      <c r="B25" s="1962"/>
      <c r="C25" s="1962"/>
      <c r="D25" s="1962"/>
      <c r="E25" s="1962"/>
      <c r="F25" s="1962"/>
      <c r="G25" s="1962"/>
      <c r="H25" s="1963"/>
      <c r="I25" s="113"/>
      <c r="J25" s="1986"/>
      <c r="K25" s="1986"/>
      <c r="L25" s="1986"/>
      <c r="M25" s="1986"/>
      <c r="N25" s="1986"/>
      <c r="O25" s="1986"/>
      <c r="P25" s="1986"/>
      <c r="Q25" s="1986"/>
      <c r="R25" s="1986"/>
      <c r="S25" s="1987"/>
      <c r="T25" s="2057" t="s">
        <v>2087</v>
      </c>
      <c r="U25" s="2058"/>
      <c r="V25" s="2058"/>
      <c r="W25" s="2058"/>
      <c r="X25" s="2058"/>
      <c r="Y25" s="2058"/>
      <c r="Z25" s="2058"/>
      <c r="AA25" s="20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72" t="s">
        <v>1587</v>
      </c>
      <c r="J27" s="1973"/>
      <c r="K27" s="1973"/>
      <c r="L27" s="1973"/>
      <c r="M27" s="1973"/>
      <c r="N27" s="1973"/>
      <c r="O27" s="1973"/>
      <c r="P27" s="1973"/>
      <c r="Q27" s="1973"/>
      <c r="R27" s="1973"/>
      <c r="S27" s="1974"/>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2069</v>
      </c>
      <c r="F29" s="141" t="s">
        <v>1379</v>
      </c>
      <c r="G29" s="114"/>
      <c r="I29" s="54"/>
      <c r="J29" s="148" t="s">
        <v>2069</v>
      </c>
      <c r="K29" s="28" t="s">
        <v>596</v>
      </c>
      <c r="L29" s="102"/>
      <c r="M29" s="40" t="s">
        <v>101</v>
      </c>
      <c r="N29" s="32" t="s">
        <v>1600</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2069</v>
      </c>
      <c r="K30" s="28" t="s">
        <v>596</v>
      </c>
      <c r="L30" s="102"/>
      <c r="M30" s="40" t="s">
        <v>101</v>
      </c>
      <c r="N30" s="32" t="s">
        <v>1588</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2069</v>
      </c>
      <c r="K31" s="40" t="s">
        <v>939</v>
      </c>
      <c r="L31" s="102"/>
      <c r="M31" s="40" t="s">
        <v>101</v>
      </c>
      <c r="N31" s="32" t="s">
        <v>1678</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83"/>
      <c r="Q35" s="1962"/>
      <c r="R35" s="196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97" t="s">
        <v>2076</v>
      </c>
      <c r="B38" s="1998"/>
      <c r="C38" s="1998"/>
      <c r="D38" s="1998"/>
      <c r="E38" s="1998"/>
      <c r="F38" s="1962"/>
      <c r="G38" s="1962"/>
      <c r="H38" s="1963"/>
      <c r="I38" s="1990"/>
      <c r="J38" s="1991"/>
      <c r="K38" s="1991"/>
      <c r="L38" s="1991"/>
      <c r="M38" s="1991"/>
      <c r="N38" s="1991"/>
      <c r="O38" s="1991"/>
      <c r="P38" s="1992"/>
      <c r="Q38" s="1992"/>
      <c r="R38" s="1992"/>
      <c r="S38" s="1993"/>
      <c r="T38" s="2047"/>
      <c r="U38" s="1991"/>
      <c r="V38" s="1991"/>
      <c r="W38" s="1991"/>
      <c r="X38" s="1992"/>
      <c r="Y38" s="1992"/>
      <c r="Z38" s="1992"/>
      <c r="AA38" s="1993"/>
    </row>
    <row r="39" spans="1:27" ht="12" customHeight="1" x14ac:dyDescent="0.2">
      <c r="A39" s="1967" t="s">
        <v>551</v>
      </c>
      <c r="B39" s="1968"/>
      <c r="C39" s="72"/>
      <c r="D39" s="69"/>
      <c r="E39" s="69"/>
      <c r="F39" s="79"/>
      <c r="G39" s="69"/>
      <c r="H39" s="56"/>
      <c r="I39" s="1967" t="s">
        <v>551</v>
      </c>
      <c r="J39" s="1968"/>
      <c r="K39" s="1968"/>
      <c r="L39" s="1968"/>
      <c r="M39" s="1968"/>
      <c r="N39" s="67"/>
      <c r="O39" s="72"/>
      <c r="P39" s="72"/>
      <c r="Q39" s="78"/>
      <c r="R39" s="72"/>
      <c r="S39" s="56"/>
      <c r="T39" s="72" t="s">
        <v>551</v>
      </c>
      <c r="U39" s="51"/>
      <c r="V39" s="72"/>
      <c r="W39" s="50"/>
      <c r="X39" s="78"/>
      <c r="Y39" s="45"/>
      <c r="Z39" s="45"/>
      <c r="AA39" s="46"/>
    </row>
    <row r="40" spans="1:27" ht="13.5" customHeight="1" x14ac:dyDescent="0.2">
      <c r="A40" s="1975" t="s">
        <v>2074</v>
      </c>
      <c r="B40" s="1976"/>
      <c r="C40" s="1977"/>
      <c r="D40" s="1977"/>
      <c r="E40" s="1977"/>
      <c r="F40" s="1978"/>
      <c r="G40" s="1978"/>
      <c r="H40" s="1979"/>
      <c r="I40" s="2000"/>
      <c r="J40" s="2001"/>
      <c r="K40" s="2001"/>
      <c r="L40" s="2001"/>
      <c r="M40" s="2001"/>
      <c r="N40" s="2001"/>
      <c r="O40" s="2001"/>
      <c r="P40" s="2001"/>
      <c r="Q40" s="2001"/>
      <c r="R40" s="2001"/>
      <c r="S40" s="2002"/>
      <c r="T40" s="2000"/>
      <c r="U40" s="2063"/>
      <c r="V40" s="2001"/>
      <c r="W40" s="2001"/>
      <c r="X40" s="2001"/>
      <c r="Y40" s="2001"/>
      <c r="Z40" s="2001"/>
      <c r="AA40" s="2002"/>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89" t="s">
        <v>2077</v>
      </c>
      <c r="B42" s="1981"/>
      <c r="C42" s="1982"/>
      <c r="D42" s="1980" t="s">
        <v>2078</v>
      </c>
      <c r="E42" s="1981"/>
      <c r="F42" s="1981"/>
      <c r="G42" s="1981"/>
      <c r="H42" s="1982"/>
      <c r="I42" s="1964"/>
      <c r="J42" s="1965"/>
      <c r="K42" s="1965"/>
      <c r="L42" s="1965"/>
      <c r="M42" s="1965"/>
      <c r="N42" s="1965"/>
      <c r="O42" s="1966"/>
      <c r="P42" s="1999"/>
      <c r="Q42" s="1965"/>
      <c r="R42" s="1965"/>
      <c r="S42" s="1966"/>
      <c r="T42" s="1964"/>
      <c r="U42" s="1965"/>
      <c r="V42" s="1965"/>
      <c r="W42" s="1966"/>
      <c r="X42" s="1999"/>
      <c r="Y42" s="1965"/>
      <c r="Z42" s="1965"/>
      <c r="AA42" s="1966"/>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1994"/>
      <c r="B44" s="1995"/>
      <c r="C44" s="1995"/>
      <c r="D44" s="1995"/>
      <c r="E44" s="1995"/>
      <c r="F44" s="1995"/>
      <c r="G44" s="1995"/>
      <c r="H44" s="1996"/>
      <c r="I44" s="1969"/>
      <c r="J44" s="1970"/>
      <c r="K44" s="1970"/>
      <c r="L44" s="1970"/>
      <c r="M44" s="1970"/>
      <c r="N44" s="1970"/>
      <c r="O44" s="1970"/>
      <c r="P44" s="1970"/>
      <c r="Q44" s="1970"/>
      <c r="R44" s="1970"/>
      <c r="S44" s="1971"/>
      <c r="T44" s="1969"/>
      <c r="U44" s="1988"/>
      <c r="V44" s="1988"/>
      <c r="W44" s="1988"/>
      <c r="X44" s="1988"/>
      <c r="Y44" s="1988"/>
      <c r="Z44" s="1970"/>
      <c r="AA44" s="1971"/>
    </row>
    <row r="45" spans="1:27" ht="13.5" customHeight="1" x14ac:dyDescent="0.2">
      <c r="A45" s="41" t="s">
        <v>195</v>
      </c>
      <c r="Q45" s="41" t="s">
        <v>1487</v>
      </c>
      <c r="R45" s="41"/>
      <c r="S45" s="41"/>
      <c r="T45" s="147"/>
      <c r="U45" s="41"/>
      <c r="V45" s="41"/>
      <c r="W45" s="41"/>
      <c r="X45" s="41"/>
      <c r="Y45" s="41"/>
      <c r="Z45" s="41"/>
      <c r="AA45" s="41"/>
    </row>
    <row r="46" spans="1:27" ht="10.5" customHeight="1" x14ac:dyDescent="0.2">
      <c r="A46" s="42" t="s">
        <v>1683</v>
      </c>
      <c r="D46" s="41"/>
      <c r="E46" s="41"/>
      <c r="F46" s="41"/>
      <c r="G46" s="41"/>
      <c r="Q46" s="29" t="s">
        <v>1488</v>
      </c>
      <c r="R46" s="41"/>
      <c r="S46" s="41"/>
      <c r="T46" s="41"/>
      <c r="U46" s="41"/>
      <c r="V46" s="41"/>
      <c r="W46" s="41"/>
      <c r="X46" s="41"/>
      <c r="Y46" s="41"/>
      <c r="Z46" s="41"/>
      <c r="AA46" s="41"/>
    </row>
    <row r="47" spans="1:27" x14ac:dyDescent="0.2">
      <c r="A47" s="137"/>
      <c r="Q47" s="41" t="s">
        <v>2059</v>
      </c>
      <c r="R47" s="41"/>
      <c r="S47" s="41"/>
      <c r="T47" s="41"/>
      <c r="U47" s="41"/>
      <c r="V47" s="41"/>
      <c r="W47" s="41"/>
      <c r="X47" s="41"/>
      <c r="Y47" s="41"/>
      <c r="Z47" s="41"/>
      <c r="AA47" s="41"/>
    </row>
    <row r="48" spans="1:27" x14ac:dyDescent="0.2">
      <c r="Q48" s="41" t="s">
        <v>2060</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3" t="s">
        <v>1898</v>
      </c>
      <c r="B2" s="1550" t="s">
        <v>2029</v>
      </c>
      <c r="C2" s="715" t="s">
        <v>1903</v>
      </c>
      <c r="D2" s="715" t="s">
        <v>1904</v>
      </c>
      <c r="E2" s="715" t="s">
        <v>1905</v>
      </c>
      <c r="F2" s="715" t="s">
        <v>1906</v>
      </c>
    </row>
    <row r="3" spans="1:6" ht="12" customHeight="1" x14ac:dyDescent="0.2">
      <c r="A3" s="2204"/>
      <c r="B3" s="1547"/>
      <c r="C3" s="1548"/>
      <c r="D3" s="1549" t="s">
        <v>274</v>
      </c>
      <c r="E3" s="1548"/>
      <c r="F3" s="1549" t="s">
        <v>275</v>
      </c>
    </row>
    <row r="4" spans="1:6" ht="13.7" customHeight="1" x14ac:dyDescent="0.2">
      <c r="A4" s="716" t="s">
        <v>1216</v>
      </c>
      <c r="B4" s="1771">
        <f>'Revenues 9-14'!C5</f>
        <v>59934058</v>
      </c>
      <c r="C4" s="1546">
        <v>31248752</v>
      </c>
      <c r="D4" s="1774">
        <f>B4-C4</f>
        <v>28685306</v>
      </c>
      <c r="E4" s="1546">
        <v>59837909</v>
      </c>
      <c r="F4" s="1774">
        <f>E4-C4</f>
        <v>28589157</v>
      </c>
    </row>
    <row r="5" spans="1:6" ht="13.7" customHeight="1" x14ac:dyDescent="0.2">
      <c r="A5" s="716" t="s">
        <v>924</v>
      </c>
      <c r="B5" s="1772">
        <f>'Revenues 9-14'!D5</f>
        <v>11017285</v>
      </c>
      <c r="C5" s="585">
        <v>5744256</v>
      </c>
      <c r="D5" s="1775">
        <f t="shared" ref="D5:D18" si="0">B5-C5</f>
        <v>5273029</v>
      </c>
      <c r="E5" s="585">
        <v>10999616</v>
      </c>
      <c r="F5" s="1775">
        <f>E5-C5</f>
        <v>5255360</v>
      </c>
    </row>
    <row r="6" spans="1:6" ht="13.7" customHeight="1" x14ac:dyDescent="0.2">
      <c r="A6" s="716" t="s">
        <v>430</v>
      </c>
      <c r="B6" s="1772">
        <f>'Revenues 9-14'!E5</f>
        <v>21794186</v>
      </c>
      <c r="C6" s="585">
        <v>11322043</v>
      </c>
      <c r="D6" s="1775">
        <f t="shared" si="0"/>
        <v>10472143</v>
      </c>
      <c r="E6" s="585">
        <v>21680462</v>
      </c>
      <c r="F6" s="1775">
        <f t="shared" ref="F6:F18" si="1">E6-C6</f>
        <v>10358419</v>
      </c>
    </row>
    <row r="7" spans="1:6" ht="13.7" customHeight="1" x14ac:dyDescent="0.2">
      <c r="A7" s="716" t="s">
        <v>157</v>
      </c>
      <c r="B7" s="1772">
        <f>'Revenues 9-14'!F5</f>
        <v>4406913</v>
      </c>
      <c r="C7" s="585">
        <v>2297702</v>
      </c>
      <c r="D7" s="1775">
        <f t="shared" si="0"/>
        <v>2109211</v>
      </c>
      <c r="E7" s="585">
        <v>4399846</v>
      </c>
      <c r="F7" s="1775">
        <f t="shared" si="1"/>
        <v>2102144</v>
      </c>
    </row>
    <row r="8" spans="1:6" ht="13.7" customHeight="1" x14ac:dyDescent="0.2">
      <c r="A8" s="716" t="s">
        <v>1240</v>
      </c>
      <c r="B8" s="1772">
        <f>'Revenues 9-14'!G5</f>
        <v>1912008</v>
      </c>
      <c r="C8" s="585">
        <v>1043616</v>
      </c>
      <c r="D8" s="1775">
        <f t="shared" si="0"/>
        <v>868392</v>
      </c>
      <c r="E8" s="585">
        <v>1998410</v>
      </c>
      <c r="F8" s="1775">
        <f t="shared" si="1"/>
        <v>954794</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1101727</v>
      </c>
      <c r="C10" s="585">
        <v>574426</v>
      </c>
      <c r="D10" s="1775">
        <f t="shared" si="0"/>
        <v>527301</v>
      </c>
      <c r="E10" s="585">
        <v>1099962</v>
      </c>
      <c r="F10" s="1775">
        <f t="shared" si="1"/>
        <v>525536</v>
      </c>
    </row>
    <row r="11" spans="1:6" x14ac:dyDescent="0.2">
      <c r="A11" s="716" t="s">
        <v>428</v>
      </c>
      <c r="B11" s="1772">
        <f>'Revenues 9-14'!J5</f>
        <v>5282171</v>
      </c>
      <c r="C11" s="585">
        <v>2870060</v>
      </c>
      <c r="D11" s="1775">
        <f t="shared" si="0"/>
        <v>2412111</v>
      </c>
      <c r="E11" s="585">
        <v>5495848</v>
      </c>
      <c r="F11" s="1775">
        <f t="shared" si="1"/>
        <v>2625788</v>
      </c>
    </row>
    <row r="12" spans="1:6" ht="13.7" customHeight="1" x14ac:dyDescent="0.2">
      <c r="A12" s="716" t="s">
        <v>159</v>
      </c>
      <c r="B12" s="1772">
        <f>'Revenues 9-14'!K5</f>
        <v>1101726</v>
      </c>
      <c r="C12" s="585">
        <v>574426</v>
      </c>
      <c r="D12" s="1775">
        <f t="shared" si="0"/>
        <v>527300</v>
      </c>
      <c r="E12" s="585">
        <v>1099962</v>
      </c>
      <c r="F12" s="1775">
        <f t="shared" si="1"/>
        <v>525536</v>
      </c>
    </row>
    <row r="13" spans="1:6" ht="13.7" customHeight="1" x14ac:dyDescent="0.2">
      <c r="A13" s="716" t="s">
        <v>992</v>
      </c>
      <c r="B13" s="1772">
        <f>SUM('Revenues 9-14'!C6:D6)</f>
        <v>1101727</v>
      </c>
      <c r="C13" s="585">
        <v>574426</v>
      </c>
      <c r="D13" s="1775">
        <f t="shared" si="0"/>
        <v>527301</v>
      </c>
      <c r="E13" s="585">
        <v>1099962</v>
      </c>
      <c r="F13" s="1775">
        <f t="shared" si="1"/>
        <v>525536</v>
      </c>
    </row>
    <row r="14" spans="1:6" ht="13.7" customHeight="1" x14ac:dyDescent="0.2">
      <c r="A14" s="716" t="s">
        <v>429</v>
      </c>
      <c r="B14" s="1772">
        <f>SUM('Revenues 9-14'!C7:D7,'Revenues 9-14'!F7:H7)</f>
        <v>881427</v>
      </c>
      <c r="C14" s="585">
        <v>459540</v>
      </c>
      <c r="D14" s="1775">
        <f t="shared" si="0"/>
        <v>421887</v>
      </c>
      <c r="E14" s="585">
        <v>879969</v>
      </c>
      <c r="F14" s="1775">
        <f t="shared" si="1"/>
        <v>420429</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2209419</v>
      </c>
      <c r="C16" s="585">
        <v>1148047</v>
      </c>
      <c r="D16" s="1775">
        <f t="shared" si="0"/>
        <v>1061372</v>
      </c>
      <c r="E16" s="585">
        <v>2198383</v>
      </c>
      <c r="F16" s="1775">
        <f t="shared" si="1"/>
        <v>1050336</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110742647</v>
      </c>
      <c r="C19" s="1773">
        <f>SUM(C4:C18)</f>
        <v>57857294</v>
      </c>
      <c r="D19" s="1773">
        <f>SUM(D4:D18)</f>
        <v>52885353</v>
      </c>
      <c r="E19" s="1773">
        <f>SUM(E4:E18)</f>
        <v>110790329</v>
      </c>
      <c r="F19" s="1773">
        <f>SUM(F4:F18)</f>
        <v>52933035</v>
      </c>
    </row>
    <row r="20" spans="1:6" ht="13.5" thickTop="1" x14ac:dyDescent="0.2">
      <c r="B20" s="714"/>
      <c r="F20" s="717"/>
    </row>
    <row r="21" spans="1:6" x14ac:dyDescent="0.2">
      <c r="A21" s="718" t="s">
        <v>1908</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5" t="s">
        <v>649</v>
      </c>
      <c r="B1" s="2223"/>
      <c r="C1" s="722"/>
    </row>
    <row r="2" spans="1:7" ht="33.75" x14ac:dyDescent="0.2">
      <c r="A2" s="2230" t="s">
        <v>1898</v>
      </c>
      <c r="B2" s="2231"/>
      <c r="C2" s="1909" t="s">
        <v>2030</v>
      </c>
      <c r="D2" s="724" t="s">
        <v>2037</v>
      </c>
      <c r="E2" s="724" t="s">
        <v>2038</v>
      </c>
      <c r="F2" s="1909" t="s">
        <v>2031</v>
      </c>
    </row>
    <row r="3" spans="1:7" ht="15.75" customHeight="1" x14ac:dyDescent="0.2">
      <c r="A3" s="2232" t="s">
        <v>1175</v>
      </c>
      <c r="B3" s="2233"/>
      <c r="C3" s="2226"/>
      <c r="D3" s="2227"/>
      <c r="E3" s="2227"/>
      <c r="F3" s="2228"/>
    </row>
    <row r="4" spans="1:7" ht="12.75" customHeight="1" thickBot="1" x14ac:dyDescent="0.25">
      <c r="A4" s="2220" t="s">
        <v>650</v>
      </c>
      <c r="B4" s="2221"/>
      <c r="C4" s="581"/>
      <c r="D4" s="581"/>
      <c r="E4" s="581"/>
      <c r="F4" s="1777">
        <f>SUM(C4+D4)-E4</f>
        <v>0</v>
      </c>
    </row>
    <row r="5" spans="1:7" ht="15.75" customHeight="1" thickTop="1" x14ac:dyDescent="0.2">
      <c r="A5" s="2224" t="s">
        <v>1171</v>
      </c>
      <c r="B5" s="2219"/>
      <c r="C5" s="2213"/>
      <c r="D5" s="2214"/>
      <c r="E5" s="2214"/>
      <c r="F5" s="2215"/>
    </row>
    <row r="6" spans="1:7" ht="12.75" customHeight="1" thickBot="1" x14ac:dyDescent="0.25">
      <c r="A6" s="725" t="s">
        <v>66</v>
      </c>
      <c r="B6" s="726"/>
      <c r="C6" s="727"/>
      <c r="D6" s="585">
        <v>11000000</v>
      </c>
      <c r="E6" s="727">
        <v>11000000</v>
      </c>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16" t="s">
        <v>651</v>
      </c>
      <c r="B15" s="2217"/>
      <c r="C15" s="1777">
        <f>SUM(C6:C14)</f>
        <v>0</v>
      </c>
      <c r="D15" s="1777">
        <f>SUM(D6:D14)</f>
        <v>11000000</v>
      </c>
      <c r="E15" s="1777">
        <f>SUM(E6:E14)</f>
        <v>11000000</v>
      </c>
      <c r="F15" s="1777">
        <f>SUM(F6:F14)</f>
        <v>0</v>
      </c>
      <c r="G15" s="552"/>
    </row>
    <row r="16" spans="1:7" s="202" customFormat="1" ht="15.75" customHeight="1" thickTop="1" x14ac:dyDescent="0.2">
      <c r="A16" s="2229" t="s">
        <v>1172</v>
      </c>
      <c r="B16" s="2219"/>
      <c r="C16" s="2213"/>
      <c r="D16" s="2214"/>
      <c r="E16" s="2214"/>
      <c r="F16" s="2215"/>
    </row>
    <row r="17" spans="1:11" ht="12.75" customHeight="1" thickBot="1" x14ac:dyDescent="0.25">
      <c r="A17" s="2211" t="s">
        <v>66</v>
      </c>
      <c r="B17" s="2212"/>
      <c r="C17" s="727"/>
      <c r="D17" s="585"/>
      <c r="E17" s="727"/>
      <c r="F17" s="1777">
        <f>SUM(C17+D17)-E17</f>
        <v>0</v>
      </c>
    </row>
    <row r="18" spans="1:11" ht="12.75" customHeight="1" thickTop="1" thickBot="1" x14ac:dyDescent="0.25">
      <c r="A18" s="2211" t="s">
        <v>6</v>
      </c>
      <c r="B18" s="2212"/>
      <c r="C18" s="727"/>
      <c r="D18" s="585"/>
      <c r="E18" s="727"/>
      <c r="F18" s="1777">
        <f>SUM(C18+D18)-E18</f>
        <v>0</v>
      </c>
    </row>
    <row r="19" spans="1:11" ht="12.75" customHeight="1" thickTop="1" thickBot="1" x14ac:dyDescent="0.25">
      <c r="A19" s="2211" t="s">
        <v>405</v>
      </c>
      <c r="B19" s="2212"/>
      <c r="C19" s="727"/>
      <c r="D19" s="585"/>
      <c r="E19" s="727"/>
      <c r="F19" s="1777">
        <f>SUM(C19+D19)-E19</f>
        <v>0</v>
      </c>
    </row>
    <row r="20" spans="1:11" ht="12.75" customHeight="1" thickTop="1" thickBot="1" x14ac:dyDescent="0.25">
      <c r="A20" s="2211" t="s">
        <v>467</v>
      </c>
      <c r="B20" s="2212"/>
      <c r="C20" s="727"/>
      <c r="D20" s="585"/>
      <c r="E20" s="727"/>
      <c r="F20" s="1777">
        <f>SUM(C20+D20)-E20</f>
        <v>0</v>
      </c>
    </row>
    <row r="21" spans="1:11" ht="14.25" thickTop="1" thickBot="1" x14ac:dyDescent="0.25">
      <c r="A21" s="2216" t="s">
        <v>652</v>
      </c>
      <c r="B21" s="2217"/>
      <c r="C21" s="1777">
        <f>SUM(C17:C20)</f>
        <v>0</v>
      </c>
      <c r="D21" s="1777">
        <f>SUM(D17:D20)</f>
        <v>0</v>
      </c>
      <c r="E21" s="1777">
        <f>SUM(E17:E20)</f>
        <v>0</v>
      </c>
      <c r="F21" s="1777">
        <f>SUM(F17:F20)</f>
        <v>0</v>
      </c>
      <c r="G21" s="552"/>
    </row>
    <row r="22" spans="1:11" ht="15.75" customHeight="1" thickTop="1" x14ac:dyDescent="0.2">
      <c r="A22" s="2218" t="s">
        <v>1173</v>
      </c>
      <c r="B22" s="2219"/>
      <c r="C22" s="2213"/>
      <c r="D22" s="2214"/>
      <c r="E22" s="2214"/>
      <c r="F22" s="2215"/>
    </row>
    <row r="23" spans="1:11" ht="13.5" thickBot="1" x14ac:dyDescent="0.25">
      <c r="A23" s="2220" t="s">
        <v>653</v>
      </c>
      <c r="B23" s="2221"/>
      <c r="C23" s="581"/>
      <c r="D23" s="581"/>
      <c r="E23" s="581"/>
      <c r="F23" s="1777">
        <f>SUM(C23+D23)-E23</f>
        <v>0</v>
      </c>
      <c r="G23" s="552"/>
    </row>
    <row r="24" spans="1:11" ht="15.75" customHeight="1" thickTop="1" x14ac:dyDescent="0.2">
      <c r="A24" s="2218" t="s">
        <v>1174</v>
      </c>
      <c r="B24" s="2219"/>
      <c r="C24" s="2213"/>
      <c r="D24" s="2214"/>
      <c r="E24" s="2214"/>
      <c r="F24" s="2215"/>
    </row>
    <row r="25" spans="1:11" ht="13.5" thickBot="1" x14ac:dyDescent="0.25">
      <c r="A25" s="2220" t="s">
        <v>654</v>
      </c>
      <c r="B25" s="2221"/>
      <c r="C25" s="581"/>
      <c r="D25" s="581"/>
      <c r="E25" s="581"/>
      <c r="F25" s="1777">
        <f>SUM(C25+D25)-E25</f>
        <v>0</v>
      </c>
      <c r="G25" s="552"/>
    </row>
    <row r="26" spans="1:11" ht="15.75" customHeight="1" thickTop="1" x14ac:dyDescent="0.2">
      <c r="A26" s="2224" t="s">
        <v>677</v>
      </c>
      <c r="B26" s="2219"/>
      <c r="C26" s="728"/>
      <c r="D26" s="728"/>
      <c r="E26" s="728"/>
      <c r="F26" s="729"/>
    </row>
    <row r="27" spans="1:11" ht="13.5" thickBot="1" x14ac:dyDescent="0.25">
      <c r="A27" s="2216" t="s">
        <v>1129</v>
      </c>
      <c r="B27" s="2217"/>
      <c r="C27" s="585"/>
      <c r="D27" s="585"/>
      <c r="E27" s="585"/>
      <c r="F27" s="1777">
        <f>SUM(C27+D27)-E27</f>
        <v>0</v>
      </c>
      <c r="G27" s="552"/>
    </row>
    <row r="28" spans="1:11" ht="7.5" customHeight="1" thickTop="1" x14ac:dyDescent="0.2">
      <c r="A28" s="594"/>
    </row>
    <row r="29" spans="1:11" ht="23.25" customHeight="1" x14ac:dyDescent="0.2">
      <c r="A29" s="2222" t="s">
        <v>602</v>
      </c>
      <c r="B29" s="2223"/>
      <c r="C29" s="730"/>
      <c r="D29" s="730"/>
      <c r="E29" s="730"/>
      <c r="F29" s="730"/>
      <c r="G29" s="730"/>
      <c r="H29" s="730"/>
      <c r="I29" s="730"/>
      <c r="J29" s="730"/>
    </row>
    <row r="30" spans="1:11" ht="33.75" x14ac:dyDescent="0.2">
      <c r="A30" s="1551" t="s">
        <v>1130</v>
      </c>
      <c r="B30" s="731" t="s">
        <v>1185</v>
      </c>
      <c r="C30" s="1910" t="s">
        <v>603</v>
      </c>
      <c r="D30" s="1910" t="s">
        <v>1768</v>
      </c>
      <c r="E30" s="1910" t="s">
        <v>2032</v>
      </c>
      <c r="F30" s="1910" t="s">
        <v>2033</v>
      </c>
      <c r="G30" s="1910" t="s">
        <v>2036</v>
      </c>
      <c r="H30" s="1910" t="s">
        <v>2034</v>
      </c>
      <c r="I30" s="1910" t="s">
        <v>2035</v>
      </c>
      <c r="J30" s="1911" t="s">
        <v>2</v>
      </c>
      <c r="K30" s="732"/>
    </row>
    <row r="31" spans="1:11" ht="12" customHeight="1" x14ac:dyDescent="0.2">
      <c r="A31" s="733" t="s">
        <v>2088</v>
      </c>
      <c r="B31" s="734">
        <v>39566</v>
      </c>
      <c r="C31" s="735">
        <v>82260000</v>
      </c>
      <c r="D31" s="736" t="s">
        <v>2101</v>
      </c>
      <c r="E31" s="735">
        <v>4005000</v>
      </c>
      <c r="F31" s="735"/>
      <c r="G31" s="735"/>
      <c r="H31" s="735">
        <v>4005000</v>
      </c>
      <c r="I31" s="1778">
        <f>((E31+F31)-H31)+G31</f>
        <v>0</v>
      </c>
      <c r="J31" s="735"/>
      <c r="K31" s="737"/>
    </row>
    <row r="32" spans="1:11" ht="12" customHeight="1" x14ac:dyDescent="0.2">
      <c r="A32" s="733" t="s">
        <v>2089</v>
      </c>
      <c r="B32" s="734">
        <v>39882</v>
      </c>
      <c r="C32" s="735">
        <v>31700000</v>
      </c>
      <c r="D32" s="736" t="s">
        <v>2101</v>
      </c>
      <c r="E32" s="735">
        <v>29700000</v>
      </c>
      <c r="F32" s="735"/>
      <c r="G32" s="735"/>
      <c r="H32" s="735"/>
      <c r="I32" s="1778">
        <f>((E32+F32)-H32)+G32</f>
        <v>29700000</v>
      </c>
      <c r="J32" s="735">
        <f>+I32-'Assets-Liab 5-6'!N21</f>
        <v>18281660</v>
      </c>
      <c r="K32" s="737"/>
    </row>
    <row r="33" spans="1:11" ht="12" customHeight="1" x14ac:dyDescent="0.2">
      <c r="A33" s="733" t="s">
        <v>2090</v>
      </c>
      <c r="B33" s="734">
        <v>40788</v>
      </c>
      <c r="C33" s="735">
        <v>16450000</v>
      </c>
      <c r="D33" s="736">
        <v>3</v>
      </c>
      <c r="E33" s="735">
        <v>7860000</v>
      </c>
      <c r="F33" s="735"/>
      <c r="G33" s="735"/>
      <c r="H33" s="735">
        <v>2765000</v>
      </c>
      <c r="I33" s="1778">
        <f t="shared" ref="I33:I48" si="1">((E33+F33)-H33)+G33</f>
        <v>5095000</v>
      </c>
      <c r="J33" s="735">
        <v>5095000</v>
      </c>
      <c r="K33" s="737"/>
    </row>
    <row r="34" spans="1:11" ht="12" customHeight="1" x14ac:dyDescent="0.2">
      <c r="A34" s="733" t="s">
        <v>2091</v>
      </c>
      <c r="B34" s="734">
        <v>41214</v>
      </c>
      <c r="C34" s="735">
        <v>50645000</v>
      </c>
      <c r="D34" s="736">
        <v>3</v>
      </c>
      <c r="E34" s="735">
        <v>10335000</v>
      </c>
      <c r="F34" s="735"/>
      <c r="G34" s="735"/>
      <c r="H34" s="735">
        <v>8545000</v>
      </c>
      <c r="I34" s="1778">
        <f t="shared" si="1"/>
        <v>1790000</v>
      </c>
      <c r="J34" s="735">
        <v>1790000</v>
      </c>
      <c r="K34" s="738"/>
    </row>
    <row r="35" spans="1:11" ht="12" customHeight="1" x14ac:dyDescent="0.2">
      <c r="A35" s="733" t="s">
        <v>2092</v>
      </c>
      <c r="B35" s="734">
        <v>41353</v>
      </c>
      <c r="C35" s="739">
        <v>3740000</v>
      </c>
      <c r="D35" s="736">
        <v>6</v>
      </c>
      <c r="E35" s="739">
        <v>760000</v>
      </c>
      <c r="F35" s="739"/>
      <c r="G35" s="739"/>
      <c r="H35" s="739">
        <v>760000</v>
      </c>
      <c r="I35" s="1778">
        <f t="shared" si="1"/>
        <v>0</v>
      </c>
      <c r="J35" s="739"/>
      <c r="K35" s="738"/>
    </row>
    <row r="36" spans="1:11" ht="12" customHeight="1" x14ac:dyDescent="0.2">
      <c r="A36" s="733" t="s">
        <v>2093</v>
      </c>
      <c r="B36" s="734">
        <v>42003</v>
      </c>
      <c r="C36" s="735">
        <v>2010000</v>
      </c>
      <c r="D36" s="736">
        <v>3</v>
      </c>
      <c r="E36" s="735">
        <v>2010000</v>
      </c>
      <c r="F36" s="735"/>
      <c r="G36" s="735"/>
      <c r="H36" s="735"/>
      <c r="I36" s="1778">
        <f t="shared" si="1"/>
        <v>2010000</v>
      </c>
      <c r="J36" s="735">
        <v>2010000</v>
      </c>
      <c r="K36" s="740"/>
    </row>
    <row r="37" spans="1:11" ht="12" customHeight="1" x14ac:dyDescent="0.2">
      <c r="A37" s="733" t="s">
        <v>2094</v>
      </c>
      <c r="B37" s="734">
        <v>42450</v>
      </c>
      <c r="C37" s="467">
        <v>9585000</v>
      </c>
      <c r="D37" s="741" t="s">
        <v>2101</v>
      </c>
      <c r="E37" s="467">
        <v>9585000</v>
      </c>
      <c r="F37" s="467"/>
      <c r="G37" s="467"/>
      <c r="H37" s="467"/>
      <c r="I37" s="1778">
        <f t="shared" si="1"/>
        <v>9585000</v>
      </c>
      <c r="J37" s="467">
        <v>9585000</v>
      </c>
      <c r="K37" s="738"/>
    </row>
    <row r="38" spans="1:11" ht="12" customHeight="1" x14ac:dyDescent="0.2">
      <c r="A38" s="733" t="s">
        <v>2095</v>
      </c>
      <c r="B38" s="734">
        <v>42767</v>
      </c>
      <c r="C38" s="735">
        <v>3500000</v>
      </c>
      <c r="D38" s="742">
        <v>6</v>
      </c>
      <c r="E38" s="743">
        <v>3500000</v>
      </c>
      <c r="F38" s="743"/>
      <c r="G38" s="743"/>
      <c r="H38" s="743">
        <v>660000</v>
      </c>
      <c r="I38" s="1778">
        <f t="shared" si="1"/>
        <v>2840000</v>
      </c>
      <c r="J38" s="744">
        <v>2840000</v>
      </c>
      <c r="K38" s="745"/>
    </row>
    <row r="39" spans="1:11" ht="12" customHeight="1" x14ac:dyDescent="0.2">
      <c r="A39" s="733" t="s">
        <v>2096</v>
      </c>
      <c r="B39" s="734">
        <v>42815</v>
      </c>
      <c r="C39" s="735">
        <v>65330000</v>
      </c>
      <c r="D39" s="742">
        <v>3</v>
      </c>
      <c r="E39" s="743">
        <v>65330000</v>
      </c>
      <c r="F39" s="743"/>
      <c r="G39" s="743"/>
      <c r="H39" s="743">
        <v>90000</v>
      </c>
      <c r="I39" s="1778">
        <f t="shared" si="1"/>
        <v>65240000</v>
      </c>
      <c r="J39" s="744">
        <v>65240000</v>
      </c>
      <c r="K39" s="745"/>
    </row>
    <row r="40" spans="1:11" ht="12" customHeight="1" x14ac:dyDescent="0.2">
      <c r="A40" s="733" t="s">
        <v>2102</v>
      </c>
      <c r="B40" s="734">
        <v>42936</v>
      </c>
      <c r="C40" s="735">
        <v>3500000</v>
      </c>
      <c r="D40" s="742">
        <v>1</v>
      </c>
      <c r="E40" s="743"/>
      <c r="F40" s="743">
        <v>3500000</v>
      </c>
      <c r="G40" s="743"/>
      <c r="H40" s="743"/>
      <c r="I40" s="1778">
        <f t="shared" si="1"/>
        <v>3500000</v>
      </c>
      <c r="J40" s="744">
        <v>3500000</v>
      </c>
      <c r="K40" s="745"/>
    </row>
    <row r="41" spans="1:11" ht="12" customHeight="1" x14ac:dyDescent="0.2">
      <c r="A41" s="733" t="s">
        <v>2103</v>
      </c>
      <c r="B41" s="734">
        <v>43160</v>
      </c>
      <c r="C41" s="735">
        <v>8930000</v>
      </c>
      <c r="D41" s="742">
        <v>4</v>
      </c>
      <c r="E41" s="743"/>
      <c r="F41" s="743">
        <v>8930000</v>
      </c>
      <c r="G41" s="743"/>
      <c r="H41" s="743"/>
      <c r="I41" s="1778">
        <f t="shared" si="1"/>
        <v>8930000</v>
      </c>
      <c r="J41" s="744">
        <v>8930000</v>
      </c>
      <c r="K41" s="745"/>
    </row>
    <row r="42" spans="1:11" ht="12" customHeight="1" x14ac:dyDescent="0.2">
      <c r="A42" s="733" t="s">
        <v>2097</v>
      </c>
      <c r="B42" s="734">
        <v>39882</v>
      </c>
      <c r="C42" s="735">
        <v>3195000</v>
      </c>
      <c r="D42" s="742">
        <v>7</v>
      </c>
      <c r="E42" s="743">
        <v>1095000</v>
      </c>
      <c r="F42" s="743"/>
      <c r="G42" s="743"/>
      <c r="H42" s="743">
        <v>350000</v>
      </c>
      <c r="I42" s="1778">
        <f t="shared" si="1"/>
        <v>745000</v>
      </c>
      <c r="J42" s="744">
        <v>745000</v>
      </c>
      <c r="K42" s="745"/>
    </row>
    <row r="43" spans="1:11" ht="12" customHeight="1" x14ac:dyDescent="0.2">
      <c r="A43" s="733" t="s">
        <v>2098</v>
      </c>
      <c r="B43" s="734">
        <v>41165</v>
      </c>
      <c r="C43" s="735">
        <v>2300000</v>
      </c>
      <c r="D43" s="742">
        <v>7</v>
      </c>
      <c r="E43" s="743">
        <v>1335000</v>
      </c>
      <c r="F43" s="743"/>
      <c r="G43" s="743"/>
      <c r="H43" s="743">
        <v>245000</v>
      </c>
      <c r="I43" s="1778">
        <f t="shared" si="1"/>
        <v>1090000</v>
      </c>
      <c r="J43" s="744">
        <v>1090000</v>
      </c>
      <c r="K43" s="745"/>
    </row>
    <row r="44" spans="1:11" ht="12" customHeight="1" x14ac:dyDescent="0.2">
      <c r="A44" s="733" t="s">
        <v>2099</v>
      </c>
      <c r="B44" s="734" t="s">
        <v>2100</v>
      </c>
      <c r="C44" s="735"/>
      <c r="D44" s="736">
        <v>8</v>
      </c>
      <c r="E44" s="735">
        <v>2235149</v>
      </c>
      <c r="F44" s="735">
        <v>616124</v>
      </c>
      <c r="G44" s="735"/>
      <c r="H44" s="735">
        <v>1850480</v>
      </c>
      <c r="I44" s="1778">
        <f t="shared" si="1"/>
        <v>1000793</v>
      </c>
      <c r="J44" s="735">
        <v>1000793</v>
      </c>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283145000</v>
      </c>
      <c r="D49" s="746"/>
      <c r="E49" s="1778">
        <f t="shared" ref="E49:J49" si="2">SUM(E31:E48)</f>
        <v>137750149</v>
      </c>
      <c r="F49" s="1778">
        <f t="shared" si="2"/>
        <v>13046124</v>
      </c>
      <c r="G49" s="1778">
        <f t="shared" si="2"/>
        <v>0</v>
      </c>
      <c r="H49" s="1778">
        <f t="shared" si="2"/>
        <v>19270480</v>
      </c>
      <c r="I49" s="1778">
        <f t="shared" si="2"/>
        <v>131525793</v>
      </c>
      <c r="J49" s="1778">
        <f t="shared" si="2"/>
        <v>120107453</v>
      </c>
      <c r="K49" s="738"/>
    </row>
    <row r="50" spans="1:11" ht="6" customHeight="1" x14ac:dyDescent="0.2">
      <c r="A50" s="747"/>
      <c r="B50" s="737"/>
      <c r="C50" s="737"/>
      <c r="D50" s="737"/>
      <c r="E50" s="737"/>
      <c r="F50" s="737"/>
      <c r="G50" s="737"/>
      <c r="H50" s="737"/>
      <c r="I50" s="737"/>
      <c r="J50" s="747"/>
    </row>
    <row r="51" spans="1:11" x14ac:dyDescent="0.2">
      <c r="A51" s="748" t="s">
        <v>1907</v>
      </c>
      <c r="B51" s="747"/>
      <c r="C51" s="738"/>
      <c r="D51" s="738"/>
      <c r="E51" s="738"/>
      <c r="F51" s="738"/>
      <c r="G51" s="738"/>
      <c r="H51" s="737"/>
      <c r="I51" s="737"/>
      <c r="J51" s="747"/>
    </row>
    <row r="52" spans="1:11" ht="11.25" customHeight="1" x14ac:dyDescent="0.2">
      <c r="A52" s="749" t="s">
        <v>967</v>
      </c>
      <c r="B52" s="2205" t="s">
        <v>604</v>
      </c>
      <c r="C52" s="2206"/>
      <c r="D52" s="2206"/>
      <c r="E52" s="750" t="s">
        <v>899</v>
      </c>
      <c r="F52" s="2207" t="s">
        <v>2104</v>
      </c>
      <c r="G52" s="2208"/>
      <c r="H52" s="737"/>
      <c r="I52" s="737"/>
      <c r="J52" s="747"/>
    </row>
    <row r="53" spans="1:11" ht="11.25" customHeight="1" x14ac:dyDescent="0.2">
      <c r="A53" s="751" t="s">
        <v>968</v>
      </c>
      <c r="B53" s="752" t="s">
        <v>1007</v>
      </c>
      <c r="C53" s="747"/>
      <c r="D53" s="738"/>
      <c r="E53" s="750" t="s">
        <v>517</v>
      </c>
      <c r="F53" s="2209" t="s">
        <v>2099</v>
      </c>
      <c r="G53" s="2210"/>
      <c r="H53" s="737"/>
      <c r="I53" s="737"/>
      <c r="J53" s="747"/>
    </row>
    <row r="54" spans="1:11" ht="11.25" customHeight="1" x14ac:dyDescent="0.2">
      <c r="A54" s="753" t="s">
        <v>969</v>
      </c>
      <c r="B54" s="748" t="s">
        <v>1008</v>
      </c>
      <c r="C54" s="747"/>
      <c r="D54" s="738"/>
      <c r="E54" s="750" t="s">
        <v>518</v>
      </c>
      <c r="F54" s="2209"/>
      <c r="G54" s="221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910</v>
      </c>
      <c r="B1" s="2235"/>
      <c r="C1" s="2235"/>
      <c r="D1" s="2235"/>
      <c r="E1" s="2235"/>
      <c r="F1" s="2235"/>
      <c r="G1" s="2236"/>
      <c r="H1" s="1552"/>
      <c r="I1" s="761"/>
      <c r="J1" s="433"/>
    </row>
    <row r="2" spans="1:11" ht="26.25" x14ac:dyDescent="0.2">
      <c r="A2" s="2253" t="s">
        <v>1772</v>
      </c>
      <c r="B2" s="2254"/>
      <c r="C2" s="2254"/>
      <c r="D2" s="2254"/>
      <c r="E2" s="2255"/>
      <c r="F2" s="762" t="s">
        <v>959</v>
      </c>
      <c r="G2" s="763" t="s">
        <v>1769</v>
      </c>
      <c r="H2" s="763" t="s">
        <v>429</v>
      </c>
      <c r="I2" s="763" t="s">
        <v>1219</v>
      </c>
      <c r="J2" s="763" t="s">
        <v>1912</v>
      </c>
      <c r="K2" s="763" t="s">
        <v>140</v>
      </c>
    </row>
    <row r="3" spans="1:11" x14ac:dyDescent="0.2">
      <c r="A3" s="2256" t="s">
        <v>1694</v>
      </c>
      <c r="B3" s="2257"/>
      <c r="C3" s="2257"/>
      <c r="D3" s="2257"/>
      <c r="E3" s="2258"/>
      <c r="F3" s="764"/>
      <c r="G3" s="765"/>
      <c r="H3" s="765"/>
      <c r="I3" s="765"/>
      <c r="J3" s="766"/>
      <c r="K3" s="766"/>
    </row>
    <row r="4" spans="1:11" x14ac:dyDescent="0.2">
      <c r="A4" s="2259" t="s">
        <v>386</v>
      </c>
      <c r="B4" s="2260"/>
      <c r="C4" s="2260"/>
      <c r="D4" s="2260"/>
      <c r="E4" s="2206"/>
      <c r="F4" s="767"/>
      <c r="G4" s="768"/>
      <c r="H4" s="769"/>
      <c r="I4" s="768"/>
      <c r="J4" s="770"/>
      <c r="K4" s="770"/>
    </row>
    <row r="5" spans="1:11" x14ac:dyDescent="0.2">
      <c r="A5" s="2237" t="s">
        <v>1128</v>
      </c>
      <c r="B5" s="2238"/>
      <c r="C5" s="2238"/>
      <c r="D5" s="2238"/>
      <c r="E5" s="2239"/>
      <c r="F5" s="771" t="s">
        <v>902</v>
      </c>
      <c r="G5" s="772"/>
      <c r="H5" s="765">
        <f>'Revenues 9-14'!C7</f>
        <v>881427</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f>'Revenues 9-14'!C101</f>
        <v>88004</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f>'Revenues 9-14'!C147</f>
        <v>68486</v>
      </c>
    </row>
    <row r="10" spans="1:11" x14ac:dyDescent="0.2">
      <c r="A10" s="2237" t="s">
        <v>1913</v>
      </c>
      <c r="B10" s="2238"/>
      <c r="C10" s="2238"/>
      <c r="D10" s="2238"/>
      <c r="E10" s="2240"/>
      <c r="F10" s="784" t="s">
        <v>916</v>
      </c>
      <c r="G10" s="783"/>
      <c r="H10" s="785"/>
      <c r="I10" s="765"/>
      <c r="J10" s="766"/>
      <c r="K10" s="766"/>
    </row>
    <row r="11" spans="1:11" x14ac:dyDescent="0.2">
      <c r="A11" s="2237" t="s">
        <v>162</v>
      </c>
      <c r="B11" s="2238"/>
      <c r="C11" s="2238"/>
      <c r="D11" s="2238"/>
      <c r="E11" s="2239"/>
      <c r="F11" s="771" t="s">
        <v>906</v>
      </c>
      <c r="G11" s="772"/>
      <c r="H11" s="765"/>
      <c r="I11" s="765"/>
      <c r="J11" s="766"/>
      <c r="K11" s="774"/>
    </row>
    <row r="12" spans="1:11" ht="13.5" thickBot="1" x14ac:dyDescent="0.25">
      <c r="A12" s="2264" t="s">
        <v>960</v>
      </c>
      <c r="B12" s="2265"/>
      <c r="C12" s="2265"/>
      <c r="D12" s="2265"/>
      <c r="E12" s="2266"/>
      <c r="F12" s="1779"/>
      <c r="G12" s="1780">
        <f>SUM(G5:G11)</f>
        <v>0</v>
      </c>
      <c r="H12" s="1780">
        <f>SUM(H5:H11)</f>
        <v>881427</v>
      </c>
      <c r="I12" s="1780">
        <f>SUM(I5:I11)</f>
        <v>0</v>
      </c>
      <c r="J12" s="1780">
        <f>SUM(J5:J11)</f>
        <v>0</v>
      </c>
      <c r="K12" s="1780">
        <f>SUM(K5:K11)</f>
        <v>156490</v>
      </c>
    </row>
    <row r="13" spans="1:11" ht="13.5" thickTop="1" x14ac:dyDescent="0.2">
      <c r="A13" s="2261" t="s">
        <v>387</v>
      </c>
      <c r="B13" s="2262"/>
      <c r="C13" s="2262"/>
      <c r="D13" s="2262"/>
      <c r="E13" s="2263"/>
      <c r="F13" s="786"/>
      <c r="G13" s="787"/>
      <c r="H13" s="788"/>
      <c r="I13" s="789"/>
      <c r="J13" s="789"/>
      <c r="K13" s="789"/>
    </row>
    <row r="14" spans="1:11" x14ac:dyDescent="0.2">
      <c r="A14" s="2244" t="s">
        <v>475</v>
      </c>
      <c r="B14" s="2244"/>
      <c r="C14" s="2244"/>
      <c r="D14" s="2244"/>
      <c r="E14" s="2245"/>
      <c r="F14" s="790" t="s">
        <v>908</v>
      </c>
      <c r="G14" s="783"/>
      <c r="H14" s="765">
        <f>H12</f>
        <v>881427</v>
      </c>
      <c r="I14" s="772"/>
      <c r="J14" s="774"/>
      <c r="K14" s="766">
        <f>K12</f>
        <v>156490</v>
      </c>
    </row>
    <row r="15" spans="1:11" x14ac:dyDescent="0.2">
      <c r="A15" s="2238" t="s">
        <v>4</v>
      </c>
      <c r="B15" s="2238"/>
      <c r="C15" s="2238"/>
      <c r="D15" s="2238"/>
      <c r="E15" s="2239"/>
      <c r="F15" s="790" t="s">
        <v>909</v>
      </c>
      <c r="G15" s="772"/>
      <c r="H15" s="765"/>
      <c r="I15" s="765"/>
      <c r="J15" s="766"/>
      <c r="K15" s="766"/>
    </row>
    <row r="16" spans="1:11" x14ac:dyDescent="0.2">
      <c r="A16" s="2238" t="s">
        <v>315</v>
      </c>
      <c r="B16" s="2238"/>
      <c r="C16" s="2238"/>
      <c r="D16" s="2238"/>
      <c r="E16" s="2239"/>
      <c r="F16" s="790" t="s">
        <v>979</v>
      </c>
      <c r="G16" s="773"/>
      <c r="H16" s="768"/>
      <c r="I16" s="768"/>
      <c r="J16" s="770"/>
      <c r="K16" s="770"/>
    </row>
    <row r="17" spans="1:11" x14ac:dyDescent="0.2">
      <c r="A17" s="2269" t="s">
        <v>991</v>
      </c>
      <c r="B17" s="2269"/>
      <c r="C17" s="2269"/>
      <c r="D17" s="2269"/>
      <c r="E17" s="2270"/>
      <c r="F17" s="791"/>
      <c r="G17" s="792"/>
      <c r="H17" s="793"/>
      <c r="I17" s="793"/>
      <c r="J17" s="794"/>
      <c r="K17" s="795"/>
    </row>
    <row r="18" spans="1:11" x14ac:dyDescent="0.2">
      <c r="A18" s="2248" t="s">
        <v>385</v>
      </c>
      <c r="B18" s="2249"/>
      <c r="C18" s="2249"/>
      <c r="D18" s="2249"/>
      <c r="E18" s="2250"/>
      <c r="F18" s="790" t="s">
        <v>988</v>
      </c>
      <c r="G18" s="783"/>
      <c r="H18" s="783"/>
      <c r="I18" s="783"/>
      <c r="J18" s="766"/>
      <c r="K18" s="796"/>
    </row>
    <row r="19" spans="1:11" ht="21.75" customHeight="1" x14ac:dyDescent="0.2">
      <c r="A19" s="2246" t="s">
        <v>1909</v>
      </c>
      <c r="B19" s="2246"/>
      <c r="C19" s="2246"/>
      <c r="D19" s="2246"/>
      <c r="E19" s="2247"/>
      <c r="F19" s="790" t="s">
        <v>989</v>
      </c>
      <c r="G19" s="783"/>
      <c r="H19" s="783"/>
      <c r="I19" s="783"/>
      <c r="J19" s="766"/>
      <c r="K19" s="796"/>
    </row>
    <row r="20" spans="1:11" x14ac:dyDescent="0.2">
      <c r="A20" s="2248" t="s">
        <v>1914</v>
      </c>
      <c r="B20" s="2249"/>
      <c r="C20" s="2249"/>
      <c r="D20" s="2249"/>
      <c r="E20" s="2250"/>
      <c r="F20" s="790" t="s">
        <v>990</v>
      </c>
      <c r="G20" s="783"/>
      <c r="H20" s="783"/>
      <c r="I20" s="783"/>
      <c r="J20" s="766"/>
      <c r="K20" s="796"/>
    </row>
    <row r="21" spans="1:11" ht="13.5" thickBot="1" x14ac:dyDescent="0.25">
      <c r="A21" s="2267" t="s">
        <v>658</v>
      </c>
      <c r="B21" s="2267"/>
      <c r="C21" s="2267"/>
      <c r="D21" s="2267"/>
      <c r="E21" s="2267"/>
      <c r="F21" s="1781"/>
      <c r="G21" s="793"/>
      <c r="H21" s="797"/>
      <c r="I21" s="797"/>
      <c r="J21" s="1782">
        <f>SUM(J18:J20)</f>
        <v>0</v>
      </c>
      <c r="K21" s="794"/>
    </row>
    <row r="22" spans="1:11" ht="13.5" thickTop="1" x14ac:dyDescent="0.2">
      <c r="A22" s="2238" t="s">
        <v>1915</v>
      </c>
      <c r="B22" s="2238"/>
      <c r="C22" s="2238"/>
      <c r="D22" s="2238"/>
      <c r="E22" s="2239"/>
      <c r="F22" s="790" t="s">
        <v>916</v>
      </c>
      <c r="G22" s="783"/>
      <c r="H22" s="765"/>
      <c r="I22" s="765"/>
      <c r="J22" s="798"/>
      <c r="K22" s="766"/>
    </row>
    <row r="23" spans="1:11" ht="13.5" thickBot="1" x14ac:dyDescent="0.25">
      <c r="A23" s="2268" t="s">
        <v>961</v>
      </c>
      <c r="B23" s="2267"/>
      <c r="C23" s="2267"/>
      <c r="D23" s="2267"/>
      <c r="E23" s="2267"/>
      <c r="F23" s="1783"/>
      <c r="G23" s="1780">
        <f>SUM(G14:G16,G21,G22)</f>
        <v>0</v>
      </c>
      <c r="H23" s="1780">
        <f>SUM(H14:H16,H21,H22)</f>
        <v>881427</v>
      </c>
      <c r="I23" s="1780">
        <f>SUM(I14:I16,I21,I22)</f>
        <v>0</v>
      </c>
      <c r="J23" s="1780">
        <f>SUM(J14:J16,J21,J22)</f>
        <v>0</v>
      </c>
      <c r="K23" s="1780">
        <f>SUM(K14:K16,K21,K22)</f>
        <v>156490</v>
      </c>
    </row>
    <row r="24" spans="1:11" ht="14.25" thickTop="1" thickBot="1" x14ac:dyDescent="0.25">
      <c r="A24" s="2268" t="s">
        <v>2018</v>
      </c>
      <c r="B24" s="2267"/>
      <c r="C24" s="2267"/>
      <c r="D24" s="2267"/>
      <c r="E24" s="2267"/>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2028</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41"/>
      <c r="I31" s="2242"/>
      <c r="J31" s="2242"/>
      <c r="K31" s="2242"/>
    </row>
    <row r="32" spans="1:11" x14ac:dyDescent="0.2">
      <c r="A32" s="810"/>
      <c r="B32" s="237"/>
      <c r="C32" s="237"/>
      <c r="D32" s="237"/>
      <c r="E32" s="806"/>
      <c r="F32" s="812" t="s">
        <v>560</v>
      </c>
      <c r="G32" s="765"/>
      <c r="H32" s="2243"/>
      <c r="I32" s="2242"/>
      <c r="J32" s="2242"/>
      <c r="K32" s="2242"/>
    </row>
    <row r="33" spans="1:11" ht="1.5" customHeight="1" x14ac:dyDescent="0.2">
      <c r="A33" s="813" t="s">
        <v>1230</v>
      </c>
      <c r="B33" s="364"/>
      <c r="C33" s="364"/>
      <c r="D33" s="364"/>
      <c r="E33" s="364"/>
      <c r="F33" s="364"/>
      <c r="G33" s="814"/>
      <c r="H33" s="2243"/>
      <c r="I33" s="2242"/>
      <c r="J33" s="2242"/>
      <c r="K33" s="2242"/>
    </row>
    <row r="34" spans="1:11" x14ac:dyDescent="0.2">
      <c r="A34" s="815" t="s">
        <v>1916</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8" t="s">
        <v>561</v>
      </c>
      <c r="B41" s="2251"/>
      <c r="C41" s="2251"/>
      <c r="D41" s="2251"/>
      <c r="E41" s="2251"/>
      <c r="F41" s="2252"/>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1910</v>
      </c>
      <c r="B46" s="408" t="s">
        <v>1770</v>
      </c>
    </row>
    <row r="47" spans="1:11" s="824" customFormat="1" ht="12.75" customHeight="1" x14ac:dyDescent="0.2">
      <c r="A47" s="822"/>
      <c r="B47" s="823" t="s">
        <v>1771</v>
      </c>
      <c r="E47" s="823"/>
      <c r="K47" s="825"/>
    </row>
    <row r="48" spans="1:11" ht="12.75" customHeight="1" x14ac:dyDescent="0.2">
      <c r="A48" s="1554" t="s">
        <v>1911</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2027</v>
      </c>
      <c r="B1" s="2274"/>
      <c r="C1" s="2275"/>
      <c r="D1" s="827"/>
      <c r="E1" s="828"/>
      <c r="F1" s="828"/>
      <c r="G1" s="829"/>
      <c r="H1" s="830"/>
      <c r="I1" s="831"/>
      <c r="J1" s="2271"/>
      <c r="K1" s="2272"/>
      <c r="L1" s="2272"/>
    </row>
    <row r="2" spans="1:14" ht="69.75" customHeight="1" x14ac:dyDescent="0.2">
      <c r="A2" s="832" t="s">
        <v>1773</v>
      </c>
      <c r="B2" s="833" t="s">
        <v>395</v>
      </c>
      <c r="C2" s="834" t="s">
        <v>2022</v>
      </c>
      <c r="D2" s="834" t="s">
        <v>2019</v>
      </c>
      <c r="E2" s="834" t="s">
        <v>2020</v>
      </c>
      <c r="F2" s="834" t="s">
        <v>2021</v>
      </c>
      <c r="G2" s="834" t="s">
        <v>625</v>
      </c>
      <c r="H2" s="834" t="s">
        <v>2023</v>
      </c>
      <c r="I2" s="834" t="s">
        <v>2024</v>
      </c>
      <c r="J2" s="834" t="s">
        <v>2039</v>
      </c>
      <c r="K2" s="834" t="s">
        <v>2025</v>
      </c>
      <c r="L2" s="834" t="s">
        <v>2026</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2960561</v>
      </c>
      <c r="D5" s="842"/>
      <c r="E5" s="842"/>
      <c r="F5" s="1782">
        <f>(C5+D5)-E5</f>
        <v>2960561</v>
      </c>
      <c r="G5" s="838"/>
      <c r="H5" s="843"/>
      <c r="I5" s="843"/>
      <c r="J5" s="843"/>
      <c r="K5" s="794"/>
      <c r="L5" s="1791">
        <f>F5-K5</f>
        <v>2960561</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219435726</v>
      </c>
      <c r="D8" s="845"/>
      <c r="E8" s="845"/>
      <c r="F8" s="1782">
        <f>(C8+D8)-E8</f>
        <v>219435726</v>
      </c>
      <c r="G8" s="844">
        <v>50</v>
      </c>
      <c r="H8" s="766">
        <v>77260189</v>
      </c>
      <c r="I8" s="766">
        <v>4262732</v>
      </c>
      <c r="J8" s="766"/>
      <c r="K8" s="1791">
        <f>(H8+I8)-J8</f>
        <v>81522921</v>
      </c>
      <c r="L8" s="1791">
        <f>F8-K8</f>
        <v>137912805</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63015575</v>
      </c>
      <c r="D10" s="847">
        <v>6948662</v>
      </c>
      <c r="E10" s="847"/>
      <c r="F10" s="1786">
        <f>(C10+D10)-E10</f>
        <v>69964237</v>
      </c>
      <c r="G10" s="844">
        <v>20</v>
      </c>
      <c r="H10" s="848">
        <v>30046462</v>
      </c>
      <c r="I10" s="848">
        <v>1934236</v>
      </c>
      <c r="J10" s="848"/>
      <c r="K10" s="1791">
        <f>(H10+I10)-J10</f>
        <v>31980698</v>
      </c>
      <c r="L10" s="1791">
        <f>F10-K10</f>
        <v>37983539</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21556617</v>
      </c>
      <c r="D12" s="845">
        <v>3746040</v>
      </c>
      <c r="E12" s="845">
        <v>45810</v>
      </c>
      <c r="F12" s="1782">
        <f>(C12+D12)-E12</f>
        <v>25256847</v>
      </c>
      <c r="G12" s="844">
        <v>10</v>
      </c>
      <c r="H12" s="766">
        <v>15990778</v>
      </c>
      <c r="I12" s="766">
        <v>941198</v>
      </c>
      <c r="J12" s="766">
        <v>3264</v>
      </c>
      <c r="K12" s="1791">
        <f>(H12+I12)-J12</f>
        <v>16928712</v>
      </c>
      <c r="L12" s="1791">
        <f>F12-K12</f>
        <v>8328135</v>
      </c>
    </row>
    <row r="13" spans="1:14" ht="14.25" thickTop="1" thickBot="1" x14ac:dyDescent="0.25">
      <c r="A13" s="849" t="s">
        <v>1183</v>
      </c>
      <c r="B13" s="841">
        <v>252</v>
      </c>
      <c r="C13" s="845">
        <v>18570952</v>
      </c>
      <c r="D13" s="845">
        <v>211890</v>
      </c>
      <c r="E13" s="845">
        <v>2354470</v>
      </c>
      <c r="F13" s="1782">
        <f>(C13+D13)-E13</f>
        <v>16428372</v>
      </c>
      <c r="G13" s="844">
        <v>5</v>
      </c>
      <c r="H13" s="766">
        <v>14400278</v>
      </c>
      <c r="I13" s="766">
        <v>889790</v>
      </c>
      <c r="J13" s="766">
        <v>2108914</v>
      </c>
      <c r="K13" s="1791">
        <f>(H13+I13)-J13</f>
        <v>13181154</v>
      </c>
      <c r="L13" s="1791">
        <f>F13-K13</f>
        <v>3247218</v>
      </c>
    </row>
    <row r="14" spans="1:14" ht="14.25" thickTop="1" thickBot="1" x14ac:dyDescent="0.25">
      <c r="A14" s="849" t="s">
        <v>1184</v>
      </c>
      <c r="B14" s="841">
        <v>253</v>
      </c>
      <c r="C14" s="766">
        <v>126493</v>
      </c>
      <c r="D14" s="766"/>
      <c r="E14" s="766"/>
      <c r="F14" s="1782">
        <f>(C14+D14)-E14</f>
        <v>126493</v>
      </c>
      <c r="G14" s="844">
        <v>3</v>
      </c>
      <c r="H14" s="766">
        <v>94869</v>
      </c>
      <c r="I14" s="766">
        <v>31624</v>
      </c>
      <c r="J14" s="766"/>
      <c r="K14" s="1791">
        <f>(H14+I14)-J14</f>
        <v>126493</v>
      </c>
      <c r="L14" s="1791">
        <f>F14-K14</f>
        <v>0</v>
      </c>
    </row>
    <row r="15" spans="1:14" ht="15" customHeight="1" thickTop="1" thickBot="1" x14ac:dyDescent="0.25">
      <c r="A15" s="1653" t="s">
        <v>548</v>
      </c>
      <c r="B15" s="1652">
        <v>260</v>
      </c>
      <c r="C15" s="845">
        <v>1888101</v>
      </c>
      <c r="D15" s="845">
        <v>2085168</v>
      </c>
      <c r="E15" s="845">
        <v>3345590</v>
      </c>
      <c r="F15" s="1782">
        <f>(C15+D15)-E15</f>
        <v>627679</v>
      </c>
      <c r="G15" s="850" t="s">
        <v>916</v>
      </c>
      <c r="H15" s="782"/>
      <c r="I15" s="782"/>
      <c r="J15" s="782"/>
      <c r="K15" s="782"/>
      <c r="L15" s="1791">
        <f>F15-K15</f>
        <v>627679</v>
      </c>
    </row>
    <row r="16" spans="1:14" ht="15" customHeight="1" thickTop="1" thickBot="1" x14ac:dyDescent="0.25">
      <c r="A16" s="1787" t="s">
        <v>663</v>
      </c>
      <c r="B16" s="1788">
        <v>200</v>
      </c>
      <c r="C16" s="1782">
        <f>SUM(C3,C5:C6,C8:C10,C12:C15)</f>
        <v>327554025</v>
      </c>
      <c r="D16" s="1782">
        <f>SUM(D3,D5:D6,D8:D10,D12:D15)</f>
        <v>12991760</v>
      </c>
      <c r="E16" s="1782">
        <f>SUM(E3,E5:E6,E8:E10,E12:E15)</f>
        <v>5745870</v>
      </c>
      <c r="F16" s="1782">
        <f>SUM(F3,F5:F6,F8:F10,F12:F15)</f>
        <v>334799915</v>
      </c>
      <c r="G16" s="844"/>
      <c r="H16" s="1782">
        <f>SUM(H3,H6,H8:H10,H12:H14,)</f>
        <v>137792576</v>
      </c>
      <c r="I16" s="1782">
        <f>SUM(I3,I6,I8:I10,I12:I14,)</f>
        <v>8059580</v>
      </c>
      <c r="J16" s="1782">
        <f>SUM(J3,J6,J8:J10,J12:J14,)</f>
        <v>2112178</v>
      </c>
      <c r="K16" s="1782">
        <f>(H16+I16)-J16</f>
        <v>143739978</v>
      </c>
      <c r="L16" s="1782">
        <f>F16-K16</f>
        <v>191059937</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104850</v>
      </c>
      <c r="G17" s="838">
        <v>10</v>
      </c>
      <c r="H17" s="770"/>
      <c r="I17" s="1791">
        <f>F17/G17</f>
        <v>10485</v>
      </c>
      <c r="J17" s="770"/>
      <c r="K17" s="796"/>
      <c r="L17" s="796"/>
    </row>
    <row r="18" spans="1:12" ht="14.25" thickTop="1" thickBot="1" x14ac:dyDescent="0.25">
      <c r="A18" s="1789" t="s">
        <v>705</v>
      </c>
      <c r="B18" s="1790"/>
      <c r="C18" s="772"/>
      <c r="D18" s="772"/>
      <c r="E18" s="772"/>
      <c r="F18" s="851"/>
      <c r="G18" s="852"/>
      <c r="H18" s="774"/>
      <c r="I18" s="1782">
        <f>SUM(I16,I17)</f>
        <v>8070065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pane="bottomLeft"/>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1695</v>
      </c>
      <c r="B1" s="2280"/>
      <c r="C1" s="2280"/>
      <c r="D1" s="2280"/>
      <c r="E1" s="2280"/>
      <c r="F1" s="2281"/>
      <c r="G1" s="856"/>
    </row>
    <row r="2" spans="1:7" ht="15" customHeight="1" thickBot="1" x14ac:dyDescent="0.25">
      <c r="A2" s="2282" t="s">
        <v>497</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5"/>
      <c r="B5" s="2286"/>
      <c r="C5" s="2286"/>
      <c r="D5" s="2286"/>
      <c r="E5" s="2286"/>
      <c r="F5" s="2286"/>
    </row>
    <row r="6" spans="1:7" ht="13.5" customHeight="1" thickBot="1" x14ac:dyDescent="0.25">
      <c r="A6" s="2276" t="s">
        <v>1165</v>
      </c>
      <c r="B6" s="2277"/>
      <c r="C6" s="2277"/>
      <c r="D6" s="2277"/>
      <c r="E6" s="2277"/>
      <c r="F6" s="2278"/>
      <c r="G6" s="866"/>
    </row>
    <row r="7" spans="1:7" s="866" customFormat="1" ht="12" thickTop="1" x14ac:dyDescent="0.2">
      <c r="A7" s="867" t="s">
        <v>522</v>
      </c>
      <c r="B7" s="868"/>
      <c r="C7" s="869"/>
      <c r="D7" s="868"/>
      <c r="E7" s="869"/>
      <c r="F7" s="868"/>
    </row>
    <row r="8" spans="1:7" x14ac:dyDescent="0.2">
      <c r="A8" s="870" t="s">
        <v>478</v>
      </c>
      <c r="B8" s="871" t="s">
        <v>1540</v>
      </c>
      <c r="C8" s="872"/>
      <c r="D8" s="870" t="s">
        <v>521</v>
      </c>
      <c r="E8" s="869" t="s">
        <v>1014</v>
      </c>
      <c r="F8" s="1934">
        <f>'Expenditures 15-22'!K114</f>
        <v>98318714</v>
      </c>
      <c r="G8" s="866"/>
    </row>
    <row r="9" spans="1:7" x14ac:dyDescent="0.2">
      <c r="A9" s="870" t="s">
        <v>479</v>
      </c>
      <c r="B9" s="871" t="s">
        <v>1981</v>
      </c>
      <c r="C9" s="872"/>
      <c r="D9" s="870" t="s">
        <v>521</v>
      </c>
      <c r="E9" s="869"/>
      <c r="F9" s="1935">
        <f>'Expenditures 15-22'!K151</f>
        <v>11902490</v>
      </c>
      <c r="G9" s="873"/>
    </row>
    <row r="10" spans="1:7" x14ac:dyDescent="0.2">
      <c r="A10" s="870" t="s">
        <v>519</v>
      </c>
      <c r="B10" s="871" t="s">
        <v>1982</v>
      </c>
      <c r="C10" s="872"/>
      <c r="D10" s="870" t="s">
        <v>521</v>
      </c>
      <c r="E10" s="869"/>
      <c r="F10" s="1935">
        <f>'Expenditures 15-22'!K174</f>
        <v>24300976</v>
      </c>
      <c r="G10" s="873"/>
    </row>
    <row r="11" spans="1:7" x14ac:dyDescent="0.2">
      <c r="A11" s="870" t="s">
        <v>480</v>
      </c>
      <c r="B11" s="871" t="s">
        <v>1983</v>
      </c>
      <c r="C11" s="872"/>
      <c r="D11" s="870" t="s">
        <v>521</v>
      </c>
      <c r="E11" s="869"/>
      <c r="F11" s="1935">
        <f>'Expenditures 15-22'!K210</f>
        <v>13364632</v>
      </c>
      <c r="G11" s="873"/>
    </row>
    <row r="12" spans="1:7" x14ac:dyDescent="0.2">
      <c r="A12" s="870" t="s">
        <v>481</v>
      </c>
      <c r="B12" s="871" t="s">
        <v>1984</v>
      </c>
      <c r="C12" s="872"/>
      <c r="D12" s="870" t="s">
        <v>521</v>
      </c>
      <c r="E12" s="869"/>
      <c r="F12" s="1935">
        <f>'Expenditures 15-22'!K295</f>
        <v>4061725</v>
      </c>
      <c r="G12" s="873"/>
    </row>
    <row r="13" spans="1:7" x14ac:dyDescent="0.2">
      <c r="A13" s="870" t="s">
        <v>108</v>
      </c>
      <c r="B13" s="871" t="s">
        <v>1985</v>
      </c>
      <c r="C13" s="872"/>
      <c r="D13" s="870" t="s">
        <v>521</v>
      </c>
      <c r="E13" s="869"/>
      <c r="F13" s="1935">
        <f>'Expenditures 15-22'!K342</f>
        <v>5215463</v>
      </c>
      <c r="G13" s="874"/>
    </row>
    <row r="14" spans="1:7" ht="12" customHeight="1" thickBot="1" x14ac:dyDescent="0.25">
      <c r="A14" s="1792"/>
      <c r="B14" s="1793"/>
      <c r="C14" s="1794"/>
      <c r="D14" s="1795" t="s">
        <v>521</v>
      </c>
      <c r="E14" s="1796" t="s">
        <v>1014</v>
      </c>
      <c r="F14" s="1797">
        <f>SUM(F8:F13)</f>
        <v>157164000</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1150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1679</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1541</v>
      </c>
      <c r="C34" s="887" t="str">
        <f>'Expenditures 15-22'!B7</f>
        <v>1125</v>
      </c>
      <c r="D34" s="888" t="str">
        <f>'Expenditures 15-22'!A7</f>
        <v>Pre-K Programs</v>
      </c>
      <c r="E34" s="869"/>
      <c r="F34" s="1939">
        <f>'Expenditures 15-22'!K7-SUM('Expenditures 15-22'!G7,'Expenditures 15-22'!I7)</f>
        <v>0</v>
      </c>
      <c r="G34" s="866"/>
    </row>
    <row r="35" spans="1:7" x14ac:dyDescent="0.2">
      <c r="A35" s="870" t="s">
        <v>478</v>
      </c>
      <c r="B35" s="870" t="s">
        <v>1542</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1543</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478</v>
      </c>
      <c r="B38" s="870" t="s">
        <v>1544</v>
      </c>
      <c r="C38" s="887">
        <f>'Expenditures 15-22'!B15</f>
        <v>1600</v>
      </c>
      <c r="D38" s="889" t="str">
        <f>'Expenditures 15-22'!A15</f>
        <v>Summer School Programs</v>
      </c>
      <c r="E38" s="869"/>
      <c r="F38" s="1939">
        <f>'Expenditures 15-22'!K15-SUM('Expenditures 15-22'!G15,'Expenditures 15-22'!I15)</f>
        <v>161925</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0</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1545</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1546</v>
      </c>
      <c r="C52" s="890" t="str">
        <f>'Expenditures 15-22'!B75</f>
        <v>3000</v>
      </c>
      <c r="D52" s="889" t="s">
        <v>468</v>
      </c>
      <c r="E52" s="869"/>
      <c r="F52" s="1939">
        <f>'Expenditures 15-22'!K75-SUM('Expenditures 15-22'!G75,'Expenditures 15-22'!I75)</f>
        <v>459354</v>
      </c>
      <c r="G52" s="866"/>
    </row>
    <row r="53" spans="1:7" x14ac:dyDescent="0.2">
      <c r="A53" s="870" t="s">
        <v>478</v>
      </c>
      <c r="B53" s="870" t="s">
        <v>1547</v>
      </c>
      <c r="C53" s="890">
        <f>'Expenditures 15-22'!B102</f>
        <v>4000</v>
      </c>
      <c r="D53" s="889" t="str">
        <f>'Expenditures 15-22'!A102</f>
        <v>Total Payments to Other Govt Units</v>
      </c>
      <c r="E53" s="869"/>
      <c r="F53" s="1939">
        <f>'Expenditures 15-22'!K102</f>
        <v>822872</v>
      </c>
      <c r="G53" s="866"/>
    </row>
    <row r="54" spans="1:7" x14ac:dyDescent="0.2">
      <c r="A54" s="870" t="s">
        <v>478</v>
      </c>
      <c r="B54" s="870" t="s">
        <v>1548</v>
      </c>
      <c r="C54" s="890" t="s">
        <v>1038</v>
      </c>
      <c r="D54" s="886" t="s">
        <v>1156</v>
      </c>
      <c r="E54" s="869"/>
      <c r="F54" s="1939">
        <f>'Expenditures 15-22'!G114</f>
        <v>130717</v>
      </c>
      <c r="G54" s="866"/>
    </row>
    <row r="55" spans="1:7" x14ac:dyDescent="0.2">
      <c r="A55" s="870" t="s">
        <v>478</v>
      </c>
      <c r="B55" s="870" t="s">
        <v>1549</v>
      </c>
      <c r="C55" s="890" t="s">
        <v>1038</v>
      </c>
      <c r="D55" s="886" t="s">
        <v>308</v>
      </c>
      <c r="E55" s="869"/>
      <c r="F55" s="1939">
        <f>'Expenditures 15-22'!I114</f>
        <v>63270</v>
      </c>
      <c r="G55" s="866"/>
    </row>
    <row r="56" spans="1:7" x14ac:dyDescent="0.2">
      <c r="A56" s="870" t="s">
        <v>479</v>
      </c>
      <c r="B56" s="870" t="s">
        <v>1550</v>
      </c>
      <c r="C56" s="887" t="str">
        <f>'Expenditures 15-22'!B130</f>
        <v>3000</v>
      </c>
      <c r="D56" s="893" t="s">
        <v>468</v>
      </c>
      <c r="E56" s="869"/>
      <c r="F56" s="1939">
        <f>'Expenditures 15-22'!K130-SUM('Expenditures 15-22'!G130+'Expenditures 15-22'!I130)</f>
        <v>0</v>
      </c>
      <c r="G56" s="866"/>
    </row>
    <row r="57" spans="1:7" x14ac:dyDescent="0.2">
      <c r="A57" s="870" t="s">
        <v>479</v>
      </c>
      <c r="B57" s="870" t="s">
        <v>1986</v>
      </c>
      <c r="C57" s="890">
        <f>'Expenditures 15-22'!B139</f>
        <v>4000</v>
      </c>
      <c r="D57" s="888" t="str">
        <f>'Expenditures 15-22'!A139</f>
        <v>Total Payments to Other Govt Units</v>
      </c>
      <c r="E57" s="869"/>
      <c r="F57" s="1939">
        <f>'Expenditures 15-22'!K139</f>
        <v>0</v>
      </c>
      <c r="G57" s="866"/>
    </row>
    <row r="58" spans="1:7" x14ac:dyDescent="0.2">
      <c r="A58" s="870" t="s">
        <v>479</v>
      </c>
      <c r="B58" s="870" t="s">
        <v>1987</v>
      </c>
      <c r="C58" s="887" t="s">
        <v>1038</v>
      </c>
      <c r="D58" s="886" t="s">
        <v>1156</v>
      </c>
      <c r="E58" s="869"/>
      <c r="F58" s="1941">
        <f>'Expenditures 15-22'!G151</f>
        <v>336340</v>
      </c>
      <c r="G58" s="866"/>
    </row>
    <row r="59" spans="1:7" x14ac:dyDescent="0.2">
      <c r="A59" s="894" t="s">
        <v>479</v>
      </c>
      <c r="B59" s="857" t="s">
        <v>1988</v>
      </c>
      <c r="C59" s="895" t="s">
        <v>1038</v>
      </c>
      <c r="D59" s="857" t="s">
        <v>308</v>
      </c>
      <c r="F59" s="1942">
        <f>'Expenditures 15-22'!I151</f>
        <v>17509</v>
      </c>
      <c r="G59" s="866"/>
    </row>
    <row r="60" spans="1:7" x14ac:dyDescent="0.2">
      <c r="A60" s="894" t="s">
        <v>519</v>
      </c>
      <c r="B60" s="857" t="s">
        <v>1989</v>
      </c>
      <c r="C60" s="895">
        <v>4000</v>
      </c>
      <c r="D60" s="857" t="s">
        <v>329</v>
      </c>
      <c r="F60" s="1940">
        <f>'Expenditures 15-22'!K160</f>
        <v>0</v>
      </c>
      <c r="G60" s="866"/>
    </row>
    <row r="61" spans="1:7" x14ac:dyDescent="0.2">
      <c r="A61" s="896" t="s">
        <v>519</v>
      </c>
      <c r="B61" s="896" t="s">
        <v>1990</v>
      </c>
      <c r="C61" s="897" t="str">
        <f>'Expenditures 15-22'!B170</f>
        <v>5300</v>
      </c>
      <c r="D61" s="898" t="s">
        <v>328</v>
      </c>
      <c r="E61" s="880"/>
      <c r="F61" s="1939">
        <f>'Expenditures 15-22'!K170</f>
        <v>19270480</v>
      </c>
      <c r="G61" s="866"/>
    </row>
    <row r="62" spans="1:7" x14ac:dyDescent="0.2">
      <c r="A62" s="870" t="s">
        <v>480</v>
      </c>
      <c r="B62" s="870" t="s">
        <v>1991</v>
      </c>
      <c r="C62" s="887">
        <f>'Expenditures 15-22'!B185</f>
        <v>3000</v>
      </c>
      <c r="D62" s="877" t="s">
        <v>468</v>
      </c>
      <c r="E62" s="869"/>
      <c r="F62" s="1939">
        <f>'Expenditures 15-22'!K185-SUM('Expenditures 15-22'!G185,'Expenditures 15-22'!I185)</f>
        <v>0</v>
      </c>
      <c r="G62" s="866"/>
    </row>
    <row r="63" spans="1:7" x14ac:dyDescent="0.2">
      <c r="A63" s="870" t="s">
        <v>480</v>
      </c>
      <c r="B63" s="870" t="s">
        <v>1992</v>
      </c>
      <c r="C63" s="887" t="str">
        <f>'Expenditures 15-22'!B196</f>
        <v>4000</v>
      </c>
      <c r="D63" s="888" t="str">
        <f>'Expenditures 15-22'!A196</f>
        <v>Total Payments to Other Govt Units</v>
      </c>
      <c r="E63" s="869"/>
      <c r="F63" s="1939">
        <f>'Expenditures 15-22'!K196</f>
        <v>0</v>
      </c>
      <c r="G63" s="866"/>
    </row>
    <row r="64" spans="1:7" x14ac:dyDescent="0.2">
      <c r="A64" s="896" t="s">
        <v>480</v>
      </c>
      <c r="B64" s="896" t="s">
        <v>1993</v>
      </c>
      <c r="C64" s="897" t="str">
        <f>'Expenditures 15-22'!B206</f>
        <v>5300</v>
      </c>
      <c r="D64" s="893" t="s">
        <v>328</v>
      </c>
      <c r="E64" s="869"/>
      <c r="F64" s="1939">
        <f>'Expenditures 15-22'!K206</f>
        <v>0</v>
      </c>
      <c r="G64" s="866"/>
    </row>
    <row r="65" spans="1:8" x14ac:dyDescent="0.2">
      <c r="A65" s="870" t="s">
        <v>480</v>
      </c>
      <c r="B65" s="870" t="s">
        <v>1994</v>
      </c>
      <c r="C65" s="887" t="s">
        <v>1038</v>
      </c>
      <c r="D65" s="886" t="s">
        <v>1156</v>
      </c>
      <c r="E65" s="869"/>
      <c r="F65" s="1939">
        <f>'Expenditures 15-22'!G210</f>
        <v>3695597</v>
      </c>
      <c r="G65" s="866"/>
    </row>
    <row r="66" spans="1:8" x14ac:dyDescent="0.2">
      <c r="A66" s="870" t="s">
        <v>480</v>
      </c>
      <c r="B66" s="870" t="s">
        <v>1995</v>
      </c>
      <c r="C66" s="887" t="s">
        <v>1038</v>
      </c>
      <c r="D66" s="886" t="s">
        <v>308</v>
      </c>
      <c r="E66" s="869"/>
      <c r="F66" s="1939">
        <f>'Expenditures 15-22'!I210</f>
        <v>22292</v>
      </c>
      <c r="G66" s="866"/>
    </row>
    <row r="67" spans="1:8" x14ac:dyDescent="0.2">
      <c r="A67" s="870" t="s">
        <v>481</v>
      </c>
      <c r="B67" s="870" t="s">
        <v>1996</v>
      </c>
      <c r="C67" s="887" t="str">
        <f>'Expenditures 15-22'!B216</f>
        <v>1125</v>
      </c>
      <c r="D67" s="893" t="str">
        <f>'Expenditures 15-22'!A216</f>
        <v>Pre-K Programs</v>
      </c>
      <c r="E67" s="869"/>
      <c r="F67" s="1939">
        <f>'Expenditures 15-22'!K216</f>
        <v>0</v>
      </c>
      <c r="G67" s="866"/>
    </row>
    <row r="68" spans="1:8" x14ac:dyDescent="0.2">
      <c r="A68" s="870" t="s">
        <v>481</v>
      </c>
      <c r="B68" s="870" t="s">
        <v>1551</v>
      </c>
      <c r="C68" s="887" t="str">
        <f>'Expenditures 15-22'!B218</f>
        <v>1225</v>
      </c>
      <c r="D68" s="893" t="str">
        <f>'Expenditures 15-22'!A218</f>
        <v>Special Education Programs - Pre-K</v>
      </c>
      <c r="E68" s="869"/>
      <c r="F68" s="1939">
        <f>'Expenditures 15-22'!K218</f>
        <v>0</v>
      </c>
      <c r="G68" s="866"/>
    </row>
    <row r="69" spans="1:8" x14ac:dyDescent="0.2">
      <c r="A69" s="870" t="s">
        <v>481</v>
      </c>
      <c r="B69" s="870" t="s">
        <v>1997</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1998</v>
      </c>
      <c r="C70" s="887">
        <f>'Expenditures 15-22'!B221</f>
        <v>1300</v>
      </c>
      <c r="D70" s="888" t="str">
        <f>'Expenditures 15-22'!A221</f>
        <v>Adult/Continuing Education Programs</v>
      </c>
      <c r="E70" s="869"/>
      <c r="F70" s="1939">
        <f>'Expenditures 15-22'!K221</f>
        <v>0</v>
      </c>
      <c r="G70" s="866"/>
    </row>
    <row r="71" spans="1:8" x14ac:dyDescent="0.2">
      <c r="A71" s="870" t="s">
        <v>481</v>
      </c>
      <c r="B71" s="870" t="s">
        <v>1999</v>
      </c>
      <c r="C71" s="887">
        <f>'Expenditures 15-22'!B224</f>
        <v>1600</v>
      </c>
      <c r="D71" s="888" t="str">
        <f>'Expenditures 15-22'!A224</f>
        <v>Summer School Programs</v>
      </c>
      <c r="E71" s="869"/>
      <c r="F71" s="1939">
        <f>'Expenditures 15-22'!K224</f>
        <v>11379</v>
      </c>
      <c r="G71" s="866"/>
    </row>
    <row r="72" spans="1:8" x14ac:dyDescent="0.2">
      <c r="A72" s="870" t="s">
        <v>481</v>
      </c>
      <c r="B72" s="870" t="s">
        <v>2000</v>
      </c>
      <c r="C72" s="887">
        <f>'Expenditures 15-22'!B280</f>
        <v>3000</v>
      </c>
      <c r="D72" s="877" t="s">
        <v>468</v>
      </c>
      <c r="E72" s="869"/>
      <c r="F72" s="1939">
        <f>'Expenditures 15-22'!K280</f>
        <v>27028</v>
      </c>
      <c r="G72" s="866"/>
    </row>
    <row r="73" spans="1:8" x14ac:dyDescent="0.2">
      <c r="A73" s="870" t="s">
        <v>481</v>
      </c>
      <c r="B73" s="870" t="s">
        <v>2001</v>
      </c>
      <c r="C73" s="887" t="str">
        <f>'Expenditures 15-22'!B285</f>
        <v>4000</v>
      </c>
      <c r="D73" s="888" t="str">
        <f>'Expenditures 15-22'!A285</f>
        <v>Total Payments to Other Govt Units</v>
      </c>
      <c r="E73" s="869"/>
      <c r="F73" s="1939">
        <f>'Expenditures 15-22'!K285</f>
        <v>0</v>
      </c>
      <c r="G73" s="866"/>
    </row>
    <row r="74" spans="1:8" x14ac:dyDescent="0.2">
      <c r="A74" s="870" t="s">
        <v>455</v>
      </c>
      <c r="B74" s="870" t="s">
        <v>2002</v>
      </c>
      <c r="C74" s="887" t="s">
        <v>914</v>
      </c>
      <c r="D74" s="888" t="s">
        <v>1563</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2003</v>
      </c>
      <c r="E76" s="1796" t="s">
        <v>1014</v>
      </c>
      <c r="F76" s="1800">
        <f>SUM(F18:F74)</f>
        <v>25019913</v>
      </c>
      <c r="G76" s="866"/>
    </row>
    <row r="77" spans="1:8" s="894" customFormat="1" ht="12" customHeight="1" thickTop="1" thickBot="1" x14ac:dyDescent="0.25">
      <c r="A77" s="1801"/>
      <c r="B77" s="1798"/>
      <c r="C77" s="1794"/>
      <c r="D77" s="1799" t="s">
        <v>2004</v>
      </c>
      <c r="E77" s="1796"/>
      <c r="F77" s="1802">
        <f>(F14-F76)</f>
        <v>132144087</v>
      </c>
      <c r="G77" s="870"/>
    </row>
    <row r="78" spans="1:8" s="894" customFormat="1" ht="12" customHeight="1" thickTop="1" x14ac:dyDescent="0.2">
      <c r="A78" s="1803"/>
      <c r="B78" s="1798"/>
      <c r="C78" s="1794"/>
      <c r="D78" s="1799" t="s">
        <v>2051</v>
      </c>
      <c r="E78" s="1796"/>
      <c r="F78" s="899">
        <v>12011.47</v>
      </c>
      <c r="G78" s="900"/>
      <c r="H78" s="870"/>
    </row>
    <row r="79" spans="1:8" s="894" customFormat="1" ht="12" customHeight="1" thickBot="1" x14ac:dyDescent="0.25">
      <c r="A79" s="1804"/>
      <c r="B79" s="1798"/>
      <c r="C79" s="1794"/>
      <c r="D79" s="1799" t="s">
        <v>2005</v>
      </c>
      <c r="E79" s="1796" t="s">
        <v>1014</v>
      </c>
      <c r="F79" s="1805">
        <f>IF(F78&gt;0,F77/F78," Complete Line 78")</f>
        <v>11001.491657557319</v>
      </c>
      <c r="G79" s="870"/>
    </row>
    <row r="80" spans="1:8" s="894" customFormat="1" ht="8.25" customHeight="1" thickTop="1" x14ac:dyDescent="0.2">
      <c r="A80" s="901"/>
      <c r="B80" s="870"/>
      <c r="C80" s="872"/>
      <c r="D80" s="902"/>
      <c r="E80" s="869"/>
      <c r="F80" s="903"/>
      <c r="G80" s="870"/>
    </row>
    <row r="81" spans="1:7" s="894" customFormat="1" ht="12" thickBot="1" x14ac:dyDescent="0.25">
      <c r="A81" s="2276" t="s">
        <v>1166</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3192855</v>
      </c>
      <c r="G94" s="913"/>
    </row>
    <row r="95" spans="1:7" x14ac:dyDescent="0.2">
      <c r="A95" s="909" t="s">
        <v>142</v>
      </c>
      <c r="B95" s="909" t="s">
        <v>177</v>
      </c>
      <c r="C95" s="911">
        <v>1700</v>
      </c>
      <c r="D95" s="919" t="str">
        <f>'Revenues 9-14'!A82</f>
        <v>Total District/School Activity Income</v>
      </c>
      <c r="E95" s="907"/>
      <c r="F95" s="1811">
        <f>SUM('Revenues 9-14'!C82,'Revenues 9-14'!D82)</f>
        <v>971844</v>
      </c>
      <c r="G95" s="913"/>
    </row>
    <row r="96" spans="1:7" x14ac:dyDescent="0.2">
      <c r="A96" s="909" t="s">
        <v>478</v>
      </c>
      <c r="B96" s="909" t="s">
        <v>178</v>
      </c>
      <c r="C96" s="911">
        <f>'Revenues 9-14'!B84</f>
        <v>1811</v>
      </c>
      <c r="D96" s="912" t="str">
        <f>'Revenues 9-14'!A84</f>
        <v>Rentals - Regular Textbooks</v>
      </c>
      <c r="E96" s="907"/>
      <c r="F96" s="1811">
        <f>'Revenues 9-14'!C84</f>
        <v>1095307</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31</v>
      </c>
      <c r="G98" s="913"/>
    </row>
    <row r="99" spans="1:7" x14ac:dyDescent="0.2">
      <c r="A99" s="909" t="s">
        <v>478</v>
      </c>
      <c r="B99" s="909" t="s">
        <v>181</v>
      </c>
      <c r="C99" s="911">
        <f>'Revenues 9-14'!B91</f>
        <v>1829</v>
      </c>
      <c r="D99" s="912" t="str">
        <f>'Revenues 9-14'!A91</f>
        <v>Sales - Other (Describe &amp; Itemize)</v>
      </c>
      <c r="E99" s="907"/>
      <c r="F99" s="1811">
        <f>'Revenues 9-14'!C91</f>
        <v>884</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164245</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33830</v>
      </c>
      <c r="G104" s="913"/>
    </row>
    <row r="105" spans="1:7" x14ac:dyDescent="0.2">
      <c r="A105" s="909" t="s">
        <v>523</v>
      </c>
      <c r="B105" s="909" t="s">
        <v>841</v>
      </c>
      <c r="C105" s="914">
        <v>3100</v>
      </c>
      <c r="D105" s="920" t="str">
        <f>'Revenues 9-14'!A131</f>
        <v>Total Special Education</v>
      </c>
      <c r="E105" s="907"/>
      <c r="F105" s="1811">
        <f>SUM('Revenues 9-14'!C131:D131,'Revenues 9-14'!F131)</f>
        <v>4230219</v>
      </c>
      <c r="G105" s="913"/>
    </row>
    <row r="106" spans="1:7" x14ac:dyDescent="0.2">
      <c r="A106" s="909" t="s">
        <v>693</v>
      </c>
      <c r="B106" s="909" t="s">
        <v>1479</v>
      </c>
      <c r="C106" s="921">
        <v>3200</v>
      </c>
      <c r="D106" s="912" t="str">
        <f>'Revenues 9-14'!A140</f>
        <v>Total Career and Technical Education</v>
      </c>
      <c r="E106" s="907"/>
      <c r="F106" s="1811">
        <f>SUM('Revenues 9-14'!C140,'Revenues 9-14'!D140,'Revenues 9-14'!G140)</f>
        <v>11709</v>
      </c>
      <c r="G106" s="913"/>
    </row>
    <row r="107" spans="1:7" x14ac:dyDescent="0.2">
      <c r="A107" s="922" t="s">
        <v>684</v>
      </c>
      <c r="B107" s="909" t="s">
        <v>842</v>
      </c>
      <c r="C107" s="921">
        <v>3300</v>
      </c>
      <c r="D107" s="912" t="str">
        <f>'Revenues 9-14'!A144</f>
        <v>Total Bilingual Ed</v>
      </c>
      <c r="E107" s="907"/>
      <c r="F107" s="1811">
        <f>SUM('Revenues 9-14'!C144,'Revenues 9-14'!G144)</f>
        <v>221431</v>
      </c>
      <c r="G107" s="913"/>
    </row>
    <row r="108" spans="1:7" x14ac:dyDescent="0.2">
      <c r="A108" s="909" t="s">
        <v>478</v>
      </c>
      <c r="B108" s="909" t="s">
        <v>843</v>
      </c>
      <c r="C108" s="921">
        <f>'Revenues 9-14'!B145</f>
        <v>3360</v>
      </c>
      <c r="D108" s="912" t="str">
        <f>'Revenues 9-14'!A145</f>
        <v>State Free Lunch &amp; Breakfast</v>
      </c>
      <c r="E108" s="907"/>
      <c r="F108" s="1811">
        <f>'Revenues 9-14'!C145</f>
        <v>34763</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68486</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6527397</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3">
        <f>SUM('Revenues 9-14'!C166:G166)</f>
        <v>0</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604075</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2081424</v>
      </c>
      <c r="G129" s="931"/>
    </row>
    <row r="130" spans="1:7" x14ac:dyDescent="0.2">
      <c r="A130" s="928" t="s">
        <v>688</v>
      </c>
      <c r="B130" s="928" t="s">
        <v>803</v>
      </c>
      <c r="C130" s="933">
        <v>4300</v>
      </c>
      <c r="D130" s="934" t="str">
        <f>'Revenues 9-14'!A211</f>
        <v>Total Title I</v>
      </c>
      <c r="E130" s="907"/>
      <c r="F130" s="1811">
        <f>SUM('Revenues 9-14'!C211,'Revenues 9-14'!D211,'Revenues 9-14'!F211,'Revenues 9-14'!G211)</f>
        <v>1619374</v>
      </c>
      <c r="G130" s="931"/>
    </row>
    <row r="131" spans="1:7" x14ac:dyDescent="0.2">
      <c r="A131" s="928" t="s">
        <v>688</v>
      </c>
      <c r="B131" s="928" t="s">
        <v>804</v>
      </c>
      <c r="C131" s="933">
        <v>4400</v>
      </c>
      <c r="D131" s="934" t="str">
        <f>'Revenues 9-14'!A216</f>
        <v>Total Title IV</v>
      </c>
      <c r="E131" s="907"/>
      <c r="F131" s="181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2770709</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507322</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1480</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1481</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1482</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1483</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1484</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1485</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1560</v>
      </c>
      <c r="C161" s="941" t="s">
        <v>895</v>
      </c>
      <c r="D161" s="942" t="s">
        <v>807</v>
      </c>
      <c r="E161" s="943"/>
      <c r="F161" s="1811">
        <f>SUM(F137:F160)</f>
        <v>0</v>
      </c>
      <c r="G161" s="906"/>
    </row>
    <row r="162" spans="1:7" s="868" customFormat="1" x14ac:dyDescent="0.2">
      <c r="A162" s="939" t="s">
        <v>478</v>
      </c>
      <c r="B162" s="940" t="s">
        <v>1497</v>
      </c>
      <c r="C162" s="941" t="s">
        <v>1495</v>
      </c>
      <c r="D162" s="942" t="s">
        <v>1496</v>
      </c>
      <c r="E162" s="943"/>
      <c r="F162" s="1811">
        <f>SUM('Revenues 9-14'!C260)</f>
        <v>0</v>
      </c>
      <c r="G162" s="906"/>
    </row>
    <row r="163" spans="1:7" s="868" customFormat="1" x14ac:dyDescent="0.2">
      <c r="A163" s="939" t="s">
        <v>520</v>
      </c>
      <c r="B163" s="940" t="s">
        <v>1537</v>
      </c>
      <c r="C163" s="941" t="s">
        <v>1538</v>
      </c>
      <c r="D163" s="942" t="s">
        <v>1539</v>
      </c>
      <c r="E163" s="943"/>
      <c r="F163" s="1811">
        <f>SUM('Revenues 9-14'!C261:H261,'Revenues 9-14'!J261:K261)</f>
        <v>456265</v>
      </c>
      <c r="G163" s="906"/>
    </row>
    <row r="164" spans="1:7" x14ac:dyDescent="0.2">
      <c r="A164" s="928" t="s">
        <v>1066</v>
      </c>
      <c r="B164" s="928" t="s">
        <v>1552</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36732</v>
      </c>
      <c r="G165" s="944">
        <v>6306</v>
      </c>
    </row>
    <row r="166" spans="1:7" x14ac:dyDescent="0.2">
      <c r="A166" s="928" t="s">
        <v>5</v>
      </c>
      <c r="B166" s="928" t="s">
        <v>1498</v>
      </c>
      <c r="C166" s="933">
        <f>'Revenues 9-14'!B264</f>
        <v>4909</v>
      </c>
      <c r="D166" s="930" t="str">
        <f>'Revenues 9-14'!A264</f>
        <v>Title III - Language Inst Program - Limited Eng (LIPLEP)</v>
      </c>
      <c r="E166" s="907"/>
      <c r="F166" s="1811">
        <f>SUM('Revenues 9-14'!C264,'Revenues 9-14'!F264,'Revenues 9-14'!G264)</f>
        <v>71323</v>
      </c>
      <c r="G166" s="944"/>
    </row>
    <row r="167" spans="1:7" x14ac:dyDescent="0.2">
      <c r="A167" s="928" t="s">
        <v>5</v>
      </c>
      <c r="B167" s="928" t="s">
        <v>1553</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305247</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216707</v>
      </c>
      <c r="G172" s="948">
        <v>6320</v>
      </c>
    </row>
    <row r="173" spans="1:7" x14ac:dyDescent="0.2">
      <c r="A173" s="928" t="s">
        <v>688</v>
      </c>
      <c r="B173" s="928" t="s">
        <v>1499</v>
      </c>
      <c r="C173" s="933">
        <f>'Revenues 9-14'!B271</f>
        <v>4992</v>
      </c>
      <c r="D173" s="934" t="str">
        <f>'Revenues 9-14'!A271</f>
        <v>Medicaid Matching Funds - Fee-for-Service Program</v>
      </c>
      <c r="E173" s="907"/>
      <c r="F173" s="1811">
        <f>SUM('Revenues 9-14'!C271:D271,'Revenues 9-14'!F271:G271)</f>
        <v>198505</v>
      </c>
      <c r="G173" s="948"/>
    </row>
    <row r="174" spans="1:7" x14ac:dyDescent="0.2">
      <c r="A174" s="949" t="s">
        <v>688</v>
      </c>
      <c r="B174" s="945" t="s">
        <v>1554</v>
      </c>
      <c r="C174" s="946">
        <f>'Revenues 9-14'!B272</f>
        <v>4999</v>
      </c>
      <c r="D174" s="947" t="str">
        <f>'Revenues 9-14'!A272</f>
        <v>Other Restricted Revenue from Federal Sources (Describe &amp; Itemize)</v>
      </c>
      <c r="E174" s="907"/>
      <c r="F174" s="1811">
        <f>SUM('Revenues 9-14'!C272:D272,'Revenues 9-14'!F272:G272)</f>
        <v>45989</v>
      </c>
      <c r="G174" s="928"/>
    </row>
    <row r="175" spans="1:7" x14ac:dyDescent="0.2">
      <c r="A175" s="1944" t="s">
        <v>5</v>
      </c>
      <c r="B175" s="1945" t="s">
        <v>2050</v>
      </c>
      <c r="C175" s="1946">
        <v>3100</v>
      </c>
      <c r="D175" s="1947" t="s">
        <v>2053</v>
      </c>
      <c r="E175" s="907"/>
      <c r="F175" s="1931">
        <v>4417236</v>
      </c>
      <c r="G175" s="928"/>
    </row>
    <row r="176" spans="1:7" x14ac:dyDescent="0.2">
      <c r="A176" s="1944" t="s">
        <v>684</v>
      </c>
      <c r="B176" s="1945" t="s">
        <v>2050</v>
      </c>
      <c r="C176" s="1946">
        <v>3300</v>
      </c>
      <c r="D176" s="1947" t="s">
        <v>2054</v>
      </c>
      <c r="E176" s="907"/>
      <c r="F176" s="1931">
        <v>225951</v>
      </c>
      <c r="G176" s="928"/>
    </row>
    <row r="177" spans="1:7" ht="6" customHeight="1" x14ac:dyDescent="0.2">
      <c r="A177" s="928"/>
      <c r="B177" s="928"/>
      <c r="C177" s="950"/>
      <c r="D177" s="928"/>
      <c r="E177" s="907"/>
      <c r="F177" s="951"/>
      <c r="G177" s="948"/>
    </row>
    <row r="178" spans="1:7" x14ac:dyDescent="0.2">
      <c r="A178" s="1792"/>
      <c r="B178" s="1806"/>
      <c r="C178" s="1807"/>
      <c r="D178" s="1808" t="s">
        <v>2006</v>
      </c>
      <c r="E178" s="1809" t="s">
        <v>1014</v>
      </c>
      <c r="F178" s="1810">
        <f>SUM(F84:F136,F161:F176)</f>
        <v>30109860</v>
      </c>
    </row>
    <row r="179" spans="1:7" ht="12" customHeight="1" x14ac:dyDescent="0.2">
      <c r="A179" s="1792"/>
      <c r="B179" s="1806"/>
      <c r="C179" s="1807"/>
      <c r="D179" s="1808" t="s">
        <v>2007</v>
      </c>
      <c r="E179" s="1809"/>
      <c r="F179" s="1811">
        <f>'PCTC-OEPP 27-28'!F77-F178</f>
        <v>102034227</v>
      </c>
    </row>
    <row r="180" spans="1:7" ht="12" customHeight="1" x14ac:dyDescent="0.2">
      <c r="A180" s="1792"/>
      <c r="B180" s="1806"/>
      <c r="C180" s="1807"/>
      <c r="D180" s="1808" t="s">
        <v>1917</v>
      </c>
      <c r="E180" s="1809"/>
      <c r="F180" s="1811">
        <f>'Cap Outlay Deprec 26'!I18</f>
        <v>8070065</v>
      </c>
    </row>
    <row r="181" spans="1:7" ht="12" customHeight="1" x14ac:dyDescent="0.2">
      <c r="A181" s="1792"/>
      <c r="B181" s="1806"/>
      <c r="C181" s="1807"/>
      <c r="D181" s="1808" t="s">
        <v>2008</v>
      </c>
      <c r="E181" s="1809"/>
      <c r="F181" s="1811">
        <f>F179+F180</f>
        <v>110104292</v>
      </c>
    </row>
    <row r="182" spans="1:7" ht="12" customHeight="1" x14ac:dyDescent="0.2">
      <c r="A182" s="1792"/>
      <c r="B182" s="1812"/>
      <c r="C182" s="1807"/>
      <c r="D182" s="1808" t="str">
        <f>D78</f>
        <v>9 Month ADA from District Average Daily Attendance/Prior General State Aid Inquiry 2017-2018</v>
      </c>
      <c r="E182" s="1809"/>
      <c r="F182" s="1813">
        <f>'PCTC-OEPP 27-28'!F78</f>
        <v>12011.47</v>
      </c>
      <c r="G182" s="931"/>
    </row>
    <row r="183" spans="1:7" ht="12" customHeight="1" thickBot="1" x14ac:dyDescent="0.25">
      <c r="A183" s="1792"/>
      <c r="B183" s="1812"/>
      <c r="C183" s="1807"/>
      <c r="D183" s="1808" t="s">
        <v>2009</v>
      </c>
      <c r="E183" s="1809" t="s">
        <v>1622</v>
      </c>
      <c r="F183" s="1814">
        <f>F181/F182</f>
        <v>9166.5959287247952</v>
      </c>
      <c r="G183" s="857">
        <v>6323</v>
      </c>
    </row>
    <row r="184" spans="1:7" ht="12" thickTop="1" x14ac:dyDescent="0.2">
      <c r="B184" s="931"/>
      <c r="C184" s="950"/>
      <c r="D184" s="931"/>
      <c r="E184" s="950"/>
      <c r="F184" s="931"/>
      <c r="G184" s="952">
        <v>6326</v>
      </c>
    </row>
    <row r="185" spans="1:7" ht="12.2" customHeight="1" x14ac:dyDescent="0.2">
      <c r="A185" s="931" t="s">
        <v>2052</v>
      </c>
      <c r="B185" s="931"/>
      <c r="C185" s="950"/>
      <c r="D185" s="931"/>
      <c r="E185" s="950"/>
      <c r="F185" s="931"/>
      <c r="G185" s="931"/>
    </row>
    <row r="186" spans="1:7" s="1948" customFormat="1" ht="12.2" customHeight="1" x14ac:dyDescent="0.2">
      <c r="A186" s="1948" t="s">
        <v>2057</v>
      </c>
      <c r="B186" s="1949"/>
      <c r="C186" s="1950"/>
      <c r="D186" s="1949"/>
      <c r="E186" s="1950"/>
      <c r="F186" s="1949"/>
      <c r="G186" s="1949"/>
    </row>
    <row r="187" spans="1:7" s="1948" customFormat="1" ht="12.2" customHeight="1" x14ac:dyDescent="0.2">
      <c r="A187" s="1951" t="s">
        <v>2058</v>
      </c>
      <c r="C187" s="1950"/>
      <c r="D187" s="1949"/>
      <c r="E187" s="1950"/>
      <c r="F187" s="1949"/>
      <c r="G187" s="1949"/>
    </row>
    <row r="188" spans="1:7" ht="12" customHeight="1" x14ac:dyDescent="0.2">
      <c r="C188" s="950"/>
      <c r="D188" s="931"/>
      <c r="E188" s="950"/>
      <c r="F188" s="931"/>
      <c r="G188" s="931"/>
    </row>
    <row r="189" spans="1:7" x14ac:dyDescent="0.2">
      <c r="A189" s="1952" t="s">
        <v>2056</v>
      </c>
      <c r="B189" s="1953" t="s">
        <v>2055</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35" sqref="A135"/>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1933</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90" t="s">
        <v>1918</v>
      </c>
      <c r="B4" s="2291"/>
      <c r="C4" s="2291"/>
      <c r="D4" s="2291"/>
      <c r="E4" s="2291"/>
      <c r="F4" s="2291"/>
      <c r="G4" s="2292"/>
    </row>
    <row r="5" spans="1:7" x14ac:dyDescent="0.25">
      <c r="A5" s="2293"/>
      <c r="B5" s="2294"/>
      <c r="C5" s="2294"/>
      <c r="D5" s="2294"/>
      <c r="E5" s="2294"/>
      <c r="F5" s="2294"/>
      <c r="G5" s="2295"/>
    </row>
    <row r="6" spans="1:7" ht="18.75" x14ac:dyDescent="0.25">
      <c r="A6" s="1556" t="s">
        <v>1919</v>
      </c>
      <c r="B6" s="1557"/>
      <c r="C6" s="1557"/>
      <c r="D6" s="1557"/>
      <c r="E6" s="1557"/>
      <c r="F6" s="1557"/>
      <c r="G6" s="1558"/>
    </row>
    <row r="7" spans="1:7" ht="30.75" customHeight="1" x14ac:dyDescent="0.25">
      <c r="A7" s="2296" t="s">
        <v>2067</v>
      </c>
      <c r="B7" s="2297"/>
      <c r="C7" s="2297"/>
      <c r="D7" s="2297"/>
      <c r="E7" s="2297"/>
      <c r="F7" s="2297"/>
      <c r="G7" s="2298"/>
    </row>
    <row r="8" spans="1:7" ht="15.75" customHeight="1" x14ac:dyDescent="0.25">
      <c r="A8" s="2299" t="s">
        <v>2016</v>
      </c>
      <c r="B8" s="2300"/>
      <c r="C8" s="2300"/>
      <c r="D8" s="2300"/>
      <c r="E8" s="2300"/>
      <c r="F8" s="2300"/>
      <c r="G8" s="2301"/>
    </row>
    <row r="9" spans="1:7" ht="35.25" customHeight="1" x14ac:dyDescent="0.25">
      <c r="A9" s="2296" t="s">
        <v>2015</v>
      </c>
      <c r="B9" s="2297"/>
      <c r="C9" s="2297"/>
      <c r="D9" s="2297"/>
      <c r="E9" s="2297"/>
      <c r="F9" s="2297"/>
      <c r="G9" s="2298"/>
    </row>
    <row r="10" spans="1:7" ht="15" customHeight="1" x14ac:dyDescent="0.25">
      <c r="A10" s="1559" t="s">
        <v>1920</v>
      </c>
      <c r="B10" s="1560"/>
      <c r="C10" s="1560"/>
      <c r="D10" s="1560"/>
      <c r="E10" s="1560"/>
      <c r="F10" s="1560"/>
      <c r="G10" s="1561"/>
    </row>
    <row r="11" spans="1:7" ht="17.25" customHeight="1" x14ac:dyDescent="0.25">
      <c r="A11" s="2296" t="s">
        <v>1934</v>
      </c>
      <c r="B11" s="2297"/>
      <c r="C11" s="2297"/>
      <c r="D11" s="2297"/>
      <c r="E11" s="2297"/>
      <c r="F11" s="2297"/>
      <c r="G11" s="2298"/>
    </row>
    <row r="12" spans="1:7" ht="15" customHeight="1" x14ac:dyDescent="0.25">
      <c r="A12" s="1559" t="s">
        <v>1925</v>
      </c>
      <c r="B12" s="1560"/>
      <c r="C12" s="1560"/>
      <c r="D12" s="1560"/>
      <c r="E12" s="1560"/>
      <c r="F12" s="1560"/>
      <c r="G12" s="1561"/>
    </row>
    <row r="13" spans="1:7" ht="32.25" customHeight="1" x14ac:dyDescent="0.25">
      <c r="A13" s="2287" t="s">
        <v>1926</v>
      </c>
      <c r="B13" s="2288"/>
      <c r="C13" s="2288"/>
      <c r="D13" s="2288"/>
      <c r="E13" s="2288"/>
      <c r="F13" s="2288"/>
      <c r="G13" s="2289"/>
    </row>
    <row r="14" spans="1:7" x14ac:dyDescent="0.25">
      <c r="A14" s="1683" t="s">
        <v>1935</v>
      </c>
      <c r="B14" s="1684"/>
      <c r="C14" s="1684"/>
      <c r="D14" s="1684"/>
      <c r="E14" s="1684"/>
      <c r="F14" s="1684"/>
      <c r="G14" s="1685"/>
    </row>
    <row r="15" spans="1:7" ht="61.5" customHeight="1" x14ac:dyDescent="0.25">
      <c r="A15" s="1568" t="s">
        <v>1927</v>
      </c>
      <c r="B15" s="1568" t="s">
        <v>1928</v>
      </c>
      <c r="C15" s="1568" t="s">
        <v>1929</v>
      </c>
      <c r="D15" s="1569" t="s">
        <v>1930</v>
      </c>
      <c r="E15" s="1569" t="s">
        <v>1921</v>
      </c>
      <c r="F15" s="1569" t="s">
        <v>1931</v>
      </c>
      <c r="G15" s="1569" t="s">
        <v>1932</v>
      </c>
    </row>
    <row r="16" spans="1:7" x14ac:dyDescent="0.25">
      <c r="A16" s="1670" t="s">
        <v>1936</v>
      </c>
      <c r="B16" s="1671" t="s">
        <v>1924</v>
      </c>
      <c r="C16" s="1672" t="s">
        <v>1922</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idden="1" x14ac:dyDescent="0.25">
      <c r="A17" s="1677"/>
      <c r="B17" s="1868"/>
      <c r="C17" s="1678"/>
      <c r="D17" s="1867"/>
      <c r="E17" s="1562">
        <f t="shared" ref="E17:E141" si="1">IF(D17&lt;=25000,D17,IF(D17&gt;25000,25000,0))</f>
        <v>0</v>
      </c>
      <c r="F17" s="1815">
        <f t="shared" si="0"/>
        <v>0</v>
      </c>
      <c r="G17" s="1816">
        <f>IF(F17=0,0,D17-F17)</f>
        <v>0</v>
      </c>
      <c r="H17" s="1669"/>
    </row>
    <row r="18" spans="1:8" hidden="1"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hidden="1" x14ac:dyDescent="0.25">
      <c r="A19" s="1675"/>
      <c r="B19" s="1869"/>
      <c r="C19" s="1678"/>
      <c r="D19" s="1867"/>
      <c r="E19" s="1562">
        <f t="shared" si="2"/>
        <v>0</v>
      </c>
      <c r="F19" s="1815">
        <f t="shared" si="3"/>
        <v>0</v>
      </c>
      <c r="G19" s="1816">
        <f t="shared" si="4"/>
        <v>0</v>
      </c>
    </row>
    <row r="20" spans="1:8" hidden="1" x14ac:dyDescent="0.25">
      <c r="A20" s="1675"/>
      <c r="B20" s="1868"/>
      <c r="C20" s="1678"/>
      <c r="D20" s="1867"/>
      <c r="E20" s="1562">
        <f t="shared" si="2"/>
        <v>0</v>
      </c>
      <c r="F20" s="1815">
        <f t="shared" si="3"/>
        <v>0</v>
      </c>
      <c r="G20" s="1816">
        <f t="shared" si="4"/>
        <v>0</v>
      </c>
    </row>
    <row r="21" spans="1:8" hidden="1" x14ac:dyDescent="0.25">
      <c r="A21" s="1675"/>
      <c r="B21" s="1868"/>
      <c r="C21" s="1678"/>
      <c r="D21" s="1867"/>
      <c r="E21" s="1562">
        <f t="shared" si="2"/>
        <v>0</v>
      </c>
      <c r="F21" s="1815">
        <f t="shared" si="3"/>
        <v>0</v>
      </c>
      <c r="G21" s="1816">
        <f t="shared" si="4"/>
        <v>0</v>
      </c>
    </row>
    <row r="22" spans="1:8" hidden="1" x14ac:dyDescent="0.25">
      <c r="A22" s="1675"/>
      <c r="B22" s="1868"/>
      <c r="C22" s="1678"/>
      <c r="D22" s="1867"/>
      <c r="E22" s="1562">
        <f t="shared" si="2"/>
        <v>0</v>
      </c>
      <c r="F22" s="1815">
        <f t="shared" si="3"/>
        <v>0</v>
      </c>
      <c r="G22" s="1816">
        <f t="shared" si="4"/>
        <v>0</v>
      </c>
    </row>
    <row r="23" spans="1:8" hidden="1" x14ac:dyDescent="0.25">
      <c r="A23" s="1675"/>
      <c r="B23" s="1868"/>
      <c r="C23" s="1678"/>
      <c r="D23" s="1867"/>
      <c r="E23" s="1562">
        <f t="shared" si="2"/>
        <v>0</v>
      </c>
      <c r="F23" s="1815">
        <f t="shared" si="3"/>
        <v>0</v>
      </c>
      <c r="G23" s="1816">
        <f t="shared" si="4"/>
        <v>0</v>
      </c>
    </row>
    <row r="24" spans="1:8" hidden="1" x14ac:dyDescent="0.25">
      <c r="A24" s="1675"/>
      <c r="B24" s="1869"/>
      <c r="C24" s="1678"/>
      <c r="D24" s="1867"/>
      <c r="E24" s="1562">
        <f t="shared" si="2"/>
        <v>0</v>
      </c>
      <c r="F24" s="1815">
        <f t="shared" si="3"/>
        <v>0</v>
      </c>
      <c r="G24" s="1816">
        <f t="shared" si="4"/>
        <v>0</v>
      </c>
    </row>
    <row r="25" spans="1:8" hidden="1" x14ac:dyDescent="0.25">
      <c r="A25" s="1675"/>
      <c r="B25" s="1868"/>
      <c r="C25" s="1678"/>
      <c r="D25" s="1867"/>
      <c r="E25" s="1562">
        <f t="shared" si="2"/>
        <v>0</v>
      </c>
      <c r="F25" s="1815">
        <f t="shared" si="3"/>
        <v>0</v>
      </c>
      <c r="G25" s="1816">
        <f t="shared" si="4"/>
        <v>0</v>
      </c>
    </row>
    <row r="26" spans="1:8" hidden="1" x14ac:dyDescent="0.25">
      <c r="A26" s="1675"/>
      <c r="B26" s="1869"/>
      <c r="C26" s="1676"/>
      <c r="D26" s="1867"/>
      <c r="E26" s="1562">
        <f t="shared" si="2"/>
        <v>0</v>
      </c>
      <c r="F26" s="1815">
        <f t="shared" si="3"/>
        <v>0</v>
      </c>
      <c r="G26" s="1816">
        <f t="shared" si="4"/>
        <v>0</v>
      </c>
    </row>
    <row r="27" spans="1:8" hidden="1" x14ac:dyDescent="0.25">
      <c r="A27" s="1675"/>
      <c r="B27" s="1869"/>
      <c r="C27" s="1676"/>
      <c r="D27" s="1867"/>
      <c r="E27" s="1562">
        <f t="shared" si="2"/>
        <v>0</v>
      </c>
      <c r="F27" s="1815">
        <f t="shared" si="3"/>
        <v>0</v>
      </c>
      <c r="G27" s="1816">
        <f t="shared" si="4"/>
        <v>0</v>
      </c>
    </row>
    <row r="28" spans="1:8" hidden="1" x14ac:dyDescent="0.25">
      <c r="A28" s="1675"/>
      <c r="B28" s="1869"/>
      <c r="C28" s="1676"/>
      <c r="D28" s="1867"/>
      <c r="E28" s="1562">
        <f t="shared" si="2"/>
        <v>0</v>
      </c>
      <c r="F28" s="1815">
        <f t="shared" si="3"/>
        <v>0</v>
      </c>
      <c r="G28" s="1816">
        <f t="shared" si="4"/>
        <v>0</v>
      </c>
    </row>
    <row r="29" spans="1:8" hidden="1" x14ac:dyDescent="0.25">
      <c r="A29" s="1675"/>
      <c r="B29" s="1869"/>
      <c r="C29" s="1676"/>
      <c r="D29" s="1867"/>
      <c r="E29" s="1562">
        <f t="shared" si="2"/>
        <v>0</v>
      </c>
      <c r="F29" s="1815">
        <f t="shared" si="3"/>
        <v>0</v>
      </c>
      <c r="G29" s="1816">
        <f t="shared" si="4"/>
        <v>0</v>
      </c>
    </row>
    <row r="30" spans="1:8" hidden="1" x14ac:dyDescent="0.25">
      <c r="A30" s="1675"/>
      <c r="B30" s="1869"/>
      <c r="C30" s="1676"/>
      <c r="D30" s="1867"/>
      <c r="E30" s="1562">
        <f t="shared" si="2"/>
        <v>0</v>
      </c>
      <c r="F30" s="1815">
        <f t="shared" si="3"/>
        <v>0</v>
      </c>
      <c r="G30" s="1816">
        <f t="shared" si="4"/>
        <v>0</v>
      </c>
    </row>
    <row r="31" spans="1:8" hidden="1" x14ac:dyDescent="0.25">
      <c r="A31" s="1675"/>
      <c r="B31" s="1869"/>
      <c r="C31" s="1676"/>
      <c r="D31" s="1867"/>
      <c r="E31" s="1562">
        <f t="shared" si="2"/>
        <v>0</v>
      </c>
      <c r="F31" s="1815">
        <f t="shared" si="3"/>
        <v>0</v>
      </c>
      <c r="G31" s="1816">
        <f t="shared" si="4"/>
        <v>0</v>
      </c>
    </row>
    <row r="32" spans="1:8" hidden="1" x14ac:dyDescent="0.25">
      <c r="A32" s="1675"/>
      <c r="B32" s="1869"/>
      <c r="C32" s="1676"/>
      <c r="D32" s="1867"/>
      <c r="E32" s="1562">
        <f t="shared" si="2"/>
        <v>0</v>
      </c>
      <c r="F32" s="1815">
        <f t="shared" si="3"/>
        <v>0</v>
      </c>
      <c r="G32" s="1816">
        <f t="shared" si="4"/>
        <v>0</v>
      </c>
    </row>
    <row r="33" spans="1:7" hidden="1" x14ac:dyDescent="0.25">
      <c r="A33" s="1675"/>
      <c r="B33" s="1869"/>
      <c r="C33" s="1676"/>
      <c r="D33" s="1867"/>
      <c r="E33" s="1562">
        <f t="shared" si="2"/>
        <v>0</v>
      </c>
      <c r="F33" s="1815">
        <f t="shared" si="3"/>
        <v>0</v>
      </c>
      <c r="G33" s="1816">
        <f t="shared" si="4"/>
        <v>0</v>
      </c>
    </row>
    <row r="34" spans="1:7" hidden="1" x14ac:dyDescent="0.25">
      <c r="A34" s="1675"/>
      <c r="B34" s="1869"/>
      <c r="C34" s="1676"/>
      <c r="D34" s="1867"/>
      <c r="E34" s="1562">
        <f t="shared" si="2"/>
        <v>0</v>
      </c>
      <c r="F34" s="1815">
        <f t="shared" si="3"/>
        <v>0</v>
      </c>
      <c r="G34" s="1816">
        <f t="shared" si="4"/>
        <v>0</v>
      </c>
    </row>
    <row r="35" spans="1:7" hidden="1" x14ac:dyDescent="0.25">
      <c r="A35" s="1675"/>
      <c r="B35" s="1869"/>
      <c r="C35" s="1676"/>
      <c r="D35" s="1867"/>
      <c r="E35" s="1562">
        <f t="shared" si="2"/>
        <v>0</v>
      </c>
      <c r="F35" s="1815">
        <f t="shared" si="3"/>
        <v>0</v>
      </c>
      <c r="G35" s="1816">
        <f t="shared" si="4"/>
        <v>0</v>
      </c>
    </row>
    <row r="36" spans="1:7" hidden="1" x14ac:dyDescent="0.25">
      <c r="A36" s="1675"/>
      <c r="B36" s="1869"/>
      <c r="C36" s="1676"/>
      <c r="D36" s="1867"/>
      <c r="E36" s="1562">
        <f t="shared" si="2"/>
        <v>0</v>
      </c>
      <c r="F36" s="1815">
        <f t="shared" si="3"/>
        <v>0</v>
      </c>
      <c r="G36" s="1816">
        <f t="shared" si="4"/>
        <v>0</v>
      </c>
    </row>
    <row r="37" spans="1:7" hidden="1" x14ac:dyDescent="0.25">
      <c r="A37" s="1675"/>
      <c r="B37" s="1869"/>
      <c r="C37" s="1676"/>
      <c r="D37" s="1867"/>
      <c r="E37" s="1562">
        <f t="shared" si="2"/>
        <v>0</v>
      </c>
      <c r="F37" s="1815">
        <f t="shared" si="3"/>
        <v>0</v>
      </c>
      <c r="G37" s="1816">
        <f t="shared" si="4"/>
        <v>0</v>
      </c>
    </row>
    <row r="38" spans="1:7" hidden="1"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1419</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2" t="s">
        <v>1774</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2068</v>
      </c>
      <c r="B10" s="972"/>
      <c r="C10" s="977"/>
      <c r="D10" s="973"/>
      <c r="E10" s="974">
        <v>3870</v>
      </c>
      <c r="F10" s="975"/>
      <c r="G10" s="976"/>
      <c r="H10" s="162"/>
      <c r="I10" s="162"/>
    </row>
    <row r="11" spans="1:9" s="669" customFormat="1" ht="22.5" customHeight="1" x14ac:dyDescent="0.2">
      <c r="A11" s="2307" t="s">
        <v>1938</v>
      </c>
      <c r="B11" s="2308"/>
      <c r="C11" s="2308"/>
      <c r="D11" s="2309"/>
      <c r="E11" s="978">
        <v>377490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1439</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75399300</v>
      </c>
      <c r="F19" s="1822"/>
      <c r="G19" s="1824">
        <f>'Expenditures 15-22'!K33-SUM('Expenditures 15-22'!G33,'Expenditures 15-22'!I33)+'Expenditures 15-22'!D229</f>
        <v>75399300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4636055</v>
      </c>
      <c r="F21" s="1825"/>
      <c r="G21" s="1828">
        <f>'Expenditures 15-22'!K42-SUM('Expenditures 15-22'!G42,'Expenditures 15-22'!I42)+'Expenditures 15-22'!K120-SUM('Expenditures 15-22'!G120,'Expenditures 15-22'!I120)+'Expenditures 15-22'!K180-SUM('Expenditures 15-22'!G180,'Expenditures 15-22'!I180)+'Expenditures 15-22'!D238</f>
        <v>4636055</v>
      </c>
      <c r="H21" s="988"/>
      <c r="I21" s="162"/>
    </row>
    <row r="22" spans="1:9" s="669" customFormat="1" ht="12" customHeight="1" x14ac:dyDescent="0.2">
      <c r="A22" s="995" t="s">
        <v>584</v>
      </c>
      <c r="B22" s="996"/>
      <c r="C22" s="994">
        <v>2200</v>
      </c>
      <c r="D22" s="1825"/>
      <c r="E22" s="1827">
        <f>'Expenditures 15-22'!K47-SUM('Expenditures 15-22'!G47,'Expenditures 15-22'!I47)+'Expenditures 15-22'!D243</f>
        <v>3532122</v>
      </c>
      <c r="F22" s="1825"/>
      <c r="G22" s="1828">
        <f>'Expenditures 15-22'!K47-SUM('Expenditures 15-22'!G47,'Expenditures 15-22'!I47)+'Expenditures 15-22'!D243</f>
        <v>3532122</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5894784</v>
      </c>
      <c r="F23" s="1825"/>
      <c r="G23" s="1827">
        <f>'Expenditures 15-22'!K53-SUM('Expenditures 15-22'!G53,'Expenditures 15-22'!I53)+'Expenditures 15-22'!D257+'Expenditures 15-22'!K330-SUM('Expenditures 15-22'!G330,'Expenditures 15-22'!I330)</f>
        <v>5894784</v>
      </c>
      <c r="H23" s="988"/>
      <c r="I23" s="162"/>
    </row>
    <row r="24" spans="1:9" s="669" customFormat="1" ht="12" customHeight="1" x14ac:dyDescent="0.2">
      <c r="A24" s="995" t="s">
        <v>586</v>
      </c>
      <c r="B24" s="996"/>
      <c r="C24" s="994">
        <v>2400</v>
      </c>
      <c r="D24" s="1825"/>
      <c r="E24" s="1827">
        <f>'Expenditures 15-22'!K57-SUM('Expenditures 15-22'!G57,'Expenditures 15-22'!I57)+'Expenditures 15-22'!D261</f>
        <v>5909075</v>
      </c>
      <c r="F24" s="1825"/>
      <c r="G24" s="1828">
        <f>'Expenditures 15-22'!K57-SUM('Expenditures 15-22'!G57,'Expenditures 15-22'!I57)+'Expenditures 15-22'!D261</f>
        <v>5909075</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183077</v>
      </c>
      <c r="E26" s="1827">
        <f>'Expenditures 15-22'!K122-SUM('Expenditures 15-22'!G122,'Expenditures 15-22'!I122)+E7</f>
        <v>0</v>
      </c>
      <c r="F26" s="1827">
        <f>'Expenditures 15-22'!K59-SUM('Expenditures 15-22'!G59,'Expenditures 15-22'!I59)+'Expenditures 15-22'!D263-E7</f>
        <v>183077</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618949</v>
      </c>
      <c r="E27" s="1827">
        <f>E8</f>
        <v>0</v>
      </c>
      <c r="F27" s="1827">
        <f>'Expenditures 15-22'!K60-SUM('Expenditures 15-22'!G60,'Expenditures 15-22'!I60)+'Expenditures 15-22'!D264-E8</f>
        <v>618949</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12529993</v>
      </c>
      <c r="F28" s="1829">
        <f>'Expenditures 15-22'!K61-SUM('Expenditures 15-22'!G61,'Expenditures 15-22'!I61)+'Expenditures 15-22'!K124-SUM('Expenditures 15-22'!G124,'Expenditures 15-22'!I124)+'Expenditures 15-22'!D266-E9</f>
        <v>12529993</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9676053</v>
      </c>
      <c r="F29" s="1825"/>
      <c r="G29" s="1828">
        <f>'Expenditures 15-22'!K62-SUM('Expenditures 15-22'!G62,'Expenditures 15-22'!I62)+'Expenditures 15-22'!K125-SUM('Expenditures 15-22'!G125,'Expenditures 15-22'!I125)+'Expenditures 15-22'!K182-SUM('Expenditures 15-22'!G182,'Expenditures 15-22'!I182)+'Expenditures 15-22'!D267</f>
        <v>9676053</v>
      </c>
      <c r="H29" s="986"/>
    </row>
    <row r="30" spans="1:9" ht="12" customHeight="1" x14ac:dyDescent="0.2">
      <c r="A30" s="995" t="s">
        <v>102</v>
      </c>
      <c r="B30" s="998"/>
      <c r="C30" s="994">
        <v>2560</v>
      </c>
      <c r="D30" s="1825"/>
      <c r="E30" s="1827">
        <f>'Expenditures 15-22'!K63-SUM('Expenditures 15-22'!G63,'Expenditures 15-22'!I63)+'Expenditures 15-22'!D268-E10</f>
        <v>5221898</v>
      </c>
      <c r="F30" s="1825"/>
      <c r="G30" s="1827">
        <f>'Expenditures 15-22'!K63-SUM('Expenditures 15-22'!G63,'Expenditures 15-22'!I63)+'Expenditures 15-22'!D268-E10</f>
        <v>5221898</v>
      </c>
    </row>
    <row r="31" spans="1:9" ht="12" customHeight="1" x14ac:dyDescent="0.2">
      <c r="A31" s="995" t="s">
        <v>103</v>
      </c>
      <c r="B31" s="998"/>
      <c r="C31" s="994">
        <v>2570</v>
      </c>
      <c r="D31" s="1827">
        <f>'Expenditures 15-22'!K64-SUM('Expenditures 15-22'!G64,'Expenditures 15-22'!I64)+'Expenditures 15-22'!D269-E12</f>
        <v>379966</v>
      </c>
      <c r="E31" s="1827">
        <f>E12</f>
        <v>0</v>
      </c>
      <c r="F31" s="1827">
        <f>'Expenditures 15-22'!K64-SUM('Expenditures 15-22'!G64,'Expenditures 15-22'!I64)+'Expenditures 15-22'!D269-E12</f>
        <v>379966</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96655</v>
      </c>
      <c r="F35" s="1825"/>
      <c r="G35" s="1827">
        <f>'Expenditures 15-22'!K69-SUM('Expenditures 15-22'!G69,'Expenditures 15-22'!I69)+'Expenditures 15-22'!D274</f>
        <v>96655</v>
      </c>
    </row>
    <row r="36" spans="1:7" ht="12" customHeight="1" x14ac:dyDescent="0.2">
      <c r="A36" s="995" t="s">
        <v>422</v>
      </c>
      <c r="B36" s="998"/>
      <c r="C36" s="994">
        <v>2640</v>
      </c>
      <c r="D36" s="1827">
        <f>'Expenditures 15-22'!K70-SUM('Expenditures 15-22'!G70,'Expenditures 15-22'!I70)+'Expenditures 15-22'!D275-E13</f>
        <v>448462</v>
      </c>
      <c r="E36" s="1827">
        <f>E13</f>
        <v>0</v>
      </c>
      <c r="F36" s="1827">
        <f>'Expenditures 15-22'!K70-SUM('Expenditures 15-22'!G70,'Expenditures 15-22'!I70)+'Expenditures 15-22'!D275-E13</f>
        <v>448462</v>
      </c>
      <c r="G36" s="1827">
        <f>E13</f>
        <v>0</v>
      </c>
    </row>
    <row r="37" spans="1:7" ht="12" customHeight="1" x14ac:dyDescent="0.2">
      <c r="A37" s="995" t="s">
        <v>423</v>
      </c>
      <c r="B37" s="998"/>
      <c r="C37" s="994">
        <v>2660</v>
      </c>
      <c r="D37" s="1827">
        <f>'Expenditures 15-22'!K71-SUM('Expenditures 15-22'!G71,'Expenditures 15-22'!I71)+'Expenditures 15-22'!D276-E14</f>
        <v>2489800</v>
      </c>
      <c r="E37" s="1827">
        <f>E14</f>
        <v>0</v>
      </c>
      <c r="F37" s="1827">
        <f>'Expenditures 15-22'!K71-SUM('Expenditures 15-22'!G71,'Expenditures 15-22'!I71)+'Expenditures 15-22'!D276-E14</f>
        <v>2489800</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486382</v>
      </c>
      <c r="F39" s="1825"/>
      <c r="G39" s="1827">
        <f>'Expenditures 15-22'!K75-SUM('Expenditures 15-22'!G75,'Expenditures 15-22'!I75)+'Expenditures 15-22'!K130-SUM('Expenditures 15-22'!G130,'Expenditures 15-22'!I130)+'Expenditures 15-22'!K185-SUM('Expenditures 15-22'!G185,'Expenditures 15-22'!I185)+'Expenditures 15-22'!D280</f>
        <v>486382</v>
      </c>
    </row>
    <row r="40" spans="1:7" ht="12" customHeight="1" x14ac:dyDescent="0.2">
      <c r="A40" s="991" t="s">
        <v>1923</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4120254</v>
      </c>
      <c r="E41" s="1829">
        <f>SUM(E19:E40)</f>
        <v>123382317</v>
      </c>
      <c r="F41" s="1829">
        <f>SUM(F19:F39)</f>
        <v>16650247</v>
      </c>
      <c r="G41" s="1829">
        <f>SUM(G19:G40)</f>
        <v>110852324</v>
      </c>
    </row>
    <row r="42" spans="1:7" x14ac:dyDescent="0.2">
      <c r="A42" s="988"/>
      <c r="B42" s="162"/>
      <c r="C42" s="1002"/>
      <c r="D42" s="2305" t="s">
        <v>542</v>
      </c>
      <c r="E42" s="2306"/>
      <c r="F42" s="1003" t="s">
        <v>543</v>
      </c>
      <c r="G42" s="1004"/>
    </row>
    <row r="43" spans="1:7" ht="12" customHeight="1" x14ac:dyDescent="0.2">
      <c r="A43" s="988"/>
      <c r="B43" s="162"/>
      <c r="C43" s="1002"/>
      <c r="D43" s="1830" t="s">
        <v>492</v>
      </c>
      <c r="E43" s="1831">
        <f>D41</f>
        <v>4120254</v>
      </c>
      <c r="F43" s="1830" t="s">
        <v>494</v>
      </c>
      <c r="G43" s="1831">
        <f>F41</f>
        <v>16650247</v>
      </c>
    </row>
    <row r="44" spans="1:7" ht="12" customHeight="1" x14ac:dyDescent="0.2">
      <c r="A44" s="988"/>
      <c r="B44" s="162"/>
      <c r="C44" s="1002"/>
      <c r="D44" s="1830" t="s">
        <v>493</v>
      </c>
      <c r="E44" s="1831">
        <f>E41</f>
        <v>123382317</v>
      </c>
      <c r="F44" s="1830" t="s">
        <v>493</v>
      </c>
      <c r="G44" s="1831">
        <f>G41</f>
        <v>110852324</v>
      </c>
    </row>
    <row r="45" spans="1:7" ht="12" customHeight="1" x14ac:dyDescent="0.2">
      <c r="A45" s="988"/>
      <c r="B45" s="162"/>
      <c r="C45" s="162"/>
      <c r="D45" s="1832" t="s">
        <v>1062</v>
      </c>
      <c r="E45" s="1833">
        <f>(E43/E44)</f>
        <v>3.3394201861195391E-2</v>
      </c>
      <c r="F45" s="1832" t="s">
        <v>1062</v>
      </c>
      <c r="G45" s="1833">
        <f>(G43/G44)</f>
        <v>0.15020205620587621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pane="bottomLeft" sqref="A1:F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4" t="s">
        <v>1442</v>
      </c>
      <c r="B1" s="2324"/>
      <c r="C1" s="2324"/>
      <c r="D1" s="2324"/>
      <c r="E1" s="2324"/>
      <c r="F1" s="2324"/>
    </row>
    <row r="2" spans="1:10" x14ac:dyDescent="0.2">
      <c r="A2" s="1912" t="s">
        <v>2040</v>
      </c>
      <c r="B2" s="1873"/>
      <c r="C2" s="1912"/>
      <c r="D2" s="1873"/>
      <c r="E2" s="1873"/>
      <c r="F2" s="1874"/>
    </row>
    <row r="3" spans="1:10" x14ac:dyDescent="0.2">
      <c r="A3" s="1912" t="s">
        <v>1696</v>
      </c>
      <c r="B3" s="1873"/>
      <c r="C3" s="1912"/>
      <c r="D3" s="1873"/>
      <c r="E3" s="1873"/>
      <c r="F3" s="1874"/>
    </row>
    <row r="4" spans="1:10" ht="3.75" customHeight="1" x14ac:dyDescent="0.2">
      <c r="A4" s="1873"/>
      <c r="B4" s="1873"/>
      <c r="C4" s="1873"/>
      <c r="D4" s="1873"/>
      <c r="E4" s="1873"/>
      <c r="F4" s="1874"/>
    </row>
    <row r="5" spans="1:10" ht="15" x14ac:dyDescent="0.25">
      <c r="A5" s="2325" t="s">
        <v>1623</v>
      </c>
      <c r="B5" s="2326"/>
      <c r="C5" s="2327"/>
      <c r="D5" s="2327"/>
      <c r="E5" s="2327"/>
      <c r="F5" s="2327"/>
    </row>
    <row r="6" spans="1:10" ht="12" customHeight="1" x14ac:dyDescent="0.25">
      <c r="A6" s="1875"/>
      <c r="B6" s="1876"/>
      <c r="C6" s="2328" t="str">
        <f>COVER!A17</f>
        <v>McLean County USD 5</v>
      </c>
      <c r="D6" s="2328"/>
      <c r="E6" s="2328"/>
      <c r="F6" s="1877"/>
    </row>
    <row r="7" spans="1:10" ht="11.25" customHeight="1" thickBot="1" x14ac:dyDescent="0.3">
      <c r="A7" s="1875"/>
      <c r="B7" s="1876"/>
      <c r="C7" s="2329" t="str">
        <f>COVER!A13</f>
        <v>17-064-0050-26</v>
      </c>
      <c r="D7" s="2329"/>
      <c r="E7" s="2329"/>
      <c r="F7" s="1877"/>
    </row>
    <row r="8" spans="1:10" ht="25.5" customHeight="1" thickBot="1" x14ac:dyDescent="0.25">
      <c r="A8" s="1918" t="s">
        <v>2017</v>
      </c>
      <c r="B8" s="1878"/>
      <c r="C8" s="1914" t="s">
        <v>1776</v>
      </c>
      <c r="D8" s="1913" t="s">
        <v>1777</v>
      </c>
      <c r="E8" s="1915" t="s">
        <v>1443</v>
      </c>
      <c r="F8" s="1913" t="s">
        <v>1778</v>
      </c>
      <c r="H8" s="1879" t="b">
        <v>0</v>
      </c>
    </row>
    <row r="9" spans="1:10" ht="15.75" customHeight="1" x14ac:dyDescent="0.2">
      <c r="A9" s="1880" t="s">
        <v>1619</v>
      </c>
      <c r="B9" s="1881"/>
      <c r="C9" s="1882"/>
      <c r="D9" s="1882"/>
      <c r="E9" s="1883"/>
      <c r="F9" s="1884"/>
    </row>
    <row r="10" spans="1:10" ht="27.75" customHeight="1" x14ac:dyDescent="0.2">
      <c r="A10" s="1885" t="s">
        <v>1775</v>
      </c>
      <c r="B10" s="1886"/>
      <c r="C10" s="1887"/>
      <c r="D10" s="1887"/>
      <c r="E10" s="1916" t="s">
        <v>1444</v>
      </c>
      <c r="F10" s="1917" t="s">
        <v>1445</v>
      </c>
    </row>
    <row r="11" spans="1:10" ht="12" customHeight="1" x14ac:dyDescent="0.2">
      <c r="A11" s="1888" t="s">
        <v>1446</v>
      </c>
      <c r="B11" s="1889"/>
      <c r="C11" s="1890"/>
      <c r="D11" s="1890"/>
      <c r="E11" s="1891"/>
      <c r="F11" s="1892"/>
      <c r="H11" s="1903">
        <f>IF(C11="X",5,0)</f>
        <v>0</v>
      </c>
      <c r="I11" s="1903">
        <f>IF(D11="X",5,0)</f>
        <v>0</v>
      </c>
      <c r="J11" s="1903">
        <f>IF(E11="X",5,0)</f>
        <v>0</v>
      </c>
    </row>
    <row r="12" spans="1:10" ht="12" customHeight="1" x14ac:dyDescent="0.2">
      <c r="A12" s="1888" t="s">
        <v>1447</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1448</v>
      </c>
      <c r="B13" s="1889"/>
      <c r="C13" s="1890"/>
      <c r="D13" s="1890"/>
      <c r="E13" s="1893"/>
      <c r="F13" s="1892"/>
      <c r="H13" s="1903">
        <f t="shared" si="0"/>
        <v>0</v>
      </c>
      <c r="I13" s="1903">
        <f t="shared" si="1"/>
        <v>0</v>
      </c>
      <c r="J13" s="1903">
        <f t="shared" si="2"/>
        <v>0</v>
      </c>
    </row>
    <row r="14" spans="1:10" ht="12" customHeight="1" x14ac:dyDescent="0.2">
      <c r="A14" s="1888" t="s">
        <v>1449</v>
      </c>
      <c r="B14" s="1889"/>
      <c r="C14" s="1890"/>
      <c r="D14" s="1890"/>
      <c r="E14" s="1893"/>
      <c r="F14" s="1892"/>
      <c r="H14" s="1903">
        <f t="shared" si="0"/>
        <v>0</v>
      </c>
      <c r="I14" s="1903">
        <f t="shared" si="1"/>
        <v>0</v>
      </c>
      <c r="J14" s="1903">
        <f t="shared" si="2"/>
        <v>0</v>
      </c>
    </row>
    <row r="15" spans="1:10" ht="12" customHeight="1" x14ac:dyDescent="0.2">
      <c r="A15" s="1888" t="s">
        <v>1450</v>
      </c>
      <c r="B15" s="1889"/>
      <c r="C15" s="1890"/>
      <c r="D15" s="1890"/>
      <c r="E15" s="1893"/>
      <c r="F15" s="1892"/>
      <c r="H15" s="1903">
        <f t="shared" si="0"/>
        <v>0</v>
      </c>
      <c r="I15" s="1903">
        <f t="shared" si="1"/>
        <v>0</v>
      </c>
      <c r="J15" s="1903">
        <f t="shared" si="2"/>
        <v>0</v>
      </c>
    </row>
    <row r="16" spans="1:10" ht="12" customHeight="1" x14ac:dyDescent="0.2">
      <c r="A16" s="1888" t="s">
        <v>1451</v>
      </c>
      <c r="B16" s="1889"/>
      <c r="C16" s="1890"/>
      <c r="D16" s="1890"/>
      <c r="E16" s="1893"/>
      <c r="F16" s="1892"/>
      <c r="H16" s="1903">
        <f t="shared" si="0"/>
        <v>0</v>
      </c>
      <c r="I16" s="1903">
        <f t="shared" si="1"/>
        <v>0</v>
      </c>
      <c r="J16" s="1903">
        <f t="shared" si="2"/>
        <v>0</v>
      </c>
    </row>
    <row r="17" spans="1:12" ht="12" customHeight="1" x14ac:dyDescent="0.2">
      <c r="A17" s="1888" t="s">
        <v>1452</v>
      </c>
      <c r="B17" s="1889"/>
      <c r="C17" s="1890"/>
      <c r="D17" s="1890"/>
      <c r="E17" s="1893"/>
      <c r="F17" s="1892"/>
      <c r="H17" s="1903">
        <f t="shared" si="0"/>
        <v>0</v>
      </c>
      <c r="I17" s="1903">
        <f t="shared" si="1"/>
        <v>0</v>
      </c>
      <c r="J17" s="1903">
        <f t="shared" si="2"/>
        <v>0</v>
      </c>
    </row>
    <row r="18" spans="1:12" ht="12" customHeight="1" x14ac:dyDescent="0.2">
      <c r="A18" s="1888" t="s">
        <v>1453</v>
      </c>
      <c r="B18" s="1889"/>
      <c r="C18" s="1890"/>
      <c r="D18" s="1890"/>
      <c r="E18" s="1893"/>
      <c r="F18" s="1892"/>
      <c r="H18" s="1903">
        <f t="shared" si="0"/>
        <v>0</v>
      </c>
      <c r="I18" s="1903">
        <f t="shared" si="1"/>
        <v>0</v>
      </c>
      <c r="J18" s="1903">
        <f t="shared" si="2"/>
        <v>0</v>
      </c>
    </row>
    <row r="19" spans="1:12" ht="12" customHeight="1" x14ac:dyDescent="0.2">
      <c r="A19" s="1888" t="s">
        <v>1604</v>
      </c>
      <c r="B19" s="1889"/>
      <c r="C19" s="1890"/>
      <c r="D19" s="1890"/>
      <c r="E19" s="1893"/>
      <c r="F19" s="1892"/>
      <c r="H19" s="1903">
        <f t="shared" si="0"/>
        <v>0</v>
      </c>
      <c r="I19" s="1903">
        <f t="shared" si="1"/>
        <v>0</v>
      </c>
      <c r="J19" s="1903">
        <f t="shared" si="2"/>
        <v>0</v>
      </c>
    </row>
    <row r="20" spans="1:12" ht="12" customHeight="1" x14ac:dyDescent="0.2">
      <c r="A20" s="1888" t="s">
        <v>1605</v>
      </c>
      <c r="B20" s="1889"/>
      <c r="C20" s="1890"/>
      <c r="D20" s="1890"/>
      <c r="E20" s="1893"/>
      <c r="F20" s="1892"/>
      <c r="H20" s="1903">
        <f t="shared" si="0"/>
        <v>0</v>
      </c>
      <c r="I20" s="1903">
        <f t="shared" si="1"/>
        <v>0</v>
      </c>
      <c r="J20" s="1903">
        <f t="shared" si="2"/>
        <v>0</v>
      </c>
    </row>
    <row r="21" spans="1:12" ht="12" customHeight="1" x14ac:dyDescent="0.2">
      <c r="A21" s="1888" t="s">
        <v>1606</v>
      </c>
      <c r="B21" s="1889"/>
      <c r="C21" s="1890"/>
      <c r="D21" s="1890"/>
      <c r="E21" s="1893"/>
      <c r="F21" s="1892"/>
      <c r="H21" s="1903">
        <f t="shared" si="0"/>
        <v>0</v>
      </c>
      <c r="I21" s="1903">
        <f t="shared" si="1"/>
        <v>0</v>
      </c>
      <c r="J21" s="1903">
        <f t="shared" si="2"/>
        <v>0</v>
      </c>
    </row>
    <row r="22" spans="1:12" ht="12" customHeight="1" x14ac:dyDescent="0.2">
      <c r="A22" s="1888" t="s">
        <v>1607</v>
      </c>
      <c r="B22" s="1889"/>
      <c r="C22" s="1890"/>
      <c r="D22" s="1890"/>
      <c r="E22" s="1893"/>
      <c r="F22" s="1892"/>
      <c r="H22" s="1903">
        <f t="shared" si="0"/>
        <v>0</v>
      </c>
      <c r="I22" s="1903">
        <f t="shared" si="1"/>
        <v>0</v>
      </c>
      <c r="J22" s="1903">
        <f t="shared" si="2"/>
        <v>0</v>
      </c>
    </row>
    <row r="23" spans="1:12" ht="12" customHeight="1" x14ac:dyDescent="0.2">
      <c r="A23" s="1888" t="s">
        <v>1608</v>
      </c>
      <c r="B23" s="1889"/>
      <c r="C23" s="1890"/>
      <c r="D23" s="1890"/>
      <c r="E23" s="1893"/>
      <c r="F23" s="1892"/>
      <c r="H23" s="1903">
        <f t="shared" si="0"/>
        <v>0</v>
      </c>
      <c r="I23" s="1903">
        <f t="shared" si="1"/>
        <v>0</v>
      </c>
      <c r="J23" s="1903">
        <f t="shared" si="2"/>
        <v>0</v>
      </c>
    </row>
    <row r="24" spans="1:12" ht="12" customHeight="1" x14ac:dyDescent="0.2">
      <c r="A24" s="1888" t="s">
        <v>1609</v>
      </c>
      <c r="B24" s="1889"/>
      <c r="C24" s="1890"/>
      <c r="D24" s="1890"/>
      <c r="E24" s="1893"/>
      <c r="F24" s="1892"/>
      <c r="H24" s="1903">
        <f t="shared" si="0"/>
        <v>0</v>
      </c>
      <c r="I24" s="1903">
        <f t="shared" si="1"/>
        <v>0</v>
      </c>
      <c r="J24" s="1903">
        <f t="shared" si="2"/>
        <v>0</v>
      </c>
    </row>
    <row r="25" spans="1:12" ht="12" customHeight="1" x14ac:dyDescent="0.2">
      <c r="A25" s="1888" t="s">
        <v>1610</v>
      </c>
      <c r="B25" s="1889"/>
      <c r="C25" s="1890"/>
      <c r="D25" s="1890"/>
      <c r="E25" s="1893"/>
      <c r="F25" s="1892"/>
      <c r="H25" s="1903">
        <f t="shared" si="0"/>
        <v>0</v>
      </c>
      <c r="I25" s="1903">
        <f t="shared" si="1"/>
        <v>0</v>
      </c>
      <c r="J25" s="1903">
        <f t="shared" si="2"/>
        <v>0</v>
      </c>
    </row>
    <row r="26" spans="1:12" ht="12" customHeight="1" x14ac:dyDescent="0.2">
      <c r="A26" s="1888" t="s">
        <v>1611</v>
      </c>
      <c r="B26" s="1889"/>
      <c r="C26" s="1890"/>
      <c r="D26" s="1890"/>
      <c r="E26" s="1893"/>
      <c r="F26" s="1892"/>
      <c r="H26" s="1903">
        <f t="shared" si="0"/>
        <v>0</v>
      </c>
      <c r="I26" s="1903">
        <f t="shared" si="1"/>
        <v>0</v>
      </c>
      <c r="J26" s="1903">
        <f t="shared" si="2"/>
        <v>0</v>
      </c>
    </row>
    <row r="27" spans="1:12" ht="18.75" x14ac:dyDescent="0.2">
      <c r="A27" s="1888" t="s">
        <v>1612</v>
      </c>
      <c r="B27" s="1889"/>
      <c r="C27" s="1890"/>
      <c r="D27" s="1890"/>
      <c r="E27" s="1893"/>
      <c r="F27" s="1892"/>
      <c r="H27" s="1903">
        <f t="shared" si="0"/>
        <v>0</v>
      </c>
      <c r="I27" s="1903">
        <f t="shared" si="1"/>
        <v>0</v>
      </c>
      <c r="J27" s="1903">
        <f t="shared" si="2"/>
        <v>0</v>
      </c>
    </row>
    <row r="28" spans="1:12" ht="12" customHeight="1" x14ac:dyDescent="0.2">
      <c r="A28" s="1888" t="s">
        <v>1613</v>
      </c>
      <c r="B28" s="1889"/>
      <c r="C28" s="1890"/>
      <c r="D28" s="1890"/>
      <c r="E28" s="1893"/>
      <c r="F28" s="1892"/>
      <c r="H28" s="1903">
        <f t="shared" si="0"/>
        <v>0</v>
      </c>
      <c r="I28" s="1903">
        <f t="shared" si="1"/>
        <v>0</v>
      </c>
      <c r="J28" s="1903">
        <f t="shared" si="2"/>
        <v>0</v>
      </c>
    </row>
    <row r="29" spans="1:12" ht="12" customHeight="1" x14ac:dyDescent="0.2">
      <c r="A29" s="1888" t="s">
        <v>1614</v>
      </c>
      <c r="B29" s="1889"/>
      <c r="C29" s="1890"/>
      <c r="D29" s="1890"/>
      <c r="E29" s="1893"/>
      <c r="F29" s="1892"/>
      <c r="H29" s="1903">
        <f t="shared" si="0"/>
        <v>0</v>
      </c>
      <c r="I29" s="1903">
        <f t="shared" si="1"/>
        <v>0</v>
      </c>
      <c r="J29" s="1903">
        <f t="shared" si="2"/>
        <v>0</v>
      </c>
    </row>
    <row r="30" spans="1:12" ht="12" customHeight="1" x14ac:dyDescent="0.2">
      <c r="A30" s="1888" t="s">
        <v>1615</v>
      </c>
      <c r="B30" s="1889"/>
      <c r="C30" s="1890"/>
      <c r="D30" s="1890"/>
      <c r="E30" s="1893"/>
      <c r="F30" s="1892"/>
      <c r="H30" s="1903">
        <f t="shared" si="0"/>
        <v>0</v>
      </c>
      <c r="I30" s="1903">
        <f t="shared" si="1"/>
        <v>0</v>
      </c>
      <c r="J30" s="1903">
        <f t="shared" si="2"/>
        <v>0</v>
      </c>
    </row>
    <row r="31" spans="1:12" ht="12" customHeight="1" x14ac:dyDescent="0.2">
      <c r="A31" s="1888" t="s">
        <v>1616</v>
      </c>
      <c r="B31" s="1889"/>
      <c r="C31" s="1890" t="s">
        <v>2069</v>
      </c>
      <c r="D31" s="1890" t="s">
        <v>2069</v>
      </c>
      <c r="E31" s="1893"/>
      <c r="F31" s="1892" t="s">
        <v>2185</v>
      </c>
      <c r="H31" s="1903">
        <f t="shared" si="0"/>
        <v>5</v>
      </c>
      <c r="I31" s="1903">
        <f t="shared" si="1"/>
        <v>5</v>
      </c>
      <c r="J31" s="1903">
        <f t="shared" si="2"/>
        <v>0</v>
      </c>
      <c r="L31" s="1894"/>
    </row>
    <row r="32" spans="1:12" ht="12" customHeight="1" x14ac:dyDescent="0.2">
      <c r="A32" s="1888" t="s">
        <v>1617</v>
      </c>
      <c r="B32" s="1889"/>
      <c r="C32" s="1890"/>
      <c r="D32" s="1890"/>
      <c r="E32" s="1893"/>
      <c r="F32" s="1892"/>
      <c r="H32" s="1903">
        <f t="shared" si="0"/>
        <v>0</v>
      </c>
      <c r="I32" s="1903">
        <f t="shared" si="1"/>
        <v>0</v>
      </c>
      <c r="J32" s="1903">
        <f t="shared" si="2"/>
        <v>0</v>
      </c>
    </row>
    <row r="33" spans="1:11" ht="12" customHeight="1" x14ac:dyDescent="0.2">
      <c r="A33" s="1888" t="s">
        <v>1618</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0</v>
      </c>
      <c r="K34" s="1903">
        <f>SUM(H34:J34)</f>
        <v>10</v>
      </c>
    </row>
    <row r="35" spans="1:11" ht="12" customHeight="1" x14ac:dyDescent="0.2">
      <c r="A35" s="1896" t="s">
        <v>1455</v>
      </c>
      <c r="B35" s="1897"/>
      <c r="C35" s="2330"/>
      <c r="D35" s="2330"/>
      <c r="E35" s="2330"/>
      <c r="F35" s="2331"/>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16"/>
      <c r="B38" s="2317"/>
      <c r="C38" s="2317"/>
      <c r="D38" s="2317"/>
      <c r="E38" s="2317"/>
      <c r="F38" s="2318"/>
    </row>
    <row r="39" spans="1:11" ht="4.5" hidden="1" customHeight="1" x14ac:dyDescent="0.2">
      <c r="A39" s="1898"/>
      <c r="B39" s="1898"/>
      <c r="C39" s="1898"/>
      <c r="D39" s="1898"/>
      <c r="E39" s="1898"/>
      <c r="F39" s="1898"/>
    </row>
    <row r="40" spans="1:11" s="1895" customFormat="1" ht="12" customHeight="1" x14ac:dyDescent="0.25">
      <c r="A40" s="1899" t="s">
        <v>1454</v>
      </c>
      <c r="B40" s="1900"/>
      <c r="C40" s="2319"/>
      <c r="D40" s="2319"/>
      <c r="E40" s="2319"/>
      <c r="F40" s="2320"/>
      <c r="H40" s="1904"/>
      <c r="I40" s="1904"/>
      <c r="J40" s="1904"/>
      <c r="K40" s="1904"/>
    </row>
    <row r="41" spans="1:11" s="1895" customFormat="1" ht="12" customHeight="1" x14ac:dyDescent="0.25">
      <c r="A41" s="2321" t="s">
        <v>2106</v>
      </c>
      <c r="B41" s="2322"/>
      <c r="C41" s="2322"/>
      <c r="D41" s="2322"/>
      <c r="E41" s="2322"/>
      <c r="F41" s="2323"/>
      <c r="H41" s="1904"/>
      <c r="I41" s="1904"/>
      <c r="J41" s="1904"/>
      <c r="K41" s="1904"/>
    </row>
    <row r="42" spans="1:11" s="1895" customFormat="1" ht="12" customHeight="1" x14ac:dyDescent="0.25">
      <c r="A42" s="2321" t="s">
        <v>2105</v>
      </c>
      <c r="B42" s="2322"/>
      <c r="C42" s="2322"/>
      <c r="D42" s="2322"/>
      <c r="E42" s="2322"/>
      <c r="F42" s="2323"/>
      <c r="H42" s="1904"/>
      <c r="I42" s="1904"/>
      <c r="J42" s="1904"/>
      <c r="K42" s="1904"/>
    </row>
    <row r="43" spans="1:11" s="1895" customFormat="1" ht="15" x14ac:dyDescent="0.25">
      <c r="A43" s="2310"/>
      <c r="B43" s="2311"/>
      <c r="C43" s="2311"/>
      <c r="D43" s="2311"/>
      <c r="E43" s="2311"/>
      <c r="F43" s="2312"/>
      <c r="H43" s="1904"/>
      <c r="I43" s="1904"/>
      <c r="J43" s="1904"/>
      <c r="K43" s="1904"/>
    </row>
    <row r="44" spans="1:11" s="1895" customFormat="1" ht="12" hidden="1" customHeight="1" x14ac:dyDescent="0.25">
      <c r="A44" s="2310"/>
      <c r="B44" s="2311"/>
      <c r="C44" s="2311"/>
      <c r="D44" s="2311"/>
      <c r="E44" s="2311"/>
      <c r="F44" s="231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37" t="str">
        <f>COVER!A17</f>
        <v>McLean County USD 5</v>
      </c>
      <c r="J6" s="2338"/>
      <c r="Q6" s="1686"/>
    </row>
    <row r="7" spans="1:17" x14ac:dyDescent="0.2">
      <c r="A7" s="2339" t="s">
        <v>923</v>
      </c>
      <c r="B7" s="2340"/>
      <c r="C7" s="2340"/>
      <c r="D7" s="2340"/>
      <c r="E7" s="2341"/>
      <c r="F7" s="1018"/>
      <c r="G7" s="1010"/>
      <c r="H7" s="1017" t="s">
        <v>389</v>
      </c>
      <c r="I7" s="2342" t="str">
        <f>COVER!A13</f>
        <v>17-064-0050-26</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1697</v>
      </c>
      <c r="F9" s="1024"/>
      <c r="G9" s="1024"/>
      <c r="H9" s="1921" t="s">
        <v>1698</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3" t="s">
        <v>501</v>
      </c>
      <c r="B11" s="2344"/>
      <c r="C11" s="2345"/>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465892</v>
      </c>
      <c r="F12" s="1040"/>
      <c r="G12" s="1834">
        <f t="shared" ref="G12:G18" si="0">SUM(E12:F12)</f>
        <v>465892</v>
      </c>
      <c r="H12" s="1041">
        <v>486109</v>
      </c>
      <c r="I12" s="1040"/>
      <c r="J12" s="1834">
        <f t="shared" ref="J12:J18" si="1">SUM(H12:I12)</f>
        <v>486109</v>
      </c>
    </row>
    <row r="13" spans="1:17" ht="15" customHeight="1" x14ac:dyDescent="0.2">
      <c r="A13" s="1036">
        <v>2</v>
      </c>
      <c r="B13" s="1037" t="s">
        <v>44</v>
      </c>
      <c r="C13" s="1038"/>
      <c r="D13" s="1039">
        <v>2330</v>
      </c>
      <c r="E13" s="1834">
        <f>'Expenditures 15-22'!K51</f>
        <v>168165</v>
      </c>
      <c r="F13" s="1040"/>
      <c r="G13" s="1834">
        <f t="shared" si="0"/>
        <v>168165</v>
      </c>
      <c r="H13" s="1041">
        <v>174799</v>
      </c>
      <c r="I13" s="1040"/>
      <c r="J13" s="1834">
        <f t="shared" si="1"/>
        <v>174799</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1127</v>
      </c>
      <c r="C15" s="1038"/>
      <c r="D15" s="1039">
        <v>2510</v>
      </c>
      <c r="E15" s="1834">
        <f>'Expenditures 15-22'!K59</f>
        <v>160919</v>
      </c>
      <c r="F15" s="1834">
        <f>'Expenditures 15-22'!K122</f>
        <v>0</v>
      </c>
      <c r="G15" s="1834">
        <f t="shared" si="0"/>
        <v>160919</v>
      </c>
      <c r="H15" s="1041">
        <v>190999</v>
      </c>
      <c r="I15" s="1041"/>
      <c r="J15" s="1834">
        <f t="shared" si="1"/>
        <v>190999</v>
      </c>
    </row>
    <row r="16" spans="1:17" ht="15" customHeight="1" x14ac:dyDescent="0.2">
      <c r="A16" s="1036">
        <v>5</v>
      </c>
      <c r="B16" s="1037" t="s">
        <v>103</v>
      </c>
      <c r="C16" s="1038"/>
      <c r="D16" s="1039">
        <v>2570</v>
      </c>
      <c r="E16" s="1834">
        <f>'Expenditures 15-22'!K64</f>
        <v>369442</v>
      </c>
      <c r="F16" s="1040"/>
      <c r="G16" s="1834">
        <f t="shared" si="0"/>
        <v>369442</v>
      </c>
      <c r="H16" s="1041">
        <v>373220</v>
      </c>
      <c r="I16" s="1040"/>
      <c r="J16" s="1834">
        <f t="shared" si="1"/>
        <v>373220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46" t="s">
        <v>7</v>
      </c>
      <c r="C18" s="2347"/>
      <c r="D18" s="2348"/>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1164418</v>
      </c>
      <c r="F19" s="1836">
        <f t="shared" si="2"/>
        <v>0</v>
      </c>
      <c r="G19" s="1836">
        <f t="shared" si="2"/>
        <v>1164418</v>
      </c>
      <c r="H19" s="1836">
        <f t="shared" si="2"/>
        <v>1225127</v>
      </c>
      <c r="I19" s="1836">
        <f t="shared" si="2"/>
        <v>0</v>
      </c>
      <c r="J19" s="1836">
        <f t="shared" si="2"/>
        <v>1225127</v>
      </c>
    </row>
    <row r="20" spans="1:10" ht="13.5" thickTop="1" x14ac:dyDescent="0.2">
      <c r="A20" s="1036">
        <v>9</v>
      </c>
      <c r="B20" s="2349" t="s">
        <v>1699</v>
      </c>
      <c r="C20" s="2349"/>
      <c r="D20" s="2350"/>
      <c r="E20" s="1047"/>
      <c r="F20" s="1047"/>
      <c r="G20" s="1047"/>
      <c r="H20" s="1047"/>
      <c r="I20" s="1047"/>
      <c r="J20" s="1837">
        <f>IF(AND(G19&gt;0,J19&gt;0),(((J19-G19)/G19)),"Enter Budget Data")</f>
        <v>5.2136775625247975E-2</v>
      </c>
    </row>
    <row r="21" spans="1:10" ht="9" customHeight="1" x14ac:dyDescent="0.2">
      <c r="B21" s="1048"/>
    </row>
    <row r="22" spans="1:10" x14ac:dyDescent="0.2">
      <c r="A22" s="1049" t="s">
        <v>135</v>
      </c>
      <c r="B22" s="1048"/>
    </row>
    <row r="23" spans="1:10" x14ac:dyDescent="0.2">
      <c r="A23" s="1012" t="s">
        <v>1700</v>
      </c>
      <c r="B23" s="1048"/>
    </row>
    <row r="24" spans="1:10" x14ac:dyDescent="0.2">
      <c r="A24" s="1012" t="s">
        <v>1701</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1092</v>
      </c>
      <c r="D27" s="1053"/>
      <c r="E27" s="1054"/>
      <c r="F27" s="2351" t="s">
        <v>1585</v>
      </c>
      <c r="G27" s="2351"/>
    </row>
    <row r="28" spans="1:10" ht="28.5" customHeight="1" x14ac:dyDescent="0.2">
      <c r="B28" s="1048"/>
      <c r="C28" s="2353"/>
      <c r="D28" s="2353"/>
      <c r="E28" s="1055"/>
      <c r="F28" s="2353"/>
      <c r="G28" s="2353"/>
    </row>
    <row r="29" spans="1:10" x14ac:dyDescent="0.2">
      <c r="B29" s="1048"/>
      <c r="C29" s="1056" t="s">
        <v>1638</v>
      </c>
      <c r="E29" s="1057"/>
      <c r="F29" s="2352" t="s">
        <v>1586</v>
      </c>
      <c r="G29" s="2352"/>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1937</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936</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4"/>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2197</v>
      </c>
    </row>
    <row r="6" spans="1:2" x14ac:dyDescent="0.2">
      <c r="A6" s="1069">
        <v>2</v>
      </c>
      <c r="B6" s="329" t="s">
        <v>2198</v>
      </c>
    </row>
    <row r="7" spans="1:2" x14ac:dyDescent="0.2">
      <c r="A7" s="1069">
        <v>3</v>
      </c>
      <c r="B7" s="329" t="s">
        <v>2199</v>
      </c>
    </row>
    <row r="8" spans="1:2" x14ac:dyDescent="0.2">
      <c r="A8" s="1069">
        <v>4</v>
      </c>
      <c r="B8" s="329" t="s">
        <v>2200</v>
      </c>
    </row>
    <row r="9" spans="1:2" x14ac:dyDescent="0.2">
      <c r="A9" s="1070"/>
      <c r="B9" s="329" t="s">
        <v>2201</v>
      </c>
    </row>
    <row r="10" spans="1:2" x14ac:dyDescent="0.2">
      <c r="A10" s="1070"/>
      <c r="B10" s="329" t="s">
        <v>2202</v>
      </c>
    </row>
    <row r="11" spans="1:2" x14ac:dyDescent="0.2">
      <c r="A11" s="1069">
        <v>5</v>
      </c>
      <c r="B11" s="329" t="s">
        <v>2203</v>
      </c>
    </row>
    <row r="12" spans="1:2" x14ac:dyDescent="0.2">
      <c r="A12" s="1069"/>
      <c r="B12" s="329" t="s">
        <v>2204</v>
      </c>
    </row>
    <row r="13" spans="1:2" x14ac:dyDescent="0.2">
      <c r="A13" s="1069"/>
      <c r="B13" s="329" t="s">
        <v>2205</v>
      </c>
    </row>
    <row r="14" spans="1:2" x14ac:dyDescent="0.2">
      <c r="A14" s="1069"/>
      <c r="B14" s="329" t="s">
        <v>2206</v>
      </c>
    </row>
    <row r="15" spans="1:2" x14ac:dyDescent="0.2">
      <c r="A15" s="1069"/>
      <c r="B15" s="329" t="s">
        <v>2207</v>
      </c>
    </row>
    <row r="16" spans="1:2" x14ac:dyDescent="0.2">
      <c r="A16" s="1069">
        <v>6</v>
      </c>
      <c r="B16" s="329" t="s">
        <v>2208</v>
      </c>
    </row>
    <row r="17" spans="1:2" x14ac:dyDescent="0.2">
      <c r="A17" s="1069"/>
      <c r="B17" s="675" t="s">
        <v>2215</v>
      </c>
    </row>
    <row r="18" spans="1:2" x14ac:dyDescent="0.2">
      <c r="A18" s="1069"/>
      <c r="B18" s="675" t="s">
        <v>2214</v>
      </c>
    </row>
    <row r="19" spans="1:2" x14ac:dyDescent="0.2">
      <c r="A19" s="1069">
        <v>7</v>
      </c>
      <c r="B19" s="329" t="s">
        <v>2209</v>
      </c>
    </row>
    <row r="20" spans="1:2" x14ac:dyDescent="0.2">
      <c r="A20" s="1069">
        <v>8</v>
      </c>
      <c r="B20" s="329" t="s">
        <v>2211</v>
      </c>
    </row>
    <row r="21" spans="1:2" x14ac:dyDescent="0.2">
      <c r="A21" s="1069">
        <v>9</v>
      </c>
      <c r="B21" s="329" t="s">
        <v>2210</v>
      </c>
    </row>
    <row r="22" spans="1:2" x14ac:dyDescent="0.2">
      <c r="A22" s="1069">
        <v>10</v>
      </c>
      <c r="B22" s="329" t="s">
        <v>2212</v>
      </c>
    </row>
    <row r="23" spans="1:2" x14ac:dyDescent="0.2">
      <c r="A23" s="1069">
        <v>11</v>
      </c>
      <c r="B23" s="329" t="s">
        <v>2213</v>
      </c>
    </row>
    <row r="24" spans="1:2" x14ac:dyDescent="0.2">
      <c r="A24" s="1069">
        <v>12</v>
      </c>
      <c r="B24" s="329" t="s">
        <v>2107</v>
      </c>
    </row>
    <row r="25" spans="1:2" x14ac:dyDescent="0.2">
      <c r="A25" s="1069">
        <v>13</v>
      </c>
      <c r="B25" s="329" t="s">
        <v>2216</v>
      </c>
    </row>
    <row r="26" spans="1:2" x14ac:dyDescent="0.2">
      <c r="A26" s="1069"/>
      <c r="B26" s="329" t="s">
        <v>2108</v>
      </c>
    </row>
    <row r="27" spans="1:2" x14ac:dyDescent="0.2">
      <c r="A27" s="1069"/>
      <c r="B27" s="329" t="s">
        <v>2110</v>
      </c>
    </row>
    <row r="28" spans="1:2" x14ac:dyDescent="0.2">
      <c r="A28" s="1069"/>
      <c r="B28" s="329" t="s">
        <v>2109</v>
      </c>
    </row>
    <row r="29" spans="1:2" x14ac:dyDescent="0.2">
      <c r="A29" s="1069">
        <v>14</v>
      </c>
      <c r="B29" s="329" t="s">
        <v>2217</v>
      </c>
    </row>
    <row r="30" spans="1:2" x14ac:dyDescent="0.2">
      <c r="A30" s="1070"/>
      <c r="B30" s="329" t="s">
        <v>2111</v>
      </c>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McLean County USD 5</v>
      </c>
    </row>
    <row r="64" spans="1:2" x14ac:dyDescent="0.2">
      <c r="B64" s="1071" t="str">
        <f>COVER!A13</f>
        <v>17-064-0050-26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1963</v>
      </c>
      <c r="C4" s="162" t="s">
        <v>1230</v>
      </c>
      <c r="D4" s="169" t="s">
        <v>10</v>
      </c>
      <c r="E4" s="170" t="s">
        <v>22</v>
      </c>
    </row>
    <row r="5" spans="1:5" x14ac:dyDescent="0.2">
      <c r="A5" s="168" t="s">
        <v>1965</v>
      </c>
      <c r="C5" s="162" t="s">
        <v>1230</v>
      </c>
      <c r="D5" s="169" t="s">
        <v>10</v>
      </c>
      <c r="E5" s="170" t="s">
        <v>22</v>
      </c>
    </row>
    <row r="6" spans="1:5" x14ac:dyDescent="0.2">
      <c r="A6" s="168" t="s">
        <v>1964</v>
      </c>
      <c r="C6" s="162" t="s">
        <v>1230</v>
      </c>
      <c r="D6" s="167" t="s">
        <v>11</v>
      </c>
      <c r="E6" s="170" t="s">
        <v>997</v>
      </c>
    </row>
    <row r="7" spans="1:5" x14ac:dyDescent="0.2">
      <c r="A7" s="168" t="s">
        <v>1966</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1967</v>
      </c>
      <c r="C11" s="162" t="s">
        <v>1230</v>
      </c>
      <c r="D11" s="169" t="s">
        <v>14</v>
      </c>
      <c r="E11" s="170" t="s">
        <v>1217</v>
      </c>
    </row>
    <row r="12" spans="1:5" x14ac:dyDescent="0.2">
      <c r="B12" s="169" t="s">
        <v>1968</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1969</v>
      </c>
      <c r="C15" s="162" t="s">
        <v>1230</v>
      </c>
      <c r="D15" s="169" t="s">
        <v>17</v>
      </c>
      <c r="E15" s="170" t="s">
        <v>656</v>
      </c>
    </row>
    <row r="16" spans="1:5" x14ac:dyDescent="0.2">
      <c r="A16" s="172"/>
      <c r="B16" s="162" t="s">
        <v>1970</v>
      </c>
      <c r="C16" s="162" t="s">
        <v>1230</v>
      </c>
      <c r="D16" s="169" t="s">
        <v>701</v>
      </c>
      <c r="E16" s="170" t="s">
        <v>1099</v>
      </c>
    </row>
    <row r="17" spans="1:5" x14ac:dyDescent="0.2">
      <c r="B17" s="167" t="s">
        <v>1044</v>
      </c>
      <c r="C17" s="162" t="s">
        <v>1230</v>
      </c>
    </row>
    <row r="18" spans="1:5" x14ac:dyDescent="0.2">
      <c r="B18" s="167" t="s">
        <v>1976</v>
      </c>
      <c r="D18" s="169" t="s">
        <v>18</v>
      </c>
      <c r="E18" s="170" t="s">
        <v>1100</v>
      </c>
    </row>
    <row r="19" spans="1:5" x14ac:dyDescent="0.2">
      <c r="A19" s="168" t="s">
        <v>1160</v>
      </c>
      <c r="C19" s="162" t="s">
        <v>1230</v>
      </c>
      <c r="D19" s="169"/>
      <c r="E19" s="171"/>
    </row>
    <row r="20" spans="1:5" x14ac:dyDescent="0.2">
      <c r="B20" s="167" t="s">
        <v>1971</v>
      </c>
      <c r="C20" s="162" t="s">
        <v>1230</v>
      </c>
      <c r="D20" s="169" t="s">
        <v>19</v>
      </c>
      <c r="E20" s="170" t="s">
        <v>53</v>
      </c>
    </row>
    <row r="21" spans="1:5" x14ac:dyDescent="0.2">
      <c r="B21" s="167" t="s">
        <v>1972</v>
      </c>
      <c r="C21" s="162" t="s">
        <v>1230</v>
      </c>
      <c r="D21" s="169" t="s">
        <v>20</v>
      </c>
      <c r="E21" s="170" t="s">
        <v>1704</v>
      </c>
    </row>
    <row r="22" spans="1:5" x14ac:dyDescent="0.2">
      <c r="A22" s="168"/>
      <c r="B22" s="162" t="s">
        <v>1960</v>
      </c>
      <c r="C22" s="162" t="s">
        <v>1230</v>
      </c>
      <c r="D22" s="167" t="s">
        <v>1962</v>
      </c>
      <c r="E22" s="1859" t="s">
        <v>1705</v>
      </c>
    </row>
    <row r="23" spans="1:5" x14ac:dyDescent="0.2">
      <c r="A23" s="168"/>
      <c r="B23" s="162" t="s">
        <v>1961</v>
      </c>
      <c r="D23" s="167" t="s">
        <v>657</v>
      </c>
      <c r="E23" s="1859" t="s">
        <v>1015</v>
      </c>
    </row>
    <row r="24" spans="1:5" x14ac:dyDescent="0.2">
      <c r="A24" s="168" t="s">
        <v>1703</v>
      </c>
      <c r="C24" s="162" t="s">
        <v>1230</v>
      </c>
      <c r="D24" s="167" t="s">
        <v>1456</v>
      </c>
      <c r="E24" s="170" t="s">
        <v>1016</v>
      </c>
    </row>
    <row r="25" spans="1:5" x14ac:dyDescent="0.2">
      <c r="A25" s="168" t="s">
        <v>1973</v>
      </c>
      <c r="C25" s="162" t="s">
        <v>1230</v>
      </c>
      <c r="D25" s="169" t="s">
        <v>21</v>
      </c>
      <c r="E25" s="170" t="s">
        <v>1101</v>
      </c>
    </row>
    <row r="26" spans="1:5" x14ac:dyDescent="0.2">
      <c r="A26" s="168" t="s">
        <v>1974</v>
      </c>
      <c r="C26" s="162" t="s">
        <v>1230</v>
      </c>
      <c r="D26" s="169" t="s">
        <v>583</v>
      </c>
      <c r="E26" s="170" t="s">
        <v>1102</v>
      </c>
    </row>
    <row r="27" spans="1:5" x14ac:dyDescent="0.2">
      <c r="A27" s="168" t="s">
        <v>1975</v>
      </c>
      <c r="C27" s="162" t="s">
        <v>1230</v>
      </c>
      <c r="D27" s="169" t="s">
        <v>577</v>
      </c>
      <c r="E27" s="170" t="s">
        <v>703</v>
      </c>
    </row>
    <row r="28" spans="1:5" x14ac:dyDescent="0.2">
      <c r="A28" s="168" t="s">
        <v>1977</v>
      </c>
      <c r="D28" s="169" t="s">
        <v>704</v>
      </c>
      <c r="E28" s="170" t="s">
        <v>1429</v>
      </c>
    </row>
    <row r="29" spans="1:5" x14ac:dyDescent="0.2">
      <c r="A29" s="168" t="s">
        <v>1978</v>
      </c>
      <c r="D29" s="169" t="s">
        <v>1457</v>
      </c>
      <c r="E29" s="170" t="s">
        <v>1438</v>
      </c>
    </row>
    <row r="30" spans="1:5" x14ac:dyDescent="0.2">
      <c r="A30" s="173" t="s">
        <v>1979</v>
      </c>
      <c r="C30" s="162" t="s">
        <v>1230</v>
      </c>
      <c r="D30" s="169" t="s">
        <v>42</v>
      </c>
      <c r="E30" s="170" t="s">
        <v>1038</v>
      </c>
    </row>
    <row r="31" spans="1:5" x14ac:dyDescent="0.2">
      <c r="A31" s="168" t="s">
        <v>1598</v>
      </c>
      <c r="C31" s="162" t="s">
        <v>1230</v>
      </c>
      <c r="D31" s="167"/>
      <c r="E31" s="171"/>
    </row>
    <row r="32" spans="1:5" x14ac:dyDescent="0.2">
      <c r="B32" s="167" t="s">
        <v>1980</v>
      </c>
      <c r="C32" s="162" t="s">
        <v>1230</v>
      </c>
      <c r="D32" s="169" t="s">
        <v>1599</v>
      </c>
      <c r="E32" s="170" t="s">
        <v>1458</v>
      </c>
    </row>
    <row r="33" spans="1:5" x14ac:dyDescent="0.2">
      <c r="A33" s="172"/>
      <c r="D33" s="169"/>
      <c r="E33" s="171"/>
    </row>
    <row r="34" spans="1:5" x14ac:dyDescent="0.2">
      <c r="A34" s="172"/>
      <c r="D34" s="169"/>
      <c r="E34" s="171"/>
    </row>
    <row r="35" spans="1:5" ht="15.75" customHeight="1" thickBot="1" x14ac:dyDescent="0.25">
      <c r="A35" s="2073" t="s">
        <v>1124</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714</v>
      </c>
      <c r="B40" s="2070"/>
      <c r="C40" s="2070"/>
      <c r="D40" s="2070"/>
      <c r="E40" s="2070"/>
    </row>
    <row r="41" spans="1:5" x14ac:dyDescent="0.2">
      <c r="A41" s="2071" t="s">
        <v>1702</v>
      </c>
      <c r="B41" s="2071"/>
      <c r="C41" s="2071"/>
      <c r="D41" s="2071"/>
      <c r="E41" s="2071"/>
    </row>
    <row r="42" spans="1:5" ht="12.75" customHeight="1" x14ac:dyDescent="0.2">
      <c r="A42" s="2072" t="s">
        <v>1079</v>
      </c>
      <c r="B42" s="2072"/>
      <c r="C42" s="2072"/>
      <c r="D42" s="2072"/>
      <c r="E42" s="2072"/>
    </row>
    <row r="43" spans="1:5" ht="6.75" customHeight="1" x14ac:dyDescent="0.2">
      <c r="A43" s="167"/>
      <c r="B43" s="176"/>
    </row>
    <row r="44" spans="1:5" x14ac:dyDescent="0.2">
      <c r="A44" s="185" t="s">
        <v>1039</v>
      </c>
      <c r="B44" s="186" t="s">
        <v>2010</v>
      </c>
    </row>
    <row r="45" spans="1:5" ht="6.75" customHeight="1" x14ac:dyDescent="0.2">
      <c r="A45" s="187"/>
      <c r="B45" s="186"/>
    </row>
    <row r="46" spans="1:5" x14ac:dyDescent="0.2">
      <c r="A46" s="185" t="s">
        <v>1040</v>
      </c>
      <c r="B46" s="169" t="s">
        <v>1707</v>
      </c>
    </row>
    <row r="47" spans="1:5" ht="9.75" customHeight="1" x14ac:dyDescent="0.2">
      <c r="A47" s="189"/>
      <c r="B47" s="188"/>
    </row>
    <row r="48" spans="1:5" x14ac:dyDescent="0.2">
      <c r="A48" s="169" t="s">
        <v>1706</v>
      </c>
      <c r="B48" s="169" t="s">
        <v>1711</v>
      </c>
      <c r="C48" s="177"/>
    </row>
    <row r="49" spans="1:3" ht="9.75" customHeight="1" x14ac:dyDescent="0.2">
      <c r="A49" s="188"/>
      <c r="B49" s="188"/>
      <c r="C49" s="177"/>
    </row>
    <row r="50" spans="1:3" x14ac:dyDescent="0.2">
      <c r="A50" s="200" t="s">
        <v>1708</v>
      </c>
      <c r="B50" s="198" t="s">
        <v>1712</v>
      </c>
    </row>
    <row r="51" spans="1:3" x14ac:dyDescent="0.2">
      <c r="B51" s="169" t="s">
        <v>1867</v>
      </c>
    </row>
    <row r="52" spans="1:3" x14ac:dyDescent="0.2">
      <c r="A52" s="190"/>
      <c r="B52" s="188" t="s">
        <v>1887</v>
      </c>
    </row>
    <row r="53" spans="1:3" ht="4.5" customHeight="1" x14ac:dyDescent="0.2">
      <c r="A53" s="190"/>
      <c r="B53" s="190"/>
    </row>
    <row r="54" spans="1:3" x14ac:dyDescent="0.2">
      <c r="A54" s="190"/>
      <c r="B54" s="201" t="s">
        <v>1709</v>
      </c>
    </row>
    <row r="55" spans="1:3" ht="8.25" customHeight="1" x14ac:dyDescent="0.2">
      <c r="A55" s="190"/>
      <c r="B55" s="191"/>
    </row>
    <row r="56" spans="1:3" x14ac:dyDescent="0.2">
      <c r="A56" s="192"/>
      <c r="B56" s="169" t="s">
        <v>1868</v>
      </c>
    </row>
    <row r="57" spans="1:3" x14ac:dyDescent="0.2">
      <c r="A57" s="193"/>
      <c r="B57" s="190" t="s">
        <v>1870</v>
      </c>
    </row>
    <row r="58" spans="1:3" x14ac:dyDescent="0.2">
      <c r="A58" s="194"/>
      <c r="B58" s="190" t="s">
        <v>1871</v>
      </c>
    </row>
    <row r="59" spans="1:3" x14ac:dyDescent="0.2">
      <c r="A59" s="195"/>
      <c r="B59" s="1507" t="s">
        <v>1872</v>
      </c>
    </row>
    <row r="60" spans="1:3" x14ac:dyDescent="0.2">
      <c r="A60" s="196"/>
      <c r="B60" s="1507" t="s">
        <v>1873</v>
      </c>
    </row>
    <row r="61" spans="1:3" ht="6" customHeight="1" x14ac:dyDescent="0.2">
      <c r="A61" s="197"/>
      <c r="B61" s="189"/>
    </row>
    <row r="62" spans="1:3" x14ac:dyDescent="0.2">
      <c r="A62" s="169" t="s">
        <v>1710</v>
      </c>
      <c r="B62" s="198" t="s">
        <v>1869</v>
      </c>
    </row>
    <row r="63" spans="1:3" x14ac:dyDescent="0.2">
      <c r="A63" s="188"/>
      <c r="B63" s="169" t="s">
        <v>1884</v>
      </c>
    </row>
    <row r="64" spans="1:3" x14ac:dyDescent="0.2">
      <c r="A64" s="195"/>
      <c r="B64" s="1509" t="s">
        <v>1874</v>
      </c>
    </row>
    <row r="65" spans="1:9" x14ac:dyDescent="0.2">
      <c r="A65" s="188"/>
      <c r="B65" s="169" t="s">
        <v>1885</v>
      </c>
    </row>
    <row r="66" spans="1:9" x14ac:dyDescent="0.2">
      <c r="A66" s="190"/>
      <c r="B66" s="190" t="s">
        <v>1875</v>
      </c>
    </row>
    <row r="67" spans="1:9" ht="12" customHeight="1" x14ac:dyDescent="0.2">
      <c r="A67" s="188"/>
      <c r="B67" s="169" t="s">
        <v>1886</v>
      </c>
    </row>
    <row r="68" spans="1:9" x14ac:dyDescent="0.2">
      <c r="A68" s="189"/>
      <c r="B68" s="190" t="s">
        <v>1876</v>
      </c>
    </row>
    <row r="69" spans="1:9" x14ac:dyDescent="0.2">
      <c r="A69" s="190"/>
      <c r="B69" s="188" t="s">
        <v>1877</v>
      </c>
    </row>
    <row r="70" spans="1:9" ht="13.5" customHeight="1" x14ac:dyDescent="0.2">
      <c r="A70" s="190"/>
      <c r="B70" s="188" t="s">
        <v>1878</v>
      </c>
    </row>
    <row r="71" spans="1:9" ht="12" customHeight="1" x14ac:dyDescent="0.2">
      <c r="A71" s="192"/>
      <c r="B71" s="1508" t="s">
        <v>1713</v>
      </c>
    </row>
    <row r="72" spans="1:9" ht="9" customHeight="1" x14ac:dyDescent="0.2">
      <c r="A72" s="192"/>
      <c r="B72" s="199"/>
    </row>
    <row r="73" spans="1:9" x14ac:dyDescent="0.2">
      <c r="A73" s="189" t="s">
        <v>1714</v>
      </c>
      <c r="B73" s="169" t="s">
        <v>1880</v>
      </c>
    </row>
    <row r="74" spans="1:9" x14ac:dyDescent="0.2">
      <c r="A74" s="189"/>
      <c r="B74" s="169" t="s">
        <v>1879</v>
      </c>
    </row>
    <row r="75" spans="1:9" ht="8.25" customHeight="1" x14ac:dyDescent="0.2">
      <c r="A75" s="189"/>
      <c r="B75" s="189"/>
    </row>
    <row r="76" spans="1:9" ht="12.2" customHeight="1" x14ac:dyDescent="0.2">
      <c r="A76" s="189" t="s">
        <v>1715</v>
      </c>
      <c r="B76" s="198" t="s">
        <v>1881</v>
      </c>
    </row>
    <row r="77" spans="1:9" ht="12.2" customHeight="1" x14ac:dyDescent="0.2">
      <c r="A77" s="190"/>
      <c r="B77" s="169" t="s">
        <v>1716</v>
      </c>
      <c r="C77" s="179"/>
      <c r="D77" s="180"/>
      <c r="E77" s="181"/>
      <c r="F77" s="181"/>
      <c r="G77" s="181"/>
      <c r="H77" s="181"/>
      <c r="I77" s="181"/>
    </row>
    <row r="78" spans="1:9" ht="11.25" customHeight="1" x14ac:dyDescent="0.2">
      <c r="A78" s="190"/>
      <c r="B78" s="190" t="s">
        <v>1883</v>
      </c>
      <c r="C78" s="179"/>
      <c r="D78" s="182"/>
      <c r="E78" s="182"/>
      <c r="F78" s="182"/>
      <c r="G78" s="182"/>
      <c r="H78" s="182"/>
      <c r="I78" s="181"/>
    </row>
    <row r="79" spans="1:9" ht="12.2" customHeight="1" x14ac:dyDescent="0.2">
      <c r="A79" s="190"/>
      <c r="B79" s="169" t="s">
        <v>1717</v>
      </c>
      <c r="C79" s="179"/>
      <c r="D79" s="182"/>
      <c r="E79" s="182"/>
      <c r="F79" s="182"/>
      <c r="G79" s="182"/>
      <c r="H79" s="182"/>
      <c r="I79" s="181"/>
    </row>
    <row r="80" spans="1:9" ht="11.25" customHeight="1" x14ac:dyDescent="0.2">
      <c r="A80" s="189"/>
      <c r="B80" s="190" t="s">
        <v>1882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1477</v>
      </c>
      <c r="D6" s="24"/>
    </row>
    <row r="7" spans="1:4" ht="13.5" customHeight="1" x14ac:dyDescent="0.2">
      <c r="A7" s="23"/>
      <c r="B7" s="25"/>
      <c r="C7" s="65" t="s">
        <v>1478</v>
      </c>
      <c r="D7" s="24"/>
    </row>
    <row r="8" spans="1:4" ht="13.5" customHeight="1" x14ac:dyDescent="0.2">
      <c r="A8" s="23"/>
      <c r="B8" s="146" t="s">
        <v>999</v>
      </c>
      <c r="C8" s="65" t="s">
        <v>1463</v>
      </c>
      <c r="D8" s="24"/>
    </row>
    <row r="9" spans="1:4" ht="13.5" customHeight="1" x14ac:dyDescent="0.2">
      <c r="A9" s="14"/>
      <c r="B9" s="144" t="s">
        <v>1000</v>
      </c>
      <c r="C9" s="142" t="s">
        <v>1382</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1462</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1388</v>
      </c>
      <c r="C15" s="142" t="s">
        <v>1389</v>
      </c>
    </row>
    <row r="16" spans="1:4" ht="12.75" customHeight="1" x14ac:dyDescent="0.2">
      <c r="C16" s="142" t="s">
        <v>1390</v>
      </c>
    </row>
    <row r="17" spans="3:3" ht="12.75" customHeight="1" x14ac:dyDescent="0.2">
      <c r="C17" s="66" t="s">
        <v>1391</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1569</v>
      </c>
    </row>
    <row r="15" spans="1:6" x14ac:dyDescent="0.2">
      <c r="A15" s="389" t="s">
        <v>911</v>
      </c>
    </row>
    <row r="16" spans="1:6" s="1072" customFormat="1" ht="45" customHeight="1" x14ac:dyDescent="0.2">
      <c r="A16" s="1074"/>
      <c r="B16" s="1074" t="s">
        <v>1779</v>
      </c>
    </row>
    <row r="17" spans="1:2" ht="6" customHeight="1" x14ac:dyDescent="0.2"/>
    <row r="18" spans="1:2" ht="24.75" customHeight="1" x14ac:dyDescent="0.2">
      <c r="A18" s="2356" t="s">
        <v>1780</v>
      </c>
      <c r="B18" s="2356"/>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409575</xdr:colOff>
                <xdr:row>2</xdr:row>
                <xdr:rowOff>142875</xdr:rowOff>
              </from>
              <to>
                <xdr:col>1</xdr:col>
                <xdr:colOff>1314450</xdr:colOff>
                <xdr:row>7</xdr:row>
                <xdr:rowOff>19050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1786</v>
      </c>
      <c r="B1" s="2358"/>
      <c r="C1" s="2358"/>
      <c r="D1" s="2358"/>
      <c r="E1" s="2358"/>
      <c r="F1" s="2359"/>
    </row>
    <row r="2" spans="1:8" ht="45" customHeight="1" x14ac:dyDescent="0.2">
      <c r="A2" s="2367" t="s">
        <v>1787</v>
      </c>
      <c r="B2" s="2368"/>
      <c r="C2" s="2368"/>
      <c r="D2" s="2368"/>
      <c r="E2" s="2368"/>
      <c r="F2" s="2369"/>
      <c r="G2" s="1075"/>
      <c r="H2" s="1075"/>
    </row>
    <row r="3" spans="1:8" ht="57" customHeight="1" x14ac:dyDescent="0.2">
      <c r="A3" s="2370" t="s">
        <v>1782</v>
      </c>
      <c r="B3" s="2371"/>
      <c r="C3" s="2371"/>
      <c r="D3" s="2371"/>
      <c r="E3" s="2371"/>
      <c r="F3" s="2372"/>
      <c r="G3" s="1075"/>
      <c r="H3" s="1075"/>
    </row>
    <row r="4" spans="1:8" ht="14.25" customHeight="1" x14ac:dyDescent="0.2">
      <c r="A4" s="2376" t="s">
        <v>2048</v>
      </c>
      <c r="B4" s="2377"/>
      <c r="C4" s="2377"/>
      <c r="D4" s="2377"/>
      <c r="E4" s="2377"/>
      <c r="F4" s="2378"/>
      <c r="G4" s="1075"/>
      <c r="H4" s="1075"/>
    </row>
    <row r="5" spans="1:8" ht="14.25" customHeight="1" x14ac:dyDescent="0.2">
      <c r="A5" s="2379" t="s">
        <v>2049</v>
      </c>
      <c r="B5" s="2380"/>
      <c r="C5" s="2380"/>
      <c r="D5" s="2380"/>
      <c r="E5" s="2380"/>
      <c r="F5" s="2381"/>
      <c r="G5" s="1075"/>
      <c r="H5" s="1075"/>
    </row>
    <row r="6" spans="1:8" s="1076" customFormat="1" ht="41.25" customHeight="1" x14ac:dyDescent="0.2">
      <c r="A6" s="2373" t="s">
        <v>1788</v>
      </c>
      <c r="B6" s="2374"/>
      <c r="C6" s="2374"/>
      <c r="D6" s="2374"/>
      <c r="E6" s="2374"/>
      <c r="F6" s="2375"/>
    </row>
    <row r="7" spans="1:8" ht="42" customHeight="1" x14ac:dyDescent="0.2">
      <c r="A7" s="1077" t="s">
        <v>501</v>
      </c>
      <c r="B7" s="1078" t="s">
        <v>1572</v>
      </c>
      <c r="C7" s="1078" t="s">
        <v>1573</v>
      </c>
      <c r="D7" s="1078" t="s">
        <v>1571</v>
      </c>
      <c r="E7" s="1078" t="s">
        <v>1574</v>
      </c>
      <c r="F7" s="1078" t="s">
        <v>1430</v>
      </c>
    </row>
    <row r="8" spans="1:8" s="1080" customFormat="1" ht="14.25" customHeight="1" x14ac:dyDescent="0.2">
      <c r="A8" s="1079" t="s">
        <v>1431</v>
      </c>
      <c r="B8" s="1838">
        <f>'Acct Summary 7-8'!C8</f>
        <v>102972411</v>
      </c>
      <c r="C8" s="1838">
        <f>'Acct Summary 7-8'!D8</f>
        <v>12874597</v>
      </c>
      <c r="D8" s="1838">
        <f>'Acct Summary 7-8'!F8</f>
        <v>11230187</v>
      </c>
      <c r="E8" s="1838">
        <f>'Acct Summary 7-8'!I8</f>
        <v>1182345</v>
      </c>
      <c r="F8" s="1838">
        <f>SUM(B8:E8)</f>
        <v>128259540</v>
      </c>
    </row>
    <row r="9" spans="1:8" s="1080" customFormat="1" ht="14.25" customHeight="1" thickBot="1" x14ac:dyDescent="0.25">
      <c r="A9" s="1079" t="s">
        <v>1432</v>
      </c>
      <c r="B9" s="1839">
        <f>'Acct Summary 7-8'!C17</f>
        <v>98318714</v>
      </c>
      <c r="C9" s="1839">
        <f>'Acct Summary 7-8'!D17</f>
        <v>11902490</v>
      </c>
      <c r="D9" s="1839">
        <f>'Acct Summary 7-8'!F17</f>
        <v>13364632</v>
      </c>
      <c r="E9" s="1838"/>
      <c r="F9" s="1838">
        <f>SUM(B9:E9)</f>
        <v>123585836</v>
      </c>
    </row>
    <row r="10" spans="1:8" s="1080" customFormat="1" ht="14.25" thickTop="1" thickBot="1" x14ac:dyDescent="0.25">
      <c r="A10" s="1081" t="s">
        <v>1433</v>
      </c>
      <c r="B10" s="1840">
        <f>(B8-B9)</f>
        <v>4653697</v>
      </c>
      <c r="C10" s="1840">
        <f>(C8-C9)</f>
        <v>972107</v>
      </c>
      <c r="D10" s="1840">
        <f>(D8-D9)</f>
        <v>-2134445</v>
      </c>
      <c r="E10" s="1839">
        <f>(E8-E9)</f>
        <v>1182345</v>
      </c>
      <c r="F10" s="1841">
        <f>SUM(F8-F9)</f>
        <v>4673704</v>
      </c>
    </row>
    <row r="11" spans="1:8" s="1080" customFormat="1" ht="14.25" thickTop="1" thickBot="1" x14ac:dyDescent="0.25">
      <c r="A11" s="1082" t="s">
        <v>1781</v>
      </c>
      <c r="B11" s="1842">
        <f>'Acct Summary 7-8'!C81</f>
        <v>10134524</v>
      </c>
      <c r="C11" s="1842">
        <f>'Acct Summary 7-8'!D81</f>
        <v>1269997</v>
      </c>
      <c r="D11" s="1842">
        <f>'Acct Summary 7-8'!F81</f>
        <v>1107399</v>
      </c>
      <c r="E11" s="1842">
        <f>'Acct Summary 7-8'!I81</f>
        <v>16039519</v>
      </c>
      <c r="F11" s="1843">
        <f>SUM(B11:E11)</f>
        <v>28551439</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1783</v>
      </c>
      <c r="B16" s="2360"/>
      <c r="C16" s="2360"/>
      <c r="D16" s="2360"/>
      <c r="E16" s="2360"/>
      <c r="F16" s="310" t="s">
        <v>1434</v>
      </c>
    </row>
    <row r="17" spans="1:6" hidden="1" x14ac:dyDescent="0.2">
      <c r="A17" s="316" t="s">
        <v>1784</v>
      </c>
      <c r="F17" s="1087" t="s">
        <v>1435</v>
      </c>
    </row>
    <row r="18" spans="1:6" hidden="1" x14ac:dyDescent="0.2">
      <c r="A18" s="316" t="s">
        <v>1785</v>
      </c>
      <c r="F18" s="316" t="s">
        <v>1473</v>
      </c>
    </row>
    <row r="19" spans="1:6" hidden="1" x14ac:dyDescent="0.2">
      <c r="A19" s="316" t="s">
        <v>1472</v>
      </c>
      <c r="F19" s="316" t="s">
        <v>1437</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2" t="s">
        <v>685</v>
      </c>
      <c r="B3" s="2383"/>
      <c r="C3" s="2383"/>
      <c r="D3" s="2384"/>
    </row>
    <row r="4" spans="1:4" x14ac:dyDescent="0.2">
      <c r="A4" s="1153" t="s">
        <v>1789</v>
      </c>
      <c r="B4" s="1154"/>
      <c r="C4" s="1155"/>
      <c r="D4" s="1156"/>
    </row>
    <row r="5" spans="1:4" ht="21" customHeight="1" x14ac:dyDescent="0.2">
      <c r="A5" s="1149"/>
      <c r="B5" s="1150">
        <v>1</v>
      </c>
      <c r="C5" s="1151" t="s">
        <v>1939</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3" t="s">
        <v>1580</v>
      </c>
      <c r="D7" s="2394"/>
    </row>
    <row r="8" spans="1:4" s="669" customFormat="1" ht="12.75" x14ac:dyDescent="0.2">
      <c r="A8" s="1139"/>
      <c r="B8" s="1094"/>
      <c r="C8" s="1097" t="s">
        <v>1579</v>
      </c>
      <c r="D8" s="1098"/>
    </row>
    <row r="9" spans="1:4" s="669" customFormat="1" ht="14.25" customHeight="1" x14ac:dyDescent="0.2">
      <c r="A9" s="1139"/>
      <c r="B9" s="1094">
        <f>B7+1</f>
        <v>4</v>
      </c>
      <c r="C9" s="1095" t="s">
        <v>2041</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1581</v>
      </c>
      <c r="D14" s="1138"/>
    </row>
    <row r="15" spans="1:4" s="669" customFormat="1" ht="21.75" customHeight="1" x14ac:dyDescent="0.2">
      <c r="A15" s="2385" t="s">
        <v>1064</v>
      </c>
      <c r="B15" s="2386"/>
      <c r="C15" s="2386"/>
      <c r="D15" s="2387"/>
    </row>
    <row r="16" spans="1:4" s="669" customFormat="1" ht="24" customHeight="1" x14ac:dyDescent="0.2">
      <c r="A16" s="2388" t="s">
        <v>683</v>
      </c>
      <c r="B16" s="2389"/>
      <c r="C16" s="2389"/>
      <c r="D16" s="2390"/>
    </row>
    <row r="17" spans="1:10" s="669" customFormat="1" ht="12.75" customHeight="1" x14ac:dyDescent="0.2">
      <c r="A17" s="1157" t="s">
        <v>1790</v>
      </c>
      <c r="B17" s="1158"/>
      <c r="C17" s="1159"/>
      <c r="D17" s="1160"/>
    </row>
    <row r="18" spans="1:10" s="669" customFormat="1" ht="12.75" customHeight="1" x14ac:dyDescent="0.2">
      <c r="A18" s="1161" t="s">
        <v>1791</v>
      </c>
      <c r="B18" s="1162"/>
      <c r="C18" s="1163"/>
      <c r="D18" s="1164"/>
    </row>
    <row r="19" spans="1:10" ht="6.75" customHeight="1" thickBot="1" x14ac:dyDescent="0.25">
      <c r="A19" s="1165"/>
      <c r="B19" s="1166"/>
      <c r="C19" s="1167"/>
      <c r="D19" s="1168"/>
    </row>
    <row r="20" spans="1:10" s="1172" customFormat="1" ht="12.75" thickTop="1" x14ac:dyDescent="0.2">
      <c r="A20" s="1169"/>
      <c r="B20" s="1170" t="s">
        <v>1792</v>
      </c>
      <c r="C20" s="1171"/>
      <c r="D20" s="1174" t="s">
        <v>733</v>
      </c>
    </row>
    <row r="21" spans="1:10" x14ac:dyDescent="0.2">
      <c r="A21" s="1099"/>
      <c r="B21" s="1100">
        <v>1</v>
      </c>
      <c r="C21" s="2397" t="s">
        <v>331</v>
      </c>
      <c r="D21" s="2398"/>
    </row>
    <row r="22" spans="1:10" ht="12.75" x14ac:dyDescent="0.2">
      <c r="A22" s="1140"/>
      <c r="B22" s="1141">
        <v>2</v>
      </c>
      <c r="C22" s="2395" t="s">
        <v>1601</v>
      </c>
      <c r="D22" s="2396"/>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1395</v>
      </c>
      <c r="D24" s="1143" t="str">
        <f>IF(COVER!O11="X","OK",IF(AND('Aud Quest 2'!J90=0,'Aud Quest 2'!I77&lt;DATE(2017,12,31)),"ENTER ACCOUNTING INFO",IF(AND('Aud Quest 2'!J90&gt;0,'Aud Quest 2'!I77&lt;DATE(2017,12,31)),"OK")))</f>
        <v>OK</v>
      </c>
    </row>
    <row r="25" spans="1:10" x14ac:dyDescent="0.2">
      <c r="A25" s="1101"/>
      <c r="B25" s="1102"/>
      <c r="C25" s="1103" t="s">
        <v>1603</v>
      </c>
      <c r="D25" s="1104" t="str">
        <f>IF(AND(COVER!J29="X",COVER!J30="X",COVER!L30&lt;&gt;"X"),"OK",IF(AND(COVER!J29="X",COVER!J30&lt;&gt;"X",COVER!L30="X"),"OK",IF(AND(COVER!L29="X",COVER!J30&lt;&gt;"X"),"OK","PLEASE CHECK YES or NO.")))</f>
        <v>OK</v>
      </c>
    </row>
    <row r="26" spans="1:10" x14ac:dyDescent="0.2">
      <c r="A26" s="1101"/>
      <c r="B26" s="1144"/>
      <c r="C26" s="1105" t="s">
        <v>1602</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1436</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9" t="s">
        <v>556</v>
      </c>
      <c r="D43" s="2400"/>
    </row>
    <row r="44" spans="1:12" x14ac:dyDescent="0.2">
      <c r="A44" s="1120"/>
      <c r="B44" s="1122"/>
      <c r="C44" s="1123" t="s">
        <v>1398</v>
      </c>
      <c r="D44" s="1124" t="str">
        <f>IF(SUM('Assets-Liab 5-6'!C13)&lt;&gt;SUM('Assets-Liab 5-6'!C41),"ERROR!","OK")</f>
        <v>OK</v>
      </c>
    </row>
    <row r="45" spans="1:12" x14ac:dyDescent="0.2">
      <c r="A45" s="1120"/>
      <c r="B45" s="1122"/>
      <c r="C45" s="1123" t="s">
        <v>1399</v>
      </c>
      <c r="D45" s="1124" t="str">
        <f>IF(SUM('Assets-Liab 5-6'!D13)&lt;&gt;SUM('Assets-Liab 5-6'!D41),"ERROR!","OK")</f>
        <v>OK</v>
      </c>
    </row>
    <row r="46" spans="1:12" x14ac:dyDescent="0.2">
      <c r="A46" s="1120"/>
      <c r="B46" s="1122"/>
      <c r="C46" s="1123" t="s">
        <v>1400</v>
      </c>
      <c r="D46" s="1124" t="str">
        <f>IF(SUM('Assets-Liab 5-6'!E13)&lt;&gt;SUM('Assets-Liab 5-6'!E41),"ERROR!","OK")</f>
        <v>OK</v>
      </c>
    </row>
    <row r="47" spans="1:12" x14ac:dyDescent="0.2">
      <c r="A47" s="1120"/>
      <c r="B47" s="1122"/>
      <c r="C47" s="1123" t="s">
        <v>1401</v>
      </c>
      <c r="D47" s="1124" t="str">
        <f>IF(SUM('Assets-Liab 5-6'!F13)&lt;&gt;SUM('Assets-Liab 5-6'!F41),"ERROR!","OK")</f>
        <v>OK</v>
      </c>
    </row>
    <row r="48" spans="1:12" x14ac:dyDescent="0.2">
      <c r="A48" s="1120"/>
      <c r="B48" s="1122"/>
      <c r="C48" s="1123" t="s">
        <v>1402</v>
      </c>
      <c r="D48" s="1124" t="str">
        <f>IF(SUM('Assets-Liab 5-6'!G13)&lt;&gt;SUM('Assets-Liab 5-6'!G41),"ERROR!","OK")</f>
        <v>OK</v>
      </c>
    </row>
    <row r="49" spans="1:4" x14ac:dyDescent="0.2">
      <c r="A49" s="1120"/>
      <c r="B49" s="1122"/>
      <c r="C49" s="1123" t="s">
        <v>1403</v>
      </c>
      <c r="D49" s="1124" t="str">
        <f>IF(SUM('Assets-Liab 5-6'!H13)&lt;&gt;SUM('Assets-Liab 5-6'!H41),"ERROR!","OK")</f>
        <v>OK</v>
      </c>
    </row>
    <row r="50" spans="1:4" x14ac:dyDescent="0.2">
      <c r="A50" s="1120"/>
      <c r="B50" s="1122"/>
      <c r="C50" s="1123" t="s">
        <v>1404</v>
      </c>
      <c r="D50" s="1124" t="str">
        <f>IF(SUM('Assets-Liab 5-6'!I13)&lt;&gt;SUM('Assets-Liab 5-6'!I41),"ERROR!","OK")</f>
        <v>OK</v>
      </c>
    </row>
    <row r="51" spans="1:4" x14ac:dyDescent="0.2">
      <c r="A51" s="1120"/>
      <c r="B51" s="1122"/>
      <c r="C51" s="1123" t="s">
        <v>1405</v>
      </c>
      <c r="D51" s="1124" t="str">
        <f>IF(SUM('Assets-Liab 5-6'!J13)&lt;&gt;SUM('Assets-Liab 5-6'!J41),"ERROR!","OK")</f>
        <v>OK</v>
      </c>
    </row>
    <row r="52" spans="1:4" x14ac:dyDescent="0.2">
      <c r="A52" s="1120"/>
      <c r="B52" s="1122"/>
      <c r="C52" s="1123" t="s">
        <v>1406</v>
      </c>
      <c r="D52" s="1124" t="str">
        <f>IF(SUM('Assets-Liab 5-6'!K13)&lt;&gt;SUM('Assets-Liab 5-6'!K41),"ERROR!","OK")</f>
        <v>OK</v>
      </c>
    </row>
    <row r="53" spans="1:4" x14ac:dyDescent="0.2">
      <c r="A53" s="1120"/>
      <c r="B53" s="1122"/>
      <c r="C53" s="1123" t="s">
        <v>1407</v>
      </c>
      <c r="D53" s="1124" t="str">
        <f>IF(SUM('Assets-Liab 5-6'!L13)&lt;&gt;('Assets-Liab 5-6'!L41),"ERROR!","OK")</f>
        <v>OK</v>
      </c>
    </row>
    <row r="54" spans="1:4" x14ac:dyDescent="0.2">
      <c r="A54" s="1120"/>
      <c r="B54" s="1122"/>
      <c r="C54" s="1123" t="s">
        <v>1408</v>
      </c>
      <c r="D54" s="1124" t="str">
        <f>IF(SUM('Assets-Liab 5-6'!M23)&lt;&gt;('Assets-Liab 5-6'!M41),"ERROR!","OK")</f>
        <v>OK</v>
      </c>
    </row>
    <row r="55" spans="1:4" x14ac:dyDescent="0.2">
      <c r="A55" s="1120"/>
      <c r="B55" s="1122"/>
      <c r="C55" s="1123" t="s">
        <v>1409</v>
      </c>
      <c r="D55" s="1124" t="str">
        <f>IF(SUM('Assets-Liab 5-6'!N23)&lt;&gt;('Assets-Liab 5-6'!N41),"ERROR!","OK")</f>
        <v>OK</v>
      </c>
    </row>
    <row r="56" spans="1:4" x14ac:dyDescent="0.2">
      <c r="A56" s="1101"/>
      <c r="B56" s="1121">
        <f>B43+1</f>
        <v>6</v>
      </c>
      <c r="C56" s="2391" t="s">
        <v>816</v>
      </c>
      <c r="D56" s="2392"/>
    </row>
    <row r="57" spans="1:4" s="1117" customFormat="1" x14ac:dyDescent="0.2">
      <c r="A57" s="1101"/>
      <c r="B57" s="1111"/>
      <c r="C57" s="1119" t="s">
        <v>1410</v>
      </c>
      <c r="D57" s="1125" t="str">
        <f>IF('Assets-Liab 5-6'!C38+'Assets-Liab 5-6'!C39='Acct Summary 7-8'!C81,"OK","ERROR!")</f>
        <v>OK</v>
      </c>
    </row>
    <row r="58" spans="1:4" x14ac:dyDescent="0.2">
      <c r="A58" s="1101"/>
      <c r="B58" s="1111"/>
      <c r="C58" s="1119" t="s">
        <v>1411</v>
      </c>
      <c r="D58" s="1125" t="str">
        <f>IF((('Assets-Liab 5-6'!D38+'Assets-Liab 5-6'!D39) ='Acct Summary 7-8'!D81), "OK", "ERROR!" )</f>
        <v>OK</v>
      </c>
    </row>
    <row r="59" spans="1:4" s="1117" customFormat="1" x14ac:dyDescent="0.2">
      <c r="A59" s="1101"/>
      <c r="B59" s="1111"/>
      <c r="C59" s="1119" t="s">
        <v>1412</v>
      </c>
      <c r="D59" s="1125" t="str">
        <f>IF((('Assets-Liab 5-6'!E38 + 'Assets-Liab 5-6'!E39) ='Acct Summary 7-8'!E81), "OK", "ERROR!" )</f>
        <v>OK</v>
      </c>
    </row>
    <row r="60" spans="1:4" x14ac:dyDescent="0.2">
      <c r="A60" s="1101"/>
      <c r="B60" s="1111"/>
      <c r="C60" s="1119" t="s">
        <v>1413</v>
      </c>
      <c r="D60" s="1125" t="str">
        <f>IF((('Assets-Liab 5-6'!F38 + 'Assets-Liab 5-6'!F39) ='Acct Summary 7-8'!F81), "OK", "ERROR!" )</f>
        <v>OK</v>
      </c>
    </row>
    <row r="61" spans="1:4" ht="12.75" customHeight="1" x14ac:dyDescent="0.2">
      <c r="A61" s="1101"/>
      <c r="B61" s="1111"/>
      <c r="C61" s="1119" t="s">
        <v>1426</v>
      </c>
      <c r="D61" s="1125" t="str">
        <f>IF((('Assets-Liab 5-6'!G38 + 'Assets-Liab 5-6'!G39) ='Acct Summary 7-8'!G81), "OK", "ERROR!" )</f>
        <v>OK</v>
      </c>
    </row>
    <row r="62" spans="1:4" x14ac:dyDescent="0.2">
      <c r="A62" s="1101"/>
      <c r="B62" s="1111"/>
      <c r="C62" s="1119" t="s">
        <v>1414</v>
      </c>
      <c r="D62" s="1125" t="str">
        <f>IF((('Assets-Liab 5-6'!H38 + 'Assets-Liab 5-6'!H39) ='Acct Summary 7-8'!H81), "OK", "ERROR!" )</f>
        <v>OK</v>
      </c>
    </row>
    <row r="63" spans="1:4" ht="12.75" customHeight="1" x14ac:dyDescent="0.2">
      <c r="A63" s="1101"/>
      <c r="B63" s="1111"/>
      <c r="C63" s="1119" t="s">
        <v>1415</v>
      </c>
      <c r="D63" s="1125" t="str">
        <f>IF((('Assets-Liab 5-6'!I38 + 'Assets-Liab 5-6'!I39) ='Acct Summary 7-8'!I81), "OK", "ERROR!" )</f>
        <v>OK</v>
      </c>
    </row>
    <row r="64" spans="1:4" x14ac:dyDescent="0.2">
      <c r="A64" s="1101"/>
      <c r="B64" s="1111"/>
      <c r="C64" s="1119" t="s">
        <v>1416</v>
      </c>
      <c r="D64" s="1125" t="str">
        <f>IF((('Assets-Liab 5-6'!J38 + 'Assets-Liab 5-6'!J39) ='Acct Summary 7-8'!J81), "OK", "ERROR!" )</f>
        <v>OK</v>
      </c>
    </row>
    <row r="65" spans="1:4" x14ac:dyDescent="0.2">
      <c r="A65" s="1118"/>
      <c r="B65" s="1111"/>
      <c r="C65" s="1119" t="s">
        <v>1427</v>
      </c>
      <c r="D65" s="1125" t="str">
        <f>IF((('Assets-Liab 5-6'!K38 + 'Assets-Liab 5-6'!K39) ='Acct Summary 7-8'!K81), "OK", "ERROR!" )</f>
        <v>OK</v>
      </c>
    </row>
    <row r="66" spans="1:4" x14ac:dyDescent="0.2">
      <c r="A66" s="1099"/>
      <c r="B66" s="1141">
        <f>B56+1+1</f>
        <v>8</v>
      </c>
      <c r="C66" s="1147" t="s">
        <v>2042</v>
      </c>
      <c r="D66" s="1126"/>
    </row>
    <row r="67" spans="1:4" x14ac:dyDescent="0.2">
      <c r="A67" s="1120"/>
      <c r="B67" s="1141"/>
      <c r="C67" s="1148" t="s">
        <v>1078</v>
      </c>
      <c r="D67" s="1126"/>
    </row>
    <row r="68" spans="1:4" x14ac:dyDescent="0.2">
      <c r="A68" s="1101"/>
      <c r="B68" s="1111"/>
      <c r="C68" s="1103" t="s">
        <v>2043</v>
      </c>
      <c r="D68" s="1125" t="str">
        <f>IF('Short-Term Long-Term Debt 24'!F49=SUM(,'Acct Summary 7-8'!C33:K33),"OK","ERROR!")</f>
        <v>ERROR!</v>
      </c>
    </row>
    <row r="69" spans="1:4" x14ac:dyDescent="0.2">
      <c r="A69" s="1101"/>
      <c r="B69" s="1111"/>
      <c r="C69" s="1103" t="s">
        <v>2044</v>
      </c>
      <c r="D69" s="1125" t="str">
        <f>IF('Expenditures 15-22'!H170&lt;&gt;'Short-Term Long-Term Debt 24'!H49,"ERROR!","OK")</f>
        <v>OK</v>
      </c>
    </row>
    <row r="70" spans="1:4" x14ac:dyDescent="0.2">
      <c r="A70" s="1099"/>
      <c r="B70" s="1121">
        <f>B66+1</f>
        <v>9</v>
      </c>
      <c r="C70" s="2391" t="s">
        <v>1793</v>
      </c>
      <c r="D70" s="2392"/>
    </row>
    <row r="71" spans="1:4" x14ac:dyDescent="0.2">
      <c r="A71" s="1099"/>
      <c r="B71" s="1121"/>
      <c r="C71" s="1103" t="s">
        <v>1417</v>
      </c>
      <c r="D71" s="1127" t="str">
        <f>IF(SUM('Acct Summary 7-8'!C27:K27) =SUM( 'Acct Summary 7-8'!C49:K49),"OK", "ERROR")</f>
        <v>OK</v>
      </c>
    </row>
    <row r="72" spans="1:4" x14ac:dyDescent="0.2">
      <c r="A72" s="1101"/>
      <c r="B72" s="1111"/>
      <c r="C72" s="1119" t="s">
        <v>1418</v>
      </c>
      <c r="D72" s="1125" t="str">
        <f>IF(SUM('Acct Summary 7-8'!C28:K28)=SUM('Acct Summary 7-8'!C50:K50),"OK","ERROR!")</f>
        <v>OK</v>
      </c>
    </row>
    <row r="73" spans="1:4" ht="24" x14ac:dyDescent="0.2">
      <c r="A73" s="1128"/>
      <c r="B73" s="1111"/>
      <c r="C73" s="1119" t="s">
        <v>1794</v>
      </c>
      <c r="D73" s="1127" t="str">
        <f>IF(SUM('Acct Summary 7-8'!C42:K42)&gt;=SUM( 'Acct Summary 7-8'!C74:K74),"OK", "ERROR")</f>
        <v>OK</v>
      </c>
    </row>
    <row r="74" spans="1:4" x14ac:dyDescent="0.2">
      <c r="A74" s="1099"/>
      <c r="B74" s="1121">
        <f>B70+1</f>
        <v>10</v>
      </c>
      <c r="C74" s="1115" t="s">
        <v>2045</v>
      </c>
      <c r="D74" s="1129"/>
    </row>
    <row r="75" spans="1:4" x14ac:dyDescent="0.2">
      <c r="A75" s="1101"/>
      <c r="B75" s="1111"/>
      <c r="C75" s="1119" t="s">
        <v>1440</v>
      </c>
      <c r="D75" s="1125" t="str">
        <f>IF(SUM('Assets-Liab 5-6'!C38:H38)&gt;=SUM('Rest Tax Levies-Tort Im 25'!G25:K25),"OK","ERROR")</f>
        <v>OK</v>
      </c>
    </row>
    <row r="76" spans="1:4" x14ac:dyDescent="0.2">
      <c r="A76" s="1101"/>
      <c r="B76" s="1111"/>
      <c r="C76" s="1119" t="s">
        <v>1486</v>
      </c>
      <c r="D76" s="1125" t="str">
        <f>IF(SUM('Assets-Liab 5-6'!C39:K39)&gt;0,"OK","ENTRY IS REQUIRED!")</f>
        <v>OK</v>
      </c>
    </row>
    <row r="77" spans="1:4" x14ac:dyDescent="0.2">
      <c r="A77" s="1101"/>
      <c r="B77" s="1130">
        <f>B74+1</f>
        <v>11</v>
      </c>
      <c r="C77" s="1175" t="s">
        <v>1441</v>
      </c>
      <c r="D77" s="1125"/>
    </row>
    <row r="78" spans="1:4" x14ac:dyDescent="0.2">
      <c r="A78" s="1101"/>
      <c r="B78" s="1111"/>
      <c r="C78" s="1119" t="s">
        <v>2046</v>
      </c>
      <c r="D78" s="1125" t="str">
        <f>IF(ISNUMBER('Acct Summary 7-8'!C9),"OK","ENTRY IS REQUIRED!")</f>
        <v>OK</v>
      </c>
    </row>
    <row r="79" spans="1:4" x14ac:dyDescent="0.2">
      <c r="A79" s="1120"/>
      <c r="B79" s="1121">
        <f>B74+1+1</f>
        <v>12</v>
      </c>
      <c r="C79" s="1131" t="s">
        <v>2011</v>
      </c>
      <c r="D79" s="1132" t="str">
        <f>IF(OR(COVER!$B$6="X",'PCTC-OEPP 27-28'!F78&gt;0),"OK","PLEASE ENTER 9 MO ADA.")</f>
        <v>OK</v>
      </c>
    </row>
    <row r="80" spans="1:4" x14ac:dyDescent="0.2">
      <c r="A80" s="1099"/>
      <c r="B80" s="1121">
        <v>13</v>
      </c>
      <c r="C80" s="1131" t="s">
        <v>2047</v>
      </c>
      <c r="D80" s="1132" t="str">
        <f>IF('Contracts Paid in CY 29'!D141&gt;0,"OK","PLEASE ENTER CONTRACTS PAID IN CURRENT YEAR.")</f>
        <v>PLEASE ENTER CONTRACTS PAID IN CURRENT YEAR.</v>
      </c>
    </row>
    <row r="81" spans="1:4" x14ac:dyDescent="0.2">
      <c r="A81" s="1099"/>
      <c r="B81" s="1121">
        <v>14</v>
      </c>
      <c r="C81" s="1131" t="s">
        <v>1492</v>
      </c>
      <c r="D81" s="1124" t="str">
        <f>IF('Shared Outsourced Services 31'!B8="X","OK",IF('Shared Outsourced Services 31'!K34&gt;0,"OK","ENTRY REQUIRED!"))</f>
        <v>OK</v>
      </c>
    </row>
    <row r="82" spans="1:4" x14ac:dyDescent="0.2">
      <c r="A82" s="1120"/>
      <c r="B82" s="1121">
        <v>15</v>
      </c>
      <c r="C82" s="1131" t="s">
        <v>1491</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17-064-0050-26</v>
      </c>
    </row>
    <row r="3" spans="1:2" x14ac:dyDescent="0.2">
      <c r="A3" t="s">
        <v>1012</v>
      </c>
      <c r="B3" s="138" t="str">
        <f>COVER!A15</f>
        <v>McLean</v>
      </c>
    </row>
    <row r="4" spans="1:2" x14ac:dyDescent="0.2">
      <c r="A4" t="s">
        <v>1063</v>
      </c>
      <c r="B4" s="138" t="str">
        <f>COVER!A17</f>
        <v>McLean County USD 5</v>
      </c>
    </row>
    <row r="5" spans="1:2" x14ac:dyDescent="0.2">
      <c r="A5" t="s">
        <v>727</v>
      </c>
      <c r="B5" s="138" t="str">
        <f>COVER!A38</f>
        <v>Mark Daniel</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1620</v>
      </c>
      <c r="B12" s="138" t="str">
        <f>IF(COVER!J29="x","Yes",IF(COVER!L29="X","No",0))</f>
        <v>Yes</v>
      </c>
    </row>
    <row r="13" spans="1:2" x14ac:dyDescent="0.2">
      <c r="A13" s="1" t="s">
        <v>1621</v>
      </c>
      <c r="B13" s="138" t="str">
        <f>IF(COVER!J30="x","Yes",IF(COVER!L30="x","No",0))</f>
        <v>Yes</v>
      </c>
    </row>
    <row r="14" spans="1:2" x14ac:dyDescent="0.2">
      <c r="A14" t="s">
        <v>496</v>
      </c>
      <c r="B14" s="138" t="str">
        <f>IF(COVER!J31="x","Yes",IF(COVER!L31="x","No",0))</f>
        <v>Yes</v>
      </c>
    </row>
    <row r="15" spans="1:2" x14ac:dyDescent="0.2">
      <c r="A15" t="s">
        <v>597</v>
      </c>
      <c r="B15" s="138" t="str">
        <f>COVER!T23</f>
        <v>066-004450</v>
      </c>
    </row>
    <row r="16" spans="1:2" x14ac:dyDescent="0.2">
      <c r="A16" t="s">
        <v>441</v>
      </c>
      <c r="B16" s="138" t="str">
        <f>COVER!T13</f>
        <v>CliftonLarsonAllen LLP</v>
      </c>
    </row>
    <row r="17" spans="1:2" x14ac:dyDescent="0.2">
      <c r="A17" t="s">
        <v>938</v>
      </c>
      <c r="B17" s="138" t="str">
        <f>COVER!T15</f>
        <v>Adam Pulley</v>
      </c>
    </row>
    <row r="18" spans="1:2" x14ac:dyDescent="0.2">
      <c r="A18" t="s">
        <v>1211</v>
      </c>
      <c r="B18" s="138" t="str">
        <f>COVER!T17</f>
        <v>301 S.W. Adams Street, Suite 1000</v>
      </c>
    </row>
    <row r="19" spans="1:2" x14ac:dyDescent="0.2">
      <c r="A19" t="s">
        <v>940</v>
      </c>
      <c r="B19" s="138" t="str">
        <f>COVER!T25</f>
        <v>Adam.Pulley@claconnect.com</v>
      </c>
    </row>
    <row r="20" spans="1:2" x14ac:dyDescent="0.2">
      <c r="A20" t="s">
        <v>941</v>
      </c>
      <c r="B20" s="138" t="str">
        <f>COVER!T19</f>
        <v>Peoria</v>
      </c>
    </row>
    <row r="21" spans="1:2" x14ac:dyDescent="0.2">
      <c r="A21" t="s">
        <v>499</v>
      </c>
      <c r="B21" s="138" t="str">
        <f>COVER!X19</f>
        <v>IL</v>
      </c>
    </row>
    <row r="22" spans="1:2" x14ac:dyDescent="0.2">
      <c r="A22" t="s">
        <v>942</v>
      </c>
      <c r="B22" s="138">
        <f>COVER!Z19</f>
        <v>61602</v>
      </c>
    </row>
    <row r="23" spans="1:2" x14ac:dyDescent="0.2">
      <c r="A23" t="s">
        <v>1213</v>
      </c>
      <c r="B23" s="138" t="str">
        <f>COVER!T21</f>
        <v>309-495-8767</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1556</v>
      </c>
      <c r="B49" s="138" t="str">
        <f>IF('Aud Quest 2'!B53="x","Yes",IF('Aud Quest 2'!B53&lt;&gt;"x","0"))</f>
        <v>0</v>
      </c>
    </row>
    <row r="50" spans="1:4" x14ac:dyDescent="0.2">
      <c r="A50" s="1" t="s">
        <v>1555</v>
      </c>
      <c r="B50" s="150">
        <f>'Aud Quest 2'!H53</f>
        <v>0</v>
      </c>
    </row>
    <row r="51" spans="1:4" x14ac:dyDescent="0.2">
      <c r="A51" s="1" t="s">
        <v>1557</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10134524</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10134524</v>
      </c>
      <c r="D92" s="2" t="str">
        <f t="shared" si="0"/>
        <v>Error?</v>
      </c>
    </row>
    <row r="93" spans="1:4" x14ac:dyDescent="0.2">
      <c r="A93" s="5">
        <v>32</v>
      </c>
      <c r="B93" s="138">
        <f>'Assets-Liab 5-6'!C41</f>
        <v>10134524</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1269997</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1269997</v>
      </c>
      <c r="D123" s="2" t="str">
        <f t="shared" si="0"/>
        <v>Error?</v>
      </c>
    </row>
    <row r="124" spans="1:4" x14ac:dyDescent="0.2">
      <c r="A124" s="5">
        <v>63</v>
      </c>
      <c r="B124" s="138">
        <f>'Assets-Liab 5-6'!D41</f>
        <v>1269997</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11418340</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11418340</v>
      </c>
      <c r="D140" s="2" t="str">
        <f t="shared" si="1"/>
        <v>Error?</v>
      </c>
    </row>
    <row r="141" spans="1:4" x14ac:dyDescent="0.2">
      <c r="A141" s="5">
        <v>80</v>
      </c>
      <c r="B141" s="138">
        <f>'Assets-Liab 5-6'!E41</f>
        <v>11418340</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1107399</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1107399</v>
      </c>
      <c r="D170" s="2" t="str">
        <f t="shared" si="1"/>
        <v>Error?</v>
      </c>
    </row>
    <row r="171" spans="1:4" x14ac:dyDescent="0.2">
      <c r="A171" s="5">
        <v>110</v>
      </c>
      <c r="B171" s="138">
        <f>'Assets-Liab 5-6'!F41</f>
        <v>1107399</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1989976</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1989976</v>
      </c>
      <c r="D189" s="2" t="str">
        <f t="shared" si="1"/>
        <v>Error?</v>
      </c>
    </row>
    <row r="190" spans="1:4" x14ac:dyDescent="0.2">
      <c r="A190" s="5">
        <v>129</v>
      </c>
      <c r="B190" s="138">
        <f>'Assets-Liab 5-6'!G41</f>
        <v>1989976</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94159</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94159</v>
      </c>
      <c r="D212" s="2" t="str">
        <f t="shared" si="2"/>
        <v>Error?</v>
      </c>
    </row>
    <row r="213" spans="1:4" x14ac:dyDescent="0.2">
      <c r="A213" s="12">
        <v>152</v>
      </c>
      <c r="B213" s="138">
        <f>'Assets-Liab 5-6'!H41</f>
        <v>94159</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2960561</v>
      </c>
      <c r="D273" s="2" t="str">
        <f t="shared" si="3"/>
        <v>Error?</v>
      </c>
    </row>
    <row r="274" spans="1:4" x14ac:dyDescent="0.2">
      <c r="A274" s="5">
        <v>213</v>
      </c>
      <c r="B274" s="138">
        <f>'Assets-Liab 5-6'!M17</f>
        <v>137912805</v>
      </c>
      <c r="D274" s="2" t="str">
        <f t="shared" si="3"/>
        <v>Error?</v>
      </c>
    </row>
    <row r="275" spans="1:4" x14ac:dyDescent="0.2">
      <c r="A275" s="5">
        <v>214</v>
      </c>
      <c r="B275" s="138">
        <f>'Assets-Liab 5-6'!M18</f>
        <v>37983539</v>
      </c>
      <c r="D275" s="2" t="str">
        <f t="shared" si="3"/>
        <v>Error?</v>
      </c>
    </row>
    <row r="276" spans="1:4" x14ac:dyDescent="0.2">
      <c r="A276" s="5">
        <v>215</v>
      </c>
      <c r="B276" s="138">
        <f>'Assets-Liab 5-6'!M19</f>
        <v>11575353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191059937</v>
      </c>
      <c r="C279" s="2" t="s">
        <v>593</v>
      </c>
      <c r="D279" s="2" t="str">
        <f t="shared" si="3"/>
        <v>Error?</v>
      </c>
    </row>
    <row r="280" spans="1:4" x14ac:dyDescent="0.2">
      <c r="A280" s="5">
        <v>219</v>
      </c>
      <c r="B280" s="138">
        <f>'Assets-Liab 5-6'!M40</f>
        <v>191059937</v>
      </c>
      <c r="D280" s="2" t="str">
        <f t="shared" si="3"/>
        <v>Error?</v>
      </c>
    </row>
    <row r="281" spans="1:4" x14ac:dyDescent="0.2">
      <c r="A281" s="5">
        <v>220</v>
      </c>
      <c r="B281" s="138">
        <f>'Assets-Liab 5-6'!M41</f>
        <v>191059937</v>
      </c>
      <c r="C281" s="2" t="s">
        <v>593</v>
      </c>
      <c r="D281" s="2" t="str">
        <f t="shared" si="3"/>
        <v>Error?</v>
      </c>
    </row>
    <row r="282" spans="1:4" x14ac:dyDescent="0.2">
      <c r="A282" s="5">
        <v>221</v>
      </c>
      <c r="B282" s="138">
        <f>'Assets-Liab 5-6'!N21</f>
        <v>11418340</v>
      </c>
      <c r="D282" s="2" t="str">
        <f t="shared" si="3"/>
        <v>Error?</v>
      </c>
    </row>
    <row r="283" spans="1:4" x14ac:dyDescent="0.2">
      <c r="A283" s="5">
        <v>222</v>
      </c>
      <c r="B283" s="138">
        <f>'Assets-Liab 5-6'!N22</f>
        <v>120107453</v>
      </c>
      <c r="D283" s="2" t="str">
        <f t="shared" si="3"/>
        <v>Error?</v>
      </c>
    </row>
    <row r="284" spans="1:4" x14ac:dyDescent="0.2">
      <c r="A284" s="5">
        <v>223</v>
      </c>
      <c r="B284" s="138">
        <f>'Assets-Liab 5-6'!N23</f>
        <v>131525793</v>
      </c>
      <c r="C284" s="2" t="s">
        <v>593</v>
      </c>
      <c r="D284" s="2" t="str">
        <f t="shared" si="3"/>
        <v>Error?</v>
      </c>
    </row>
    <row r="285" spans="1:4" x14ac:dyDescent="0.2">
      <c r="A285" s="5">
        <v>224</v>
      </c>
      <c r="B285" s="138">
        <f>'Assets-Liab 5-6'!N36</f>
        <v>131525793</v>
      </c>
      <c r="D285" s="2" t="str">
        <f t="shared" si="3"/>
        <v>Error?</v>
      </c>
    </row>
    <row r="286" spans="1:4" x14ac:dyDescent="0.2">
      <c r="A286" s="10">
        <v>225</v>
      </c>
      <c r="D286" s="2" t="str">
        <f t="shared" si="3"/>
        <v>OK</v>
      </c>
    </row>
    <row r="287" spans="1:4" x14ac:dyDescent="0.2">
      <c r="A287" s="5">
        <v>226</v>
      </c>
      <c r="B287" s="138">
        <f>'Assets-Liab 5-6'!N37</f>
        <v>131525793</v>
      </c>
      <c r="C287" s="2" t="s">
        <v>593</v>
      </c>
      <c r="D287" s="2" t="str">
        <f t="shared" si="3"/>
        <v>Error?</v>
      </c>
    </row>
    <row r="288" spans="1:4" x14ac:dyDescent="0.2">
      <c r="A288" s="5">
        <v>227</v>
      </c>
      <c r="B288" s="138">
        <f>'Assets-Liab 5-6'!N41</f>
        <v>131525793</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3500000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39241451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945686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4333</v>
      </c>
      <c r="D717" s="2" t="str">
        <f t="shared" si="10"/>
        <v>Error?</v>
      </c>
    </row>
    <row r="718" spans="1:4" x14ac:dyDescent="0.2">
      <c r="A718" s="5">
        <v>657</v>
      </c>
      <c r="B718" s="138">
        <f>'Expenditures 15-22'!C14</f>
        <v>564357</v>
      </c>
      <c r="D718" s="2" t="str">
        <f t="shared" si="10"/>
        <v>Error?</v>
      </c>
    </row>
    <row r="719" spans="1:4" x14ac:dyDescent="0.2">
      <c r="A719" s="5">
        <v>658</v>
      </c>
      <c r="B719" s="138">
        <f>'Expenditures 15-22'!C15</f>
        <v>128750</v>
      </c>
      <c r="D719" s="2" t="str">
        <f t="shared" si="10"/>
        <v>Error?</v>
      </c>
    </row>
    <row r="720" spans="1:4" x14ac:dyDescent="0.2">
      <c r="A720" s="5">
        <v>659</v>
      </c>
      <c r="B720" s="138">
        <f>'Expenditures 15-22'!C33</f>
        <v>58257076</v>
      </c>
      <c r="C720" s="2" t="s">
        <v>593</v>
      </c>
      <c r="D720" s="2" t="str">
        <f t="shared" si="10"/>
        <v>Error?</v>
      </c>
    </row>
    <row r="721" spans="1:4" x14ac:dyDescent="0.2">
      <c r="A721" s="5">
        <v>660</v>
      </c>
      <c r="B721" s="138">
        <f>'Expenditures 15-22'!C36</f>
        <v>876941</v>
      </c>
      <c r="D721" s="2" t="str">
        <f t="shared" si="10"/>
        <v>Error?</v>
      </c>
    </row>
    <row r="722" spans="1:4" x14ac:dyDescent="0.2">
      <c r="A722" s="5">
        <v>661</v>
      </c>
      <c r="B722" s="138">
        <f>'Expenditures 15-22'!C37</f>
        <v>1366602</v>
      </c>
      <c r="D722" s="2" t="str">
        <f t="shared" si="10"/>
        <v>Error?</v>
      </c>
    </row>
    <row r="723" spans="1:4" x14ac:dyDescent="0.2">
      <c r="A723" s="5">
        <v>662</v>
      </c>
      <c r="B723" s="138">
        <f>'Expenditures 15-22'!C38</f>
        <v>464327</v>
      </c>
      <c r="D723" s="2" t="str">
        <f t="shared" si="10"/>
        <v>Error?</v>
      </c>
    </row>
    <row r="724" spans="1:4" x14ac:dyDescent="0.2">
      <c r="A724" s="5">
        <v>663</v>
      </c>
      <c r="B724" s="138">
        <f>'Expenditures 15-22'!C39</f>
        <v>730201</v>
      </c>
      <c r="D724" s="2" t="str">
        <f t="shared" si="10"/>
        <v>Error?</v>
      </c>
    </row>
    <row r="725" spans="1:4" x14ac:dyDescent="0.2">
      <c r="A725" s="5">
        <v>664</v>
      </c>
      <c r="B725" s="138">
        <f>'Expenditures 15-22'!C40</f>
        <v>448099</v>
      </c>
      <c r="D725" s="2" t="str">
        <f t="shared" si="10"/>
        <v>Error?</v>
      </c>
    </row>
    <row r="726" spans="1:4" x14ac:dyDescent="0.2">
      <c r="A726" s="5">
        <v>665</v>
      </c>
      <c r="B726" s="138">
        <f>'Expenditures 15-22'!C41</f>
        <v>11849</v>
      </c>
      <c r="D726" s="2" t="str">
        <f t="shared" si="10"/>
        <v>Error?</v>
      </c>
    </row>
    <row r="727" spans="1:4" x14ac:dyDescent="0.2">
      <c r="A727" s="5">
        <v>666</v>
      </c>
      <c r="B727" s="138">
        <f>'Expenditures 15-22'!C42</f>
        <v>3898019</v>
      </c>
      <c r="C727" s="2" t="s">
        <v>593</v>
      </c>
      <c r="D727" s="2" t="str">
        <f t="shared" si="10"/>
        <v>Error?</v>
      </c>
    </row>
    <row r="728" spans="1:4" x14ac:dyDescent="0.2">
      <c r="A728" s="5">
        <v>667</v>
      </c>
      <c r="B728" s="138">
        <f>'Expenditures 15-22'!C44</f>
        <v>1018835</v>
      </c>
      <c r="D728" s="2" t="str">
        <f t="shared" si="10"/>
        <v>Error?</v>
      </c>
    </row>
    <row r="729" spans="1:4" x14ac:dyDescent="0.2">
      <c r="A729" s="5">
        <v>668</v>
      </c>
      <c r="B729" s="138">
        <f>'Expenditures 15-22'!C45</f>
        <v>1192701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2211536</v>
      </c>
      <c r="C731" s="2" t="s">
        <v>593</v>
      </c>
      <c r="D731" s="2" t="str">
        <f t="shared" si="10"/>
        <v>Error?</v>
      </c>
    </row>
    <row r="732" spans="1:4" x14ac:dyDescent="0.2">
      <c r="A732" s="5">
        <v>671</v>
      </c>
      <c r="B732" s="138">
        <f>'Expenditures 15-22'!C49</f>
        <v>75000</v>
      </c>
      <c r="D732" s="2" t="str">
        <f t="shared" si="10"/>
        <v>Error?</v>
      </c>
    </row>
    <row r="733" spans="1:4" x14ac:dyDescent="0.2">
      <c r="A733" s="5">
        <v>672</v>
      </c>
      <c r="B733" s="138">
        <f>'Expenditures 15-22'!C50</f>
        <v>254266</v>
      </c>
      <c r="D733" s="2" t="str">
        <f t="shared" si="10"/>
        <v>Error?</v>
      </c>
    </row>
    <row r="734" spans="1:4" x14ac:dyDescent="0.2">
      <c r="A734" s="5">
        <v>673</v>
      </c>
      <c r="B734" s="138">
        <f>'Expenditures 15-22'!C53</f>
        <v>469092</v>
      </c>
      <c r="C734" s="2" t="s">
        <v>593</v>
      </c>
      <c r="D734" s="2" t="str">
        <f t="shared" si="10"/>
        <v>Error?</v>
      </c>
    </row>
    <row r="735" spans="1:4" x14ac:dyDescent="0.2">
      <c r="A735" s="5">
        <v>674</v>
      </c>
      <c r="B735" s="138">
        <f>'Expenditures 15-22'!C55</f>
        <v>4598458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4598458</v>
      </c>
      <c r="C737" s="2" t="s">
        <v>593</v>
      </c>
      <c r="D737" s="2" t="str">
        <f t="shared" si="10"/>
        <v>Error?</v>
      </c>
    </row>
    <row r="738" spans="1:4" x14ac:dyDescent="0.2">
      <c r="A738" s="5">
        <v>677</v>
      </c>
      <c r="B738" s="138">
        <f>'Expenditures 15-22'!C59</f>
        <v>110369</v>
      </c>
      <c r="D738" s="2" t="str">
        <f t="shared" si="10"/>
        <v>Error?</v>
      </c>
    </row>
    <row r="739" spans="1:4" x14ac:dyDescent="0.2">
      <c r="A739" s="5">
        <v>678</v>
      </c>
      <c r="B739" s="138">
        <f>'Expenditures 15-22'!C60</f>
        <v>313572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2096820</v>
      </c>
      <c r="D742" s="2" t="str">
        <f t="shared" si="10"/>
        <v>Error?</v>
      </c>
    </row>
    <row r="743" spans="1:4" x14ac:dyDescent="0.2">
      <c r="A743" s="5">
        <v>682</v>
      </c>
      <c r="B743" s="138">
        <f>'Expenditures 15-22'!C64</f>
        <v>57306</v>
      </c>
      <c r="D743" s="2" t="str">
        <f t="shared" si="10"/>
        <v>Error?</v>
      </c>
    </row>
    <row r="744" spans="1:4" x14ac:dyDescent="0.2">
      <c r="A744" s="10">
        <v>683</v>
      </c>
      <c r="D744" s="2" t="str">
        <f t="shared" si="10"/>
        <v>OK</v>
      </c>
    </row>
    <row r="745" spans="1:4" x14ac:dyDescent="0.2">
      <c r="A745" s="5">
        <v>684</v>
      </c>
      <c r="B745" s="138">
        <f>'Expenditures 15-22'!C65</f>
        <v>2578067</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70000</v>
      </c>
      <c r="D748" s="2" t="str">
        <f t="shared" si="10"/>
        <v>Error?</v>
      </c>
    </row>
    <row r="749" spans="1:4" x14ac:dyDescent="0.2">
      <c r="A749" s="5">
        <v>688</v>
      </c>
      <c r="B749" s="138">
        <f>'Expenditures 15-22'!C70</f>
        <v>310106</v>
      </c>
      <c r="D749" s="2" t="str">
        <f t="shared" si="10"/>
        <v>Error?</v>
      </c>
    </row>
    <row r="750" spans="1:4" x14ac:dyDescent="0.2">
      <c r="A750" s="10">
        <v>689</v>
      </c>
      <c r="D750" s="2" t="str">
        <f t="shared" si="10"/>
        <v>OK</v>
      </c>
    </row>
    <row r="751" spans="1:4" x14ac:dyDescent="0.2">
      <c r="A751" s="5">
        <v>690</v>
      </c>
      <c r="B751" s="138">
        <f>'Expenditures 15-22'!C71</f>
        <v>796335</v>
      </c>
      <c r="D751" s="2" t="str">
        <f t="shared" si="10"/>
        <v>Error?</v>
      </c>
    </row>
    <row r="752" spans="1:4" x14ac:dyDescent="0.2">
      <c r="A752" s="10">
        <v>691</v>
      </c>
      <c r="D752" s="2" t="str">
        <f t="shared" si="10"/>
        <v>OK</v>
      </c>
    </row>
    <row r="753" spans="1:4" x14ac:dyDescent="0.2">
      <c r="A753" s="5">
        <v>692</v>
      </c>
      <c r="B753" s="138">
        <f>'Expenditures 15-22'!C72</f>
        <v>1176441</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14931613</v>
      </c>
      <c r="C755" s="2" t="s">
        <v>593</v>
      </c>
      <c r="D755" s="2" t="str">
        <f t="shared" si="10"/>
        <v>Error?</v>
      </c>
    </row>
    <row r="756" spans="1:4" x14ac:dyDescent="0.2">
      <c r="A756" s="5">
        <v>695</v>
      </c>
      <c r="B756" s="138">
        <f>'Expenditures 15-22'!C75</f>
        <v>271401</v>
      </c>
      <c r="D756" s="2" t="str">
        <f t="shared" si="10"/>
        <v>Error?</v>
      </c>
    </row>
    <row r="757" spans="1:4" x14ac:dyDescent="0.2">
      <c r="A757" s="5">
        <v>696</v>
      </c>
      <c r="B757" s="138">
        <f>'Expenditures 15-22'!C114</f>
        <v>73460090</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5585110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145205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162</v>
      </c>
      <c r="D775" s="2" t="str">
        <f t="shared" si="11"/>
        <v>Error?</v>
      </c>
    </row>
    <row r="776" spans="1:4" x14ac:dyDescent="0.2">
      <c r="A776" s="5">
        <v>715</v>
      </c>
      <c r="B776" s="138">
        <f>'Expenditures 15-22'!D14</f>
        <v>22223</v>
      </c>
      <c r="D776" s="2" t="str">
        <f t="shared" si="11"/>
        <v>Error?</v>
      </c>
    </row>
    <row r="777" spans="1:4" x14ac:dyDescent="0.2">
      <c r="A777" s="5">
        <v>716</v>
      </c>
      <c r="B777" s="138">
        <f>'Expenditures 15-22'!D15</f>
        <v>33175</v>
      </c>
      <c r="D777" s="2" t="str">
        <f t="shared" si="11"/>
        <v>Error?</v>
      </c>
    </row>
    <row r="778" spans="1:4" x14ac:dyDescent="0.2">
      <c r="A778" s="5">
        <v>717</v>
      </c>
      <c r="B778" s="138">
        <f>'Expenditures 15-22'!D33</f>
        <v>9482677</v>
      </c>
      <c r="C778" s="2" t="s">
        <v>593</v>
      </c>
      <c r="D778" s="2" t="str">
        <f t="shared" si="11"/>
        <v>Error?</v>
      </c>
    </row>
    <row r="779" spans="1:4" x14ac:dyDescent="0.2">
      <c r="A779" s="5">
        <v>718</v>
      </c>
      <c r="B779" s="138">
        <f>'Expenditures 15-22'!D36</f>
        <v>119028</v>
      </c>
      <c r="D779" s="2" t="str">
        <f t="shared" si="11"/>
        <v>Error?</v>
      </c>
    </row>
    <row r="780" spans="1:4" x14ac:dyDescent="0.2">
      <c r="A780" s="5">
        <v>719</v>
      </c>
      <c r="B780" s="138">
        <f>'Expenditures 15-22'!D37</f>
        <v>187319</v>
      </c>
      <c r="D780" s="2" t="str">
        <f t="shared" si="11"/>
        <v>Error?</v>
      </c>
    </row>
    <row r="781" spans="1:4" x14ac:dyDescent="0.2">
      <c r="A781" s="5">
        <v>720</v>
      </c>
      <c r="B781" s="138">
        <f>'Expenditures 15-22'!D38</f>
        <v>116988</v>
      </c>
      <c r="D781" s="2" t="str">
        <f t="shared" si="11"/>
        <v>Error?</v>
      </c>
    </row>
    <row r="782" spans="1:4" x14ac:dyDescent="0.2">
      <c r="A782" s="5">
        <v>721</v>
      </c>
      <c r="B782" s="138">
        <f>'Expenditures 15-22'!D39</f>
        <v>95721</v>
      </c>
      <c r="D782" s="2" t="str">
        <f t="shared" si="11"/>
        <v>Error?</v>
      </c>
    </row>
    <row r="783" spans="1:4" x14ac:dyDescent="0.2">
      <c r="A783" s="5">
        <v>722</v>
      </c>
      <c r="B783" s="138">
        <f>'Expenditures 15-22'!D40</f>
        <v>65230</v>
      </c>
      <c r="D783" s="2" t="str">
        <f t="shared" si="11"/>
        <v>Error?</v>
      </c>
    </row>
    <row r="784" spans="1:4" x14ac:dyDescent="0.2">
      <c r="A784" s="5">
        <v>723</v>
      </c>
      <c r="B784" s="138">
        <f>'Expenditures 15-22'!D41</f>
        <v>161</v>
      </c>
      <c r="D784" s="2" t="str">
        <f t="shared" si="11"/>
        <v>Error?</v>
      </c>
    </row>
    <row r="785" spans="1:4" x14ac:dyDescent="0.2">
      <c r="A785" s="5">
        <v>724</v>
      </c>
      <c r="B785" s="138">
        <f>'Expenditures 15-22'!D42</f>
        <v>584447</v>
      </c>
      <c r="C785" s="2" t="s">
        <v>593</v>
      </c>
      <c r="D785" s="2" t="str">
        <f t="shared" si="11"/>
        <v>Error?</v>
      </c>
    </row>
    <row r="786" spans="1:4" x14ac:dyDescent="0.2">
      <c r="A786" s="5">
        <v>725</v>
      </c>
      <c r="B786" s="138">
        <f>'Expenditures 15-22'!D44</f>
        <v>173406</v>
      </c>
      <c r="D786" s="2" t="str">
        <f t="shared" si="11"/>
        <v>Error?</v>
      </c>
    </row>
    <row r="787" spans="1:4" x14ac:dyDescent="0.2">
      <c r="A787" s="5">
        <v>726</v>
      </c>
      <c r="B787" s="138">
        <f>'Expenditures 15-22'!D45</f>
        <v>149371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322777</v>
      </c>
      <c r="C789" s="2" t="s">
        <v>593</v>
      </c>
      <c r="D789" s="2" t="str">
        <f t="shared" si="11"/>
        <v>Error?</v>
      </c>
    </row>
    <row r="790" spans="1:4" x14ac:dyDescent="0.2">
      <c r="A790" s="5">
        <v>729</v>
      </c>
      <c r="B790" s="138">
        <f>'Expenditures 15-22'!D49</f>
        <v>14921</v>
      </c>
      <c r="D790" s="2" t="str">
        <f t="shared" si="11"/>
        <v>Error?</v>
      </c>
    </row>
    <row r="791" spans="1:4" x14ac:dyDescent="0.2">
      <c r="A791" s="5">
        <v>730</v>
      </c>
      <c r="B791" s="138">
        <f>'Expenditures 15-22'!D50</f>
        <v>46746</v>
      </c>
      <c r="D791" s="2" t="str">
        <f t="shared" si="11"/>
        <v>Error?</v>
      </c>
    </row>
    <row r="792" spans="1:4" x14ac:dyDescent="0.2">
      <c r="A792" s="5">
        <v>731</v>
      </c>
      <c r="B792" s="138">
        <f>'Expenditures 15-22'!D53</f>
        <v>90006</v>
      </c>
      <c r="C792" s="2" t="s">
        <v>593</v>
      </c>
      <c r="D792" s="2" t="str">
        <f t="shared" si="11"/>
        <v>Error?</v>
      </c>
    </row>
    <row r="793" spans="1:4" x14ac:dyDescent="0.2">
      <c r="A793" s="5">
        <v>732</v>
      </c>
      <c r="B793" s="138">
        <f>'Expenditures 15-22'!D55</f>
        <v>966260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966260</v>
      </c>
      <c r="C795" s="2" t="s">
        <v>593</v>
      </c>
      <c r="D795" s="2" t="str">
        <f t="shared" si="11"/>
        <v>Error?</v>
      </c>
    </row>
    <row r="796" spans="1:4" x14ac:dyDescent="0.2">
      <c r="A796" s="5">
        <v>735</v>
      </c>
      <c r="B796" s="138">
        <f>'Expenditures 15-22'!D59</f>
        <v>25648</v>
      </c>
      <c r="D796" s="2" t="str">
        <f t="shared" si="11"/>
        <v>Error?</v>
      </c>
    </row>
    <row r="797" spans="1:4" x14ac:dyDescent="0.2">
      <c r="A797" s="5">
        <v>736</v>
      </c>
      <c r="B797" s="138">
        <f>'Expenditures 15-22'!D60</f>
        <v>44619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310048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380315</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7372</v>
      </c>
      <c r="D806" s="2" t="str">
        <f t="shared" si="11"/>
        <v>Error?</v>
      </c>
    </row>
    <row r="807" spans="1:4" x14ac:dyDescent="0.2">
      <c r="A807" s="5">
        <v>746</v>
      </c>
      <c r="B807" s="138">
        <f>'Expenditures 15-22'!D70</f>
        <v>54336</v>
      </c>
      <c r="D807" s="2" t="str">
        <f t="shared" si="11"/>
        <v>Error?</v>
      </c>
    </row>
    <row r="808" spans="1:4" x14ac:dyDescent="0.2">
      <c r="A808" s="10">
        <v>747</v>
      </c>
      <c r="D808" s="2" t="str">
        <f t="shared" si="11"/>
        <v>OK</v>
      </c>
    </row>
    <row r="809" spans="1:4" x14ac:dyDescent="0.2">
      <c r="A809" s="5">
        <v>748</v>
      </c>
      <c r="B809" s="138">
        <f>'Expenditures 15-22'!D71</f>
        <v>98654</v>
      </c>
      <c r="D809" s="2" t="str">
        <f t="shared" si="11"/>
        <v>Error?</v>
      </c>
    </row>
    <row r="810" spans="1:4" x14ac:dyDescent="0.2">
      <c r="A810" s="10">
        <v>749</v>
      </c>
      <c r="D810" s="2" t="str">
        <f t="shared" si="11"/>
        <v>OK</v>
      </c>
    </row>
    <row r="811" spans="1:4" x14ac:dyDescent="0.2">
      <c r="A811" s="5">
        <v>750</v>
      </c>
      <c r="B811" s="138">
        <f>'Expenditures 15-22'!D72</f>
        <v>160362</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2504167</v>
      </c>
      <c r="C813" s="2" t="s">
        <v>593</v>
      </c>
      <c r="D813" s="2" t="str">
        <f t="shared" si="11"/>
        <v>Error?</v>
      </c>
    </row>
    <row r="814" spans="1:4" x14ac:dyDescent="0.2">
      <c r="A814" s="5">
        <v>753</v>
      </c>
      <c r="B814" s="138">
        <f>'Expenditures 15-22'!D75</f>
        <v>53450</v>
      </c>
      <c r="D814" s="2" t="str">
        <f t="shared" si="11"/>
        <v>Error?</v>
      </c>
    </row>
    <row r="815" spans="1:4" x14ac:dyDescent="0.2">
      <c r="A815" s="5">
        <v>754</v>
      </c>
      <c r="B815" s="138">
        <f>'Expenditures 15-22'!D114</f>
        <v>12040294</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136432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4319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142017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423186</v>
      </c>
      <c r="C836" s="2" t="s">
        <v>593</v>
      </c>
      <c r="D836" s="2" t="str">
        <f t="shared" si="12"/>
        <v>Error?</v>
      </c>
    </row>
    <row r="837" spans="1:4" x14ac:dyDescent="0.2">
      <c r="A837" s="5">
        <v>776</v>
      </c>
      <c r="B837" s="138">
        <f>'Expenditures 15-22'!E36</f>
        <v>2935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6990</v>
      </c>
      <c r="D839" s="2" t="str">
        <f t="shared" si="12"/>
        <v>Error?</v>
      </c>
    </row>
    <row r="840" spans="1:4" x14ac:dyDescent="0.2">
      <c r="A840" s="5">
        <v>779</v>
      </c>
      <c r="B840" s="138">
        <f>'Expenditures 15-22'!E39</f>
        <v>1550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2945</v>
      </c>
      <c r="D842" s="2" t="str">
        <f t="shared" si="12"/>
        <v>Error?</v>
      </c>
    </row>
    <row r="843" spans="1:4" x14ac:dyDescent="0.2">
      <c r="A843" s="5">
        <v>782</v>
      </c>
      <c r="B843" s="138">
        <f>'Expenditures 15-22'!E42</f>
        <v>14420</v>
      </c>
      <c r="C843" s="2" t="s">
        <v>593</v>
      </c>
      <c r="D843" s="2" t="str">
        <f t="shared" si="12"/>
        <v>Error?</v>
      </c>
    </row>
    <row r="844" spans="1:4" x14ac:dyDescent="0.2">
      <c r="A844" s="5">
        <v>783</v>
      </c>
      <c r="B844" s="138">
        <f>'Expenditures 15-22'!E44</f>
        <v>303168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171175</v>
      </c>
      <c r="D846" s="2" t="str">
        <f t="shared" si="12"/>
        <v>Error?</v>
      </c>
    </row>
    <row r="847" spans="1:4" x14ac:dyDescent="0.2">
      <c r="A847" s="5">
        <v>786</v>
      </c>
      <c r="B847" s="138">
        <f>'Expenditures 15-22'!E47</f>
        <v>474343</v>
      </c>
      <c r="C847" s="2" t="s">
        <v>593</v>
      </c>
      <c r="D847" s="2" t="str">
        <f t="shared" si="12"/>
        <v>Error?</v>
      </c>
    </row>
    <row r="848" spans="1:4" x14ac:dyDescent="0.2">
      <c r="A848" s="5">
        <v>787</v>
      </c>
      <c r="B848" s="138">
        <f>'Expenditures 15-22'!E49</f>
        <v>56257</v>
      </c>
      <c r="D848" s="2" t="str">
        <f t="shared" si="12"/>
        <v>Error?</v>
      </c>
    </row>
    <row r="849" spans="1:4" x14ac:dyDescent="0.2">
      <c r="A849" s="5">
        <v>788</v>
      </c>
      <c r="B849" s="138">
        <f>'Expenditures 15-22'!E50</f>
        <v>123965</v>
      </c>
      <c r="D849" s="2" t="str">
        <f t="shared" si="12"/>
        <v>Error?</v>
      </c>
    </row>
    <row r="850" spans="1:4" x14ac:dyDescent="0.2">
      <c r="A850" s="5">
        <v>789</v>
      </c>
      <c r="B850" s="138">
        <f>'Expenditures 15-22'!E53</f>
        <v>180222</v>
      </c>
      <c r="C850" s="2" t="s">
        <v>593</v>
      </c>
      <c r="D850" s="2" t="str">
        <f t="shared" si="12"/>
        <v>Error?</v>
      </c>
    </row>
    <row r="851" spans="1:4" x14ac:dyDescent="0.2">
      <c r="A851" s="5">
        <v>790</v>
      </c>
      <c r="B851" s="138">
        <f>'Expenditures 15-22'!E55</f>
        <v>9041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9041</v>
      </c>
      <c r="C853" s="2" t="s">
        <v>593</v>
      </c>
      <c r="D853" s="2" t="str">
        <f t="shared" si="12"/>
        <v>Error?</v>
      </c>
    </row>
    <row r="854" spans="1:4" x14ac:dyDescent="0.2">
      <c r="A854" s="5">
        <v>793</v>
      </c>
      <c r="B854" s="138">
        <f>'Expenditures 15-22'!E59</f>
        <v>19614</v>
      </c>
      <c r="D854" s="2" t="str">
        <f t="shared" si="12"/>
        <v>Error?</v>
      </c>
    </row>
    <row r="855" spans="1:4" x14ac:dyDescent="0.2">
      <c r="A855" s="5">
        <v>794</v>
      </c>
      <c r="B855" s="138">
        <f>'Expenditures 15-22'!E60</f>
        <v>25694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59472</v>
      </c>
      <c r="D858" s="2" t="str">
        <f t="shared" si="12"/>
        <v>Error?</v>
      </c>
    </row>
    <row r="859" spans="1:4" x14ac:dyDescent="0.2">
      <c r="A859" s="5">
        <v>798</v>
      </c>
      <c r="B859" s="138">
        <f>'Expenditures 15-22'!E64</f>
        <v>298752</v>
      </c>
      <c r="D859" s="2" t="str">
        <f t="shared" si="12"/>
        <v>Error?</v>
      </c>
    </row>
    <row r="860" spans="1:4" x14ac:dyDescent="0.2">
      <c r="A860" s="10">
        <v>799</v>
      </c>
      <c r="D860" s="2" t="str">
        <f t="shared" si="12"/>
        <v>OK</v>
      </c>
    </row>
    <row r="861" spans="1:4" x14ac:dyDescent="0.2">
      <c r="A861" s="5">
        <v>800</v>
      </c>
      <c r="B861" s="138">
        <f>'Expenditures 15-22'!E65</f>
        <v>403532</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1701</v>
      </c>
      <c r="D864" s="2" t="str">
        <f t="shared" si="12"/>
        <v>Error?</v>
      </c>
    </row>
    <row r="865" spans="1:4" x14ac:dyDescent="0.2">
      <c r="A865" s="5">
        <v>804</v>
      </c>
      <c r="B865" s="138">
        <f>'Expenditures 15-22'!E70</f>
        <v>27068</v>
      </c>
      <c r="D865" s="2" t="str">
        <f t="shared" si="12"/>
        <v>Error?</v>
      </c>
    </row>
    <row r="866" spans="1:4" x14ac:dyDescent="0.2">
      <c r="A866" s="10">
        <v>805</v>
      </c>
      <c r="D866" s="2" t="str">
        <f t="shared" si="12"/>
        <v>OK</v>
      </c>
    </row>
    <row r="867" spans="1:4" x14ac:dyDescent="0.2">
      <c r="A867" s="5">
        <v>806</v>
      </c>
      <c r="B867" s="138">
        <f>'Expenditures 15-22'!E71</f>
        <v>266480</v>
      </c>
      <c r="D867" s="2" t="str">
        <f t="shared" si="12"/>
        <v>Error?</v>
      </c>
    </row>
    <row r="868" spans="1:4" x14ac:dyDescent="0.2">
      <c r="A868" s="10">
        <v>807</v>
      </c>
      <c r="D868" s="2" t="str">
        <f t="shared" si="12"/>
        <v>OK</v>
      </c>
    </row>
    <row r="869" spans="1:4" x14ac:dyDescent="0.2">
      <c r="A869" s="5">
        <v>808</v>
      </c>
      <c r="B869" s="138">
        <f>'Expenditures 15-22'!E72</f>
        <v>295249</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1376807</v>
      </c>
      <c r="C871" s="2" t="s">
        <v>593</v>
      </c>
      <c r="D871" s="2" t="str">
        <f t="shared" si="12"/>
        <v>Error?</v>
      </c>
    </row>
    <row r="872" spans="1:4" x14ac:dyDescent="0.2">
      <c r="A872" s="5">
        <v>811</v>
      </c>
      <c r="B872" s="138">
        <f>'Expenditures 15-22'!E75</f>
        <v>114467</v>
      </c>
      <c r="D872" s="2" t="str">
        <f t="shared" si="12"/>
        <v>Error?</v>
      </c>
    </row>
    <row r="873" spans="1:4" x14ac:dyDescent="0.2">
      <c r="A873" s="5">
        <v>812</v>
      </c>
      <c r="B873" s="138">
        <f>'Expenditures 15-22'!E114</f>
        <v>1976983</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705165</v>
      </c>
      <c r="D879" s="2" t="str">
        <f t="shared" si="12"/>
        <v>Error?</v>
      </c>
    </row>
    <row r="880" spans="1:4" x14ac:dyDescent="0.2">
      <c r="A880" s="5">
        <v>819</v>
      </c>
      <c r="B880" s="138">
        <f>'Expenditures 15-22'!F16</f>
        <v>135</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19563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17783</v>
      </c>
      <c r="D891" s="2" t="str">
        <f t="shared" si="12"/>
        <v>Error?</v>
      </c>
    </row>
    <row r="892" spans="1:4" x14ac:dyDescent="0.2">
      <c r="A892" s="5">
        <v>831</v>
      </c>
      <c r="B892" s="138">
        <f>'Expenditures 15-22'!F14</f>
        <v>147384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1291304</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11269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11269</v>
      </c>
      <c r="C901" s="2" t="s">
        <v>593</v>
      </c>
      <c r="D901" s="2" t="str">
        <f t="shared" si="13"/>
        <v>Error?</v>
      </c>
    </row>
    <row r="902" spans="1:4" x14ac:dyDescent="0.2">
      <c r="A902" s="5">
        <v>841</v>
      </c>
      <c r="B902" s="138">
        <f>'Expenditures 15-22'!F44</f>
        <v>402925</v>
      </c>
      <c r="D902" s="2" t="str">
        <f t="shared" si="13"/>
        <v>Error?</v>
      </c>
    </row>
    <row r="903" spans="1:4" x14ac:dyDescent="0.2">
      <c r="A903" s="5">
        <v>842</v>
      </c>
      <c r="B903" s="138">
        <f>'Expenditures 15-22'!F45</f>
        <v>57104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460029</v>
      </c>
      <c r="C905" s="2" t="s">
        <v>593</v>
      </c>
      <c r="D905" s="2" t="str">
        <f t="shared" si="13"/>
        <v>Error?</v>
      </c>
    </row>
    <row r="906" spans="1:4" x14ac:dyDescent="0.2">
      <c r="A906" s="5">
        <v>845</v>
      </c>
      <c r="B906" s="138">
        <f>'Expenditures 15-22'!F49</f>
        <v>3790</v>
      </c>
      <c r="D906" s="2" t="str">
        <f t="shared" si="13"/>
        <v>Error?</v>
      </c>
    </row>
    <row r="907" spans="1:4" x14ac:dyDescent="0.2">
      <c r="A907" s="5">
        <v>846</v>
      </c>
      <c r="B907" s="138">
        <f>'Expenditures 15-22'!F50</f>
        <v>26844</v>
      </c>
      <c r="D907" s="2" t="str">
        <f t="shared" si="13"/>
        <v>Error?</v>
      </c>
    </row>
    <row r="908" spans="1:4" x14ac:dyDescent="0.2">
      <c r="A908" s="5">
        <v>847</v>
      </c>
      <c r="B908" s="138">
        <f>'Expenditures 15-22'!F53</f>
        <v>30634</v>
      </c>
      <c r="C908" s="2" t="s">
        <v>593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593</v>
      </c>
      <c r="D911" s="2" t="str">
        <f t="shared" si="13"/>
        <v>Error?</v>
      </c>
    </row>
    <row r="912" spans="1:4" x14ac:dyDescent="0.2">
      <c r="A912" s="5">
        <v>851</v>
      </c>
      <c r="B912" s="138">
        <f>'Expenditures 15-22'!F59</f>
        <v>4383</v>
      </c>
      <c r="D912" s="2" t="str">
        <f t="shared" si="13"/>
        <v>Error?</v>
      </c>
    </row>
    <row r="913" spans="1:4" x14ac:dyDescent="0.2">
      <c r="A913" s="5">
        <v>852</v>
      </c>
      <c r="B913" s="138">
        <f>'Expenditures 15-22'!F60</f>
        <v>6108</v>
      </c>
      <c r="D913" s="2" t="str">
        <f t="shared" si="13"/>
        <v>Error?</v>
      </c>
    </row>
    <row r="914" spans="1:4" x14ac:dyDescent="0.2">
      <c r="A914" s="5">
        <v>853</v>
      </c>
      <c r="B914" s="138">
        <f>'Expenditures 15-22'!F61</f>
        <v>1961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2403157</v>
      </c>
      <c r="D916" s="2" t="str">
        <f t="shared" si="13"/>
        <v>Error?</v>
      </c>
    </row>
    <row r="917" spans="1:4" x14ac:dyDescent="0.2">
      <c r="A917" s="5">
        <v>856</v>
      </c>
      <c r="B917" s="138">
        <f>'Expenditures 15-22'!F64</f>
        <v>13384</v>
      </c>
      <c r="D917" s="2" t="str">
        <f t="shared" si="13"/>
        <v>Error?</v>
      </c>
    </row>
    <row r="918" spans="1:4" x14ac:dyDescent="0.2">
      <c r="A918" s="10">
        <v>857</v>
      </c>
      <c r="D918" s="2" t="str">
        <f t="shared" si="13"/>
        <v>OK</v>
      </c>
    </row>
    <row r="919" spans="1:4" x14ac:dyDescent="0.2">
      <c r="A919" s="5">
        <v>858</v>
      </c>
      <c r="B919" s="138">
        <f>'Expenditures 15-22'!F65</f>
        <v>2428993</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3978</v>
      </c>
      <c r="D922" s="2" t="str">
        <f t="shared" si="13"/>
        <v>Error?</v>
      </c>
    </row>
    <row r="923" spans="1:4" x14ac:dyDescent="0.2">
      <c r="A923" s="5">
        <v>862</v>
      </c>
      <c r="B923" s="138">
        <f>'Expenditures 15-22'!F70</f>
        <v>20847</v>
      </c>
      <c r="D923" s="2" t="str">
        <f t="shared" si="13"/>
        <v>Error?</v>
      </c>
    </row>
    <row r="924" spans="1:4" x14ac:dyDescent="0.2">
      <c r="A924" s="10">
        <v>863</v>
      </c>
      <c r="D924" s="2" t="str">
        <f t="shared" si="13"/>
        <v>OK</v>
      </c>
    </row>
    <row r="925" spans="1:4" x14ac:dyDescent="0.2">
      <c r="A925" s="5">
        <v>864</v>
      </c>
      <c r="B925" s="138">
        <f>'Expenditures 15-22'!F71</f>
        <v>1198113</v>
      </c>
      <c r="D925" s="2" t="str">
        <f t="shared" si="13"/>
        <v>Error?</v>
      </c>
    </row>
    <row r="926" spans="1:4" x14ac:dyDescent="0.2">
      <c r="A926" s="10">
        <v>865</v>
      </c>
      <c r="D926" s="2" t="str">
        <f t="shared" si="13"/>
        <v>OK</v>
      </c>
    </row>
    <row r="927" spans="1:4" x14ac:dyDescent="0.2">
      <c r="A927" s="5">
        <v>866</v>
      </c>
      <c r="B927" s="138">
        <f>'Expenditures 15-22'!F72</f>
        <v>1222938</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4153863</v>
      </c>
      <c r="C929" s="2" t="s">
        <v>593</v>
      </c>
      <c r="D929" s="2" t="str">
        <f t="shared" si="13"/>
        <v>Error?</v>
      </c>
    </row>
    <row r="930" spans="1:4" x14ac:dyDescent="0.2">
      <c r="A930" s="5">
        <v>869</v>
      </c>
      <c r="B930" s="138">
        <f>'Expenditures 15-22'!F75</f>
        <v>20036</v>
      </c>
      <c r="D930" s="2" t="str">
        <f t="shared" si="13"/>
        <v>Error?</v>
      </c>
    </row>
    <row r="931" spans="1:4" x14ac:dyDescent="0.2">
      <c r="A931" s="5">
        <v>870</v>
      </c>
      <c r="B931" s="138">
        <f>'Expenditures 15-22'!F114</f>
        <v>5465203</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6590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59296</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71421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71421</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71421</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130717</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23027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48822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4111688</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180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180</v>
      </c>
      <c r="C1017" s="2" t="s">
        <v>593</v>
      </c>
      <c r="D1017" s="2" t="str">
        <f t="shared" si="14"/>
        <v>Error?</v>
      </c>
    </row>
    <row r="1018" spans="1:4" x14ac:dyDescent="0.2">
      <c r="A1018" s="5">
        <v>957</v>
      </c>
      <c r="B1018" s="138">
        <f>'Expenditures 15-22'!H44</f>
        <v>7019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7019</v>
      </c>
      <c r="C1021" s="2" t="s">
        <v>593</v>
      </c>
      <c r="D1021" s="2" t="str">
        <f t="shared" si="14"/>
        <v>Error?</v>
      </c>
    </row>
    <row r="1022" spans="1:4" x14ac:dyDescent="0.2">
      <c r="A1022" s="5">
        <v>961</v>
      </c>
      <c r="B1022" s="138">
        <f>'Expenditures 15-22'!H49</f>
        <v>14856</v>
      </c>
      <c r="D1022" s="2" t="str">
        <f t="shared" si="14"/>
        <v>Error?</v>
      </c>
    </row>
    <row r="1023" spans="1:4" x14ac:dyDescent="0.2">
      <c r="A1023" s="5">
        <v>962</v>
      </c>
      <c r="B1023" s="138">
        <f>'Expenditures 15-22'!H50</f>
        <v>11042</v>
      </c>
      <c r="D1023" s="2" t="str">
        <f t="shared" ref="D1023:D1086" si="15">IF(ISBLANK(B1023),"OK",IF(A1023-B1023=0,"OK","Error?"))</f>
        <v>Error?</v>
      </c>
    </row>
    <row r="1024" spans="1:4" x14ac:dyDescent="0.2">
      <c r="A1024" s="5">
        <v>963</v>
      </c>
      <c r="B1024" s="138">
        <f>'Expenditures 15-22'!H53</f>
        <v>25898</v>
      </c>
      <c r="C1024" s="2" t="s">
        <v>593</v>
      </c>
      <c r="D1024" s="2" t="str">
        <f t="shared" si="15"/>
        <v>Error?</v>
      </c>
    </row>
    <row r="1025" spans="1:4" x14ac:dyDescent="0.2">
      <c r="A1025" s="5">
        <v>964</v>
      </c>
      <c r="B1025" s="138">
        <f>'Expenditures 15-22'!H55</f>
        <v>17504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17504</v>
      </c>
      <c r="C1027" s="2" t="s">
        <v>593</v>
      </c>
      <c r="D1027" s="2" t="str">
        <f t="shared" si="15"/>
        <v>Error?</v>
      </c>
    </row>
    <row r="1028" spans="1:4" x14ac:dyDescent="0.2">
      <c r="A1028" s="5">
        <v>967</v>
      </c>
      <c r="B1028" s="138">
        <f>'Expenditures 15-22'!H59</f>
        <v>905</v>
      </c>
      <c r="D1028" s="2" t="str">
        <f t="shared" si="15"/>
        <v>Error?</v>
      </c>
    </row>
    <row r="1029" spans="1:4" x14ac:dyDescent="0.2">
      <c r="A1029" s="5">
        <v>968</v>
      </c>
      <c r="B1029" s="138">
        <f>'Expenditures 15-22'!H60</f>
        <v>172355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3870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177130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750</v>
      </c>
      <c r="D1038" s="2" t="str">
        <f t="shared" si="15"/>
        <v>Error?</v>
      </c>
    </row>
    <row r="1039" spans="1:4" x14ac:dyDescent="0.2">
      <c r="A1039" s="5">
        <v>978</v>
      </c>
      <c r="B1039" s="138">
        <f>'Expenditures 15-22'!H70</f>
        <v>869</v>
      </c>
      <c r="D1039" s="2" t="str">
        <f t="shared" si="15"/>
        <v>Error?</v>
      </c>
    </row>
    <row r="1040" spans="1:4" x14ac:dyDescent="0.2">
      <c r="A1040" s="10">
        <v>979</v>
      </c>
      <c r="D1040" s="2" t="str">
        <f t="shared" si="15"/>
        <v>OK</v>
      </c>
    </row>
    <row r="1041" spans="1:4" x14ac:dyDescent="0.2">
      <c r="A1041" s="5">
        <v>980</v>
      </c>
      <c r="B1041" s="138">
        <f>'Expenditures 15-22'!H71</f>
        <v>399</v>
      </c>
      <c r="D1041" s="2" t="str">
        <f t="shared" si="15"/>
        <v>Error?</v>
      </c>
    </row>
    <row r="1042" spans="1:4" x14ac:dyDescent="0.2">
      <c r="A1042" s="10">
        <v>981</v>
      </c>
      <c r="D1042" s="2" t="str">
        <f t="shared" si="15"/>
        <v>OK</v>
      </c>
    </row>
    <row r="1043" spans="1:4" x14ac:dyDescent="0.2">
      <c r="A1043" s="5">
        <v>982</v>
      </c>
      <c r="B1043" s="138">
        <f>'Expenditures 15-22'!H72</f>
        <v>2018</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229749</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760349</v>
      </c>
      <c r="C1047" s="2" t="s">
        <v>593</v>
      </c>
      <c r="D1047" s="2" t="str">
        <f t="shared" si="15"/>
        <v>Error?</v>
      </c>
    </row>
    <row r="1048" spans="1:4" x14ac:dyDescent="0.2">
      <c r="A1048" s="5">
        <v>987</v>
      </c>
      <c r="B1048" s="138">
        <f>'Expenditures 15-22'!H105</f>
        <v>80371</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80371</v>
      </c>
      <c r="C1053" s="2" t="s">
        <v>593</v>
      </c>
      <c r="D1053" s="2" t="str">
        <f t="shared" si="15"/>
        <v>Error?</v>
      </c>
    </row>
    <row r="1054" spans="1:4" x14ac:dyDescent="0.2">
      <c r="A1054" s="5">
        <v>993</v>
      </c>
      <c r="B1054" s="138">
        <f>'Expenditures 15-22'!H114</f>
        <v>5182157</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45726910</v>
      </c>
      <c r="C1093" s="2" t="s">
        <v>593</v>
      </c>
      <c r="D1093" s="2" t="str">
        <f t="shared" si="16"/>
        <v>Error?</v>
      </c>
    </row>
    <row r="1094" spans="1:4" x14ac:dyDescent="0.2">
      <c r="A1094" s="5">
        <v>1033</v>
      </c>
      <c r="B1094" s="138">
        <f>'Expenditures 15-22'!K16</f>
        <v>135</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1114773</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24233</v>
      </c>
      <c r="C1105" s="2" t="s">
        <v>593</v>
      </c>
      <c r="D1105" s="2" t="str">
        <f t="shared" si="16"/>
        <v>Error?</v>
      </c>
    </row>
    <row r="1106" spans="1:4" x14ac:dyDescent="0.2">
      <c r="A1106" s="5">
        <v>1045</v>
      </c>
      <c r="B1106" s="138">
        <f>'Expenditures 15-22'!K14</f>
        <v>931393</v>
      </c>
      <c r="C1106" s="2" t="s">
        <v>593</v>
      </c>
      <c r="D1106" s="2" t="str">
        <f t="shared" si="16"/>
        <v>Error?</v>
      </c>
    </row>
    <row r="1107" spans="1:4" x14ac:dyDescent="0.2">
      <c r="A1107" s="5">
        <v>1046</v>
      </c>
      <c r="B1107" s="138">
        <f>'Expenditures 15-22'!K15</f>
        <v>161925</v>
      </c>
      <c r="C1107" s="2" t="s">
        <v>593</v>
      </c>
      <c r="D1107" s="2" t="str">
        <f t="shared" si="16"/>
        <v>Error?</v>
      </c>
    </row>
    <row r="1108" spans="1:4" x14ac:dyDescent="0.2">
      <c r="A1108" s="5">
        <v>1047</v>
      </c>
      <c r="B1108" s="138">
        <f>'Expenditures 15-22'!K33</f>
        <v>73679687</v>
      </c>
      <c r="C1108" s="2" t="s">
        <v>593</v>
      </c>
      <c r="D1108" s="2" t="str">
        <f t="shared" si="16"/>
        <v>Error?</v>
      </c>
    </row>
    <row r="1109" spans="1:4" x14ac:dyDescent="0.2">
      <c r="A1109" s="5">
        <v>1048</v>
      </c>
      <c r="B1109" s="138">
        <f>'Expenditures 15-22'!K36</f>
        <v>998904</v>
      </c>
      <c r="C1109" s="2" t="s">
        <v>593</v>
      </c>
      <c r="D1109" s="2" t="str">
        <f t="shared" si="16"/>
        <v>Error?</v>
      </c>
    </row>
    <row r="1110" spans="1:4" x14ac:dyDescent="0.2">
      <c r="A1110" s="5">
        <v>1049</v>
      </c>
      <c r="B1110" s="138">
        <f>'Expenditures 15-22'!K37</f>
        <v>1553921</v>
      </c>
      <c r="C1110" s="2" t="s">
        <v>593</v>
      </c>
      <c r="D1110" s="2" t="str">
        <f t="shared" si="16"/>
        <v>Error?</v>
      </c>
    </row>
    <row r="1111" spans="1:4" x14ac:dyDescent="0.2">
      <c r="A1111" s="5">
        <v>1050</v>
      </c>
      <c r="B1111" s="138">
        <f>'Expenditures 15-22'!K38</f>
        <v>600711</v>
      </c>
      <c r="C1111" s="2" t="s">
        <v>593</v>
      </c>
      <c r="D1111" s="2" t="str">
        <f t="shared" si="16"/>
        <v>Error?</v>
      </c>
    </row>
    <row r="1112" spans="1:4" x14ac:dyDescent="0.2">
      <c r="A1112" s="5">
        <v>1051</v>
      </c>
      <c r="B1112" s="138">
        <f>'Expenditures 15-22'!K39</f>
        <v>827472</v>
      </c>
      <c r="C1112" s="2" t="s">
        <v>593</v>
      </c>
      <c r="D1112" s="2" t="str">
        <f t="shared" si="16"/>
        <v>Error?</v>
      </c>
    </row>
    <row r="1113" spans="1:4" x14ac:dyDescent="0.2">
      <c r="A1113" s="5">
        <v>1052</v>
      </c>
      <c r="B1113" s="138">
        <f>'Expenditures 15-22'!K40</f>
        <v>513329</v>
      </c>
      <c r="C1113" s="2" t="s">
        <v>593</v>
      </c>
      <c r="D1113" s="2" t="str">
        <f t="shared" si="16"/>
        <v>Error?</v>
      </c>
    </row>
    <row r="1114" spans="1:4" x14ac:dyDescent="0.2">
      <c r="A1114" s="5">
        <v>1053</v>
      </c>
      <c r="B1114" s="138">
        <f>'Expenditures 15-22'!K41</f>
        <v>14955</v>
      </c>
      <c r="C1114" s="2" t="s">
        <v>593</v>
      </c>
      <c r="D1114" s="2" t="str">
        <f t="shared" si="16"/>
        <v>Error?</v>
      </c>
    </row>
    <row r="1115" spans="1:4" x14ac:dyDescent="0.2">
      <c r="A1115" s="5">
        <v>1054</v>
      </c>
      <c r="B1115" s="138">
        <f>'Expenditures 15-22'!K42</f>
        <v>4509292</v>
      </c>
      <c r="C1115" s="2" t="s">
        <v>593</v>
      </c>
      <c r="D1115" s="2" t="str">
        <f t="shared" si="16"/>
        <v>Error?</v>
      </c>
    </row>
    <row r="1116" spans="1:4" x14ac:dyDescent="0.2">
      <c r="A1116" s="5">
        <v>1055</v>
      </c>
      <c r="B1116" s="138">
        <f>'Expenditures 15-22'!K44</f>
        <v>1905913</v>
      </c>
      <c r="C1116" s="2" t="s">
        <v>593</v>
      </c>
      <c r="D1116" s="2" t="str">
        <f t="shared" si="16"/>
        <v>Error?</v>
      </c>
    </row>
    <row r="1117" spans="1:4" x14ac:dyDescent="0.2">
      <c r="A1117" s="5">
        <v>1056</v>
      </c>
      <c r="B1117" s="138">
        <f>'Expenditures 15-22'!K45</f>
        <v>1399176</v>
      </c>
      <c r="C1117" s="2" t="s">
        <v>593</v>
      </c>
      <c r="D1117" s="2" t="str">
        <f t="shared" si="16"/>
        <v>Error?</v>
      </c>
    </row>
    <row r="1118" spans="1:4" x14ac:dyDescent="0.2">
      <c r="A1118" s="5">
        <v>1057</v>
      </c>
      <c r="B1118" s="138">
        <f>'Expenditures 15-22'!K46</f>
        <v>171175</v>
      </c>
      <c r="C1118" s="2" t="s">
        <v>593</v>
      </c>
      <c r="D1118" s="2" t="str">
        <f t="shared" si="16"/>
        <v>Error?</v>
      </c>
    </row>
    <row r="1119" spans="1:4" x14ac:dyDescent="0.2">
      <c r="A1119" s="5">
        <v>1058</v>
      </c>
      <c r="B1119" s="138">
        <f>'Expenditures 15-22'!K47</f>
        <v>3476264</v>
      </c>
      <c r="C1119" s="2" t="s">
        <v>593</v>
      </c>
      <c r="D1119" s="2" t="str">
        <f t="shared" si="16"/>
        <v>Error?</v>
      </c>
    </row>
    <row r="1120" spans="1:4" x14ac:dyDescent="0.2">
      <c r="A1120" s="5">
        <v>1059</v>
      </c>
      <c r="B1120" s="138">
        <f>'Expenditures 15-22'!K49</f>
        <v>164824</v>
      </c>
      <c r="C1120" s="2" t="s">
        <v>593</v>
      </c>
      <c r="D1120" s="2" t="str">
        <f t="shared" si="16"/>
        <v>Error?</v>
      </c>
    </row>
    <row r="1121" spans="1:4" x14ac:dyDescent="0.2">
      <c r="A1121" s="5">
        <v>1060</v>
      </c>
      <c r="B1121" s="138">
        <f>'Expenditures 15-22'!K50</f>
        <v>465892</v>
      </c>
      <c r="C1121" s="2" t="s">
        <v>593</v>
      </c>
      <c r="D1121" s="2" t="str">
        <f t="shared" si="16"/>
        <v>Error?</v>
      </c>
    </row>
    <row r="1122" spans="1:4" x14ac:dyDescent="0.2">
      <c r="A1122" s="5">
        <v>1061</v>
      </c>
      <c r="B1122" s="138">
        <f>'Expenditures 15-22'!K53</f>
        <v>798881</v>
      </c>
      <c r="C1122" s="2" t="s">
        <v>593</v>
      </c>
      <c r="D1122" s="2" t="str">
        <f t="shared" si="16"/>
        <v>Error?</v>
      </c>
    </row>
    <row r="1123" spans="1:4" x14ac:dyDescent="0.2">
      <c r="A1123" s="5">
        <v>1062</v>
      </c>
      <c r="B1123" s="138">
        <f>'Expenditures 15-22'!K55</f>
        <v>5591263</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5591263</v>
      </c>
      <c r="C1125" s="2" t="s">
        <v>593</v>
      </c>
      <c r="D1125" s="2" t="str">
        <f t="shared" si="16"/>
        <v>Error?</v>
      </c>
    </row>
    <row r="1126" spans="1:4" x14ac:dyDescent="0.2">
      <c r="A1126" s="5">
        <v>1065</v>
      </c>
      <c r="B1126" s="138">
        <f>'Expenditures 15-22'!K59</f>
        <v>160919</v>
      </c>
      <c r="C1126" s="2" t="s">
        <v>593</v>
      </c>
      <c r="D1126" s="2" t="str">
        <f t="shared" si="16"/>
        <v>Error?</v>
      </c>
    </row>
    <row r="1127" spans="1:4" x14ac:dyDescent="0.2">
      <c r="A1127" s="5">
        <v>1066</v>
      </c>
      <c r="B1127" s="138">
        <f>'Expenditures 15-22'!K60</f>
        <v>562348</v>
      </c>
      <c r="C1127" s="2" t="s">
        <v>593</v>
      </c>
      <c r="D1127" s="2" t="str">
        <f t="shared" si="16"/>
        <v>Error?</v>
      </c>
    </row>
    <row r="1128" spans="1:4" x14ac:dyDescent="0.2">
      <c r="A1128" s="5">
        <v>1067</v>
      </c>
      <c r="B1128" s="138">
        <f>'Expenditures 15-22'!K61</f>
        <v>1961</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4949052</v>
      </c>
      <c r="C1130" s="2" t="s">
        <v>593</v>
      </c>
      <c r="D1130" s="2" t="str">
        <f t="shared" si="16"/>
        <v>Error?</v>
      </c>
    </row>
    <row r="1131" spans="1:4" x14ac:dyDescent="0.2">
      <c r="A1131" s="5">
        <v>1070</v>
      </c>
      <c r="B1131" s="138">
        <f>'Expenditures 15-22'!K64</f>
        <v>369442</v>
      </c>
      <c r="C1131" s="2" t="s">
        <v>593</v>
      </c>
      <c r="D1131" s="2" t="str">
        <f t="shared" si="16"/>
        <v>Error?</v>
      </c>
    </row>
    <row r="1132" spans="1:4" x14ac:dyDescent="0.2">
      <c r="A1132" s="10">
        <v>1071</v>
      </c>
      <c r="D1132" s="2" t="str">
        <f t="shared" si="16"/>
        <v>OK</v>
      </c>
    </row>
    <row r="1133" spans="1:4" x14ac:dyDescent="0.2">
      <c r="A1133" s="5">
        <v>1072</v>
      </c>
      <c r="B1133" s="138">
        <f>'Expenditures 15-22'!K65</f>
        <v>6043722</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83801</v>
      </c>
      <c r="C1136" s="2" t="s">
        <v>593</v>
      </c>
      <c r="D1136" s="2" t="str">
        <f t="shared" si="16"/>
        <v>Error?</v>
      </c>
    </row>
    <row r="1137" spans="1:4" x14ac:dyDescent="0.2">
      <c r="A1137" s="5">
        <v>1076</v>
      </c>
      <c r="B1137" s="138">
        <f>'Expenditures 15-22'!K70</f>
        <v>413226</v>
      </c>
      <c r="C1137" s="2" t="s">
        <v>593</v>
      </c>
      <c r="D1137" s="2" t="str">
        <f t="shared" si="16"/>
        <v>Error?</v>
      </c>
    </row>
    <row r="1138" spans="1:4" x14ac:dyDescent="0.2">
      <c r="A1138" s="10">
        <v>1077</v>
      </c>
      <c r="D1138" s="2" t="str">
        <f t="shared" si="16"/>
        <v>OK</v>
      </c>
    </row>
    <row r="1139" spans="1:4" x14ac:dyDescent="0.2">
      <c r="A1139" s="5">
        <v>1078</v>
      </c>
      <c r="B1139" s="138">
        <f>'Expenditures 15-22'!K71</f>
        <v>2359981</v>
      </c>
      <c r="C1139" s="2" t="s">
        <v>593</v>
      </c>
      <c r="D1139" s="2" t="str">
        <f t="shared" si="16"/>
        <v>Error?</v>
      </c>
    </row>
    <row r="1140" spans="1:4" x14ac:dyDescent="0.2">
      <c r="A1140" s="10">
        <v>1079</v>
      </c>
      <c r="D1140" s="2" t="str">
        <f t="shared" si="16"/>
        <v>OK</v>
      </c>
    </row>
    <row r="1141" spans="1:4" x14ac:dyDescent="0.2">
      <c r="A1141" s="5">
        <v>1080</v>
      </c>
      <c r="B1141" s="138">
        <f>'Expenditures 15-22'!K72</f>
        <v>2857008</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23276430</v>
      </c>
      <c r="C1143" s="2" t="s">
        <v>593</v>
      </c>
      <c r="D1143" s="2" t="str">
        <f t="shared" si="16"/>
        <v>Error?</v>
      </c>
    </row>
    <row r="1144" spans="1:4" x14ac:dyDescent="0.2">
      <c r="A1144" s="5">
        <v>1083</v>
      </c>
      <c r="B1144" s="138">
        <f>'Expenditures 15-22'!K75</f>
        <v>459354</v>
      </c>
      <c r="C1144" s="2" t="s">
        <v>593</v>
      </c>
      <c r="D1144" s="2" t="str">
        <f t="shared" si="16"/>
        <v>Error?</v>
      </c>
    </row>
    <row r="1145" spans="1:4" x14ac:dyDescent="0.2">
      <c r="A1145" s="5">
        <v>1084</v>
      </c>
      <c r="B1145" s="138">
        <f>'Expenditures 15-22'!K102</f>
        <v>822872</v>
      </c>
      <c r="C1145" s="2" t="s">
        <v>593</v>
      </c>
      <c r="D1145" s="2" t="str">
        <f t="shared" si="16"/>
        <v>Error?</v>
      </c>
    </row>
    <row r="1146" spans="1:4" x14ac:dyDescent="0.2">
      <c r="A1146" s="5">
        <v>1085</v>
      </c>
      <c r="B1146" s="138">
        <f>'Expenditures 15-22'!K105</f>
        <v>80371</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80371</v>
      </c>
      <c r="C1151" s="2" t="s">
        <v>593</v>
      </c>
      <c r="D1151" s="2" t="str">
        <f t="shared" ref="D1151:D1214" si="17">IF(ISBLANK(B1151),"OK",IF(A1151-B1151=0,"OK","Error?"))</f>
        <v>Error?</v>
      </c>
    </row>
    <row r="1152" spans="1:4" x14ac:dyDescent="0.2">
      <c r="A1152" s="5">
        <v>1091</v>
      </c>
      <c r="B1152" s="138">
        <f>'Expenditures 15-22'!K114</f>
        <v>98318714</v>
      </c>
      <c r="C1152" s="2" t="s">
        <v>593</v>
      </c>
      <c r="D1152" s="2" t="str">
        <f t="shared" si="17"/>
        <v>Error?</v>
      </c>
    </row>
    <row r="1153" spans="1:4" x14ac:dyDescent="0.2">
      <c r="A1153" s="5">
        <v>1092</v>
      </c>
      <c r="B1153" s="138">
        <f>'Expenditures 15-22'!K115</f>
        <v>4653697</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5464635</v>
      </c>
      <c r="D1221" s="2" t="str">
        <f t="shared" si="18"/>
        <v>Error?</v>
      </c>
    </row>
    <row r="1222" spans="1:4" x14ac:dyDescent="0.2">
      <c r="A1222" s="10">
        <v>1161</v>
      </c>
      <c r="D1222" s="2" t="str">
        <f t="shared" si="18"/>
        <v>OK</v>
      </c>
    </row>
    <row r="1223" spans="1:4" x14ac:dyDescent="0.2">
      <c r="A1223" s="5">
        <v>1162</v>
      </c>
      <c r="B1223" s="138">
        <f>'Expenditures 15-22'!C127</f>
        <v>5464635</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5464635</v>
      </c>
      <c r="C1225" s="2" t="s">
        <v>593</v>
      </c>
      <c r="D1225" s="2" t="str">
        <f t="shared" si="18"/>
        <v>Error?</v>
      </c>
    </row>
    <row r="1226" spans="1:4" x14ac:dyDescent="0.2">
      <c r="A1226" s="5">
        <v>1165</v>
      </c>
      <c r="B1226" s="138">
        <f>'Expenditures 15-22'!C151</f>
        <v>5464635</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1038295</v>
      </c>
      <c r="D1229" s="2" t="str">
        <f t="shared" si="18"/>
        <v>Error?</v>
      </c>
    </row>
    <row r="1230" spans="1:4" x14ac:dyDescent="0.2">
      <c r="A1230" s="10">
        <v>1169</v>
      </c>
      <c r="D1230" s="2" t="str">
        <f t="shared" si="18"/>
        <v>OK</v>
      </c>
    </row>
    <row r="1231" spans="1:4" x14ac:dyDescent="0.2">
      <c r="A1231" s="5">
        <v>1170</v>
      </c>
      <c r="B1231" s="138">
        <f>'Expenditures 15-22'!D127</f>
        <v>1038295</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1038295</v>
      </c>
      <c r="C1233" s="2" t="s">
        <v>593</v>
      </c>
      <c r="D1233" s="2" t="str">
        <f t="shared" si="18"/>
        <v>Error?</v>
      </c>
    </row>
    <row r="1234" spans="1:4" x14ac:dyDescent="0.2">
      <c r="A1234" s="5">
        <v>1173</v>
      </c>
      <c r="B1234" s="138">
        <f>'Expenditures 15-22'!D151</f>
        <v>1038295</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15856</v>
      </c>
      <c r="D1236" s="2" t="str">
        <f t="shared" si="18"/>
        <v>Error?</v>
      </c>
    </row>
    <row r="1237" spans="1:4" x14ac:dyDescent="0.2">
      <c r="A1237" s="5">
        <v>1176</v>
      </c>
      <c r="B1237" s="138">
        <f>'Expenditures 15-22'!E124</f>
        <v>1174766</v>
      </c>
      <c r="D1237" s="2" t="str">
        <f t="shared" si="18"/>
        <v>Error?</v>
      </c>
    </row>
    <row r="1238" spans="1:4" x14ac:dyDescent="0.2">
      <c r="A1238" s="10">
        <v>1177</v>
      </c>
      <c r="D1238" s="2" t="str">
        <f t="shared" si="18"/>
        <v>OK</v>
      </c>
    </row>
    <row r="1239" spans="1:4" x14ac:dyDescent="0.2">
      <c r="A1239" s="5">
        <v>1178</v>
      </c>
      <c r="B1239" s="138">
        <f>'Expenditures 15-22'!E127</f>
        <v>1190622</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1190622</v>
      </c>
      <c r="C1241" s="2" t="s">
        <v>593</v>
      </c>
      <c r="D1241" s="2" t="str">
        <f t="shared" si="18"/>
        <v>Error?</v>
      </c>
    </row>
    <row r="1242" spans="1:4" x14ac:dyDescent="0.2">
      <c r="A1242" s="5">
        <v>1181</v>
      </c>
      <c r="B1242" s="138">
        <f>'Expenditures 15-22'!E151</f>
        <v>1190622</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3851545</v>
      </c>
      <c r="D1245" s="2" t="str">
        <f t="shared" si="18"/>
        <v>Error?</v>
      </c>
    </row>
    <row r="1246" spans="1:4" x14ac:dyDescent="0.2">
      <c r="A1246" s="10">
        <v>1185</v>
      </c>
      <c r="D1246" s="2" t="str">
        <f t="shared" si="18"/>
        <v>OK</v>
      </c>
    </row>
    <row r="1247" spans="1:4" x14ac:dyDescent="0.2">
      <c r="A1247" s="5">
        <v>1186</v>
      </c>
      <c r="B1247" s="138">
        <f>'Expenditures 15-22'!F127</f>
        <v>3851545</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3851991</v>
      </c>
      <c r="C1249" s="2" t="s">
        <v>593</v>
      </c>
      <c r="D1249" s="2" t="str">
        <f t="shared" si="18"/>
        <v>Error?</v>
      </c>
    </row>
    <row r="1250" spans="1:4" x14ac:dyDescent="0.2">
      <c r="A1250" s="5">
        <v>1189</v>
      </c>
      <c r="B1250" s="138">
        <f>'Expenditures 15-22'!F151</f>
        <v>3851991</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336340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336340</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336340</v>
      </c>
      <c r="C1258" s="2" t="s">
        <v>593</v>
      </c>
      <c r="D1258" s="2" t="str">
        <f t="shared" si="18"/>
        <v>Error?</v>
      </c>
    </row>
    <row r="1259" spans="1:4" x14ac:dyDescent="0.2">
      <c r="A1259" s="5">
        <v>1198</v>
      </c>
      <c r="B1259" s="138">
        <f>'Expenditures 15-22'!G151</f>
        <v>336340</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3098</v>
      </c>
      <c r="D1262" s="2" t="str">
        <f t="shared" si="18"/>
        <v>Error?</v>
      </c>
    </row>
    <row r="1263" spans="1:4" x14ac:dyDescent="0.2">
      <c r="A1263" s="10">
        <v>1202</v>
      </c>
      <c r="D1263" s="2" t="str">
        <f t="shared" si="18"/>
        <v>OK</v>
      </c>
    </row>
    <row r="1264" spans="1:4" x14ac:dyDescent="0.2">
      <c r="A1264" s="5">
        <v>1203</v>
      </c>
      <c r="B1264" s="138">
        <f>'Expenditures 15-22'!H127</f>
        <v>3098</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3098</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3098</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15856</v>
      </c>
      <c r="C1275" s="2" t="s">
        <v>593</v>
      </c>
      <c r="D1275" s="2" t="str">
        <f t="shared" si="18"/>
        <v>Error?</v>
      </c>
    </row>
    <row r="1276" spans="1:4" x14ac:dyDescent="0.2">
      <c r="A1276" s="5">
        <v>1215</v>
      </c>
      <c r="B1276" s="138">
        <f>'Expenditures 15-22'!K124</f>
        <v>11886188</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11902044</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11902490</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11902490</v>
      </c>
      <c r="C1288" s="2" t="s">
        <v>593</v>
      </c>
      <c r="D1288" s="2" t="str">
        <f t="shared" si="19"/>
        <v>Error?</v>
      </c>
    </row>
    <row r="1289" spans="1:4" x14ac:dyDescent="0.2">
      <c r="A1289" s="5">
        <v>1228</v>
      </c>
      <c r="B1289" s="138">
        <f>'Expenditures 15-22'!K152</f>
        <v>972107</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5025910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19270480</v>
      </c>
      <c r="D1315" s="2" t="str">
        <f t="shared" si="19"/>
        <v>Error?</v>
      </c>
    </row>
    <row r="1316" spans="1:4" x14ac:dyDescent="0.2">
      <c r="A1316" s="5">
        <v>1255</v>
      </c>
      <c r="B1316" s="138">
        <f>'Expenditures 15-22'!H171</f>
        <v>4586</v>
      </c>
      <c r="D1316" s="2" t="str">
        <f t="shared" si="19"/>
        <v>Error?</v>
      </c>
    </row>
    <row r="1317" spans="1:4" x14ac:dyDescent="0.2">
      <c r="A1317" s="5">
        <v>1256</v>
      </c>
      <c r="B1317" s="138">
        <f>'Expenditures 15-22'!H172</f>
        <v>24300976</v>
      </c>
      <c r="C1317" s="2" t="s">
        <v>593</v>
      </c>
      <c r="D1317" s="2" t="str">
        <f t="shared" si="19"/>
        <v>Error?</v>
      </c>
    </row>
    <row r="1318" spans="1:4" x14ac:dyDescent="0.2">
      <c r="A1318" s="5">
        <v>1257</v>
      </c>
      <c r="B1318" s="138">
        <f>'Expenditures 15-22'!H174</f>
        <v>24300976</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5025910</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19270480</v>
      </c>
      <c r="C1329" s="2" t="s">
        <v>593</v>
      </c>
      <c r="D1329" s="2" t="str">
        <f t="shared" si="19"/>
        <v>Error?</v>
      </c>
    </row>
    <row r="1330" spans="1:4" x14ac:dyDescent="0.2">
      <c r="A1330" s="5">
        <v>1269</v>
      </c>
      <c r="B1330" s="138">
        <f>'Expenditures 15-22'!K171</f>
        <v>4586</v>
      </c>
      <c r="C1330" s="2" t="s">
        <v>593</v>
      </c>
      <c r="D1330" s="2" t="str">
        <f t="shared" si="19"/>
        <v>Error?</v>
      </c>
    </row>
    <row r="1331" spans="1:4" x14ac:dyDescent="0.2">
      <c r="A1331" s="5">
        <v>1270</v>
      </c>
      <c r="B1331" s="138">
        <f>'Expenditures 15-22'!K172</f>
        <v>24300976</v>
      </c>
      <c r="C1331" s="2" t="s">
        <v>593</v>
      </c>
      <c r="D1331" s="2" t="str">
        <f t="shared" si="19"/>
        <v>Error?</v>
      </c>
    </row>
    <row r="1332" spans="1:4" x14ac:dyDescent="0.2">
      <c r="A1332" s="5">
        <v>1271</v>
      </c>
      <c r="B1332" s="138">
        <f>'Expenditures 15-22'!K174</f>
        <v>24300976</v>
      </c>
      <c r="C1332" s="2" t="s">
        <v>593</v>
      </c>
      <c r="D1332" s="2" t="str">
        <f t="shared" si="19"/>
        <v>Error?</v>
      </c>
    </row>
    <row r="1333" spans="1:4" x14ac:dyDescent="0.2">
      <c r="A1333" s="5">
        <v>1272</v>
      </c>
      <c r="B1333" s="138">
        <f>'Expenditures 15-22'!K175</f>
        <v>-2413378</v>
      </c>
      <c r="C1333" s="2" t="s">
        <v>593</v>
      </c>
      <c r="D1333" s="2" t="str">
        <f t="shared" si="19"/>
        <v>Error?</v>
      </c>
    </row>
    <row r="1334" spans="1:4" x14ac:dyDescent="0.2">
      <c r="A1334" s="10">
        <v>1273</v>
      </c>
      <c r="D1334" s="2" t="str">
        <f t="shared" si="19"/>
        <v>OK</v>
      </c>
    </row>
    <row r="1335" spans="1:4" x14ac:dyDescent="0.2">
      <c r="A1335" s="5">
        <v>1274</v>
      </c>
      <c r="B1335" s="138">
        <f>'Expenditures 15-22'!C182</f>
        <v>167049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167049</v>
      </c>
      <c r="C1339" s="2" t="s">
        <v>593</v>
      </c>
      <c r="D1339" s="2" t="str">
        <f t="shared" si="19"/>
        <v>Error?</v>
      </c>
    </row>
    <row r="1340" spans="1:4" x14ac:dyDescent="0.2">
      <c r="A1340" s="5">
        <v>1279</v>
      </c>
      <c r="B1340" s="138">
        <f>'Expenditures 15-22'!C210</f>
        <v>167049</v>
      </c>
      <c r="C1340" s="2" t="s">
        <v>593</v>
      </c>
      <c r="D1340" s="2" t="str">
        <f t="shared" si="19"/>
        <v>Error?</v>
      </c>
    </row>
    <row r="1341" spans="1:4" x14ac:dyDescent="0.2">
      <c r="A1341" s="5">
        <v>1280</v>
      </c>
      <c r="B1341" s="138">
        <f>'Expenditures 15-22'!D182</f>
        <v>24048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24048</v>
      </c>
      <c r="C1345" s="2" t="s">
        <v>593</v>
      </c>
      <c r="D1345" s="2" t="str">
        <f t="shared" si="20"/>
        <v>Error?</v>
      </c>
    </row>
    <row r="1346" spans="1:4" x14ac:dyDescent="0.2">
      <c r="A1346" s="5">
        <v>1285</v>
      </c>
      <c r="B1346" s="138">
        <f>'Expenditures 15-22'!D210</f>
        <v>24048</v>
      </c>
      <c r="C1346" s="2" t="s">
        <v>593</v>
      </c>
      <c r="D1346" s="2" t="str">
        <f t="shared" si="20"/>
        <v>Error?</v>
      </c>
    </row>
    <row r="1347" spans="1:4" x14ac:dyDescent="0.2">
      <c r="A1347" s="5">
        <v>1286</v>
      </c>
      <c r="B1347" s="138">
        <f>'Expenditures 15-22'!E182</f>
        <v>8594766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8594766</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8594766</v>
      </c>
      <c r="C1353" s="2" t="s">
        <v>593</v>
      </c>
      <c r="D1353" s="2" t="str">
        <f t="shared" si="20"/>
        <v>Error?</v>
      </c>
    </row>
    <row r="1354" spans="1:4" x14ac:dyDescent="0.2">
      <c r="A1354" s="5">
        <v>1293</v>
      </c>
      <c r="B1354" s="138">
        <f>'Expenditures 15-22'!F182</f>
        <v>859450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859450</v>
      </c>
      <c r="C1358" s="2" t="s">
        <v>593</v>
      </c>
      <c r="D1358" s="2" t="str">
        <f t="shared" si="20"/>
        <v>Error?</v>
      </c>
    </row>
    <row r="1359" spans="1:4" x14ac:dyDescent="0.2">
      <c r="A1359" s="5">
        <v>1298</v>
      </c>
      <c r="B1359" s="138">
        <f>'Expenditures 15-22'!F210</f>
        <v>859450</v>
      </c>
      <c r="C1359" s="2" t="s">
        <v>593</v>
      </c>
      <c r="D1359" s="2" t="str">
        <f t="shared" si="20"/>
        <v>Error?</v>
      </c>
    </row>
    <row r="1360" spans="1:4" x14ac:dyDescent="0.2">
      <c r="A1360" s="5">
        <v>1299</v>
      </c>
      <c r="B1360" s="138">
        <f>'Expenditures 15-22'!G182</f>
        <v>3695597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3695597</v>
      </c>
      <c r="C1364" s="2" t="s">
        <v>593</v>
      </c>
      <c r="D1364" s="2" t="str">
        <f t="shared" si="20"/>
        <v>Error?</v>
      </c>
    </row>
    <row r="1365" spans="1:4" x14ac:dyDescent="0.2">
      <c r="A1365" s="5">
        <v>1304</v>
      </c>
      <c r="B1365" s="138">
        <f>'Expenditures 15-22'!G210</f>
        <v>3695597</v>
      </c>
      <c r="C1365" s="2" t="s">
        <v>593</v>
      </c>
      <c r="D1365" s="2" t="str">
        <f t="shared" si="20"/>
        <v>Error?</v>
      </c>
    </row>
    <row r="1366" spans="1:4" x14ac:dyDescent="0.2">
      <c r="A1366" s="5">
        <v>1305</v>
      </c>
      <c r="B1366" s="138">
        <f>'Expenditures 15-22'!H182</f>
        <v>1430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1430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1430</v>
      </c>
      <c r="C1376" s="2" t="s">
        <v>593</v>
      </c>
      <c r="D1376" s="2" t="str">
        <f t="shared" si="20"/>
        <v>Error?</v>
      </c>
    </row>
    <row r="1377" spans="1:4" x14ac:dyDescent="0.2">
      <c r="A1377" s="5">
        <v>1316</v>
      </c>
      <c r="B1377" s="138">
        <f>'Expenditures 15-22'!K182</f>
        <v>13364632</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13364632</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13364632</v>
      </c>
      <c r="C1388" s="2" t="s">
        <v>593</v>
      </c>
      <c r="D1388" s="2" t="str">
        <f t="shared" si="20"/>
        <v>Error?</v>
      </c>
    </row>
    <row r="1389" spans="1:4" x14ac:dyDescent="0.2">
      <c r="A1389" s="5">
        <v>1328</v>
      </c>
      <c r="B1389" s="138">
        <f>'Expenditures 15-22'!K211</f>
        <v>-2134445</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15604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62</v>
      </c>
      <c r="D1407" s="2" t="str">
        <f t="shared" ref="D1407:D1470" si="21">IF(ISBLANK(B1407),"OK",IF(A1407-B1407=0,"OK","Error?"))</f>
        <v>Error?</v>
      </c>
    </row>
    <row r="1408" spans="1:4" x14ac:dyDescent="0.2">
      <c r="A1408" s="5">
        <v>1347</v>
      </c>
      <c r="B1408" s="138">
        <f>'Expenditures 15-22'!D223</f>
        <v>22592</v>
      </c>
      <c r="D1408" s="2" t="str">
        <f t="shared" si="21"/>
        <v>Error?</v>
      </c>
    </row>
    <row r="1409" spans="1:4" x14ac:dyDescent="0.2">
      <c r="A1409" s="5">
        <v>1348</v>
      </c>
      <c r="B1409" s="138">
        <f>'Expenditures 15-22'!D224</f>
        <v>11379</v>
      </c>
      <c r="D1409" s="2" t="str">
        <f t="shared" si="21"/>
        <v>Error?</v>
      </c>
    </row>
    <row r="1410" spans="1:4" x14ac:dyDescent="0.2">
      <c r="A1410" s="5">
        <v>1349</v>
      </c>
      <c r="B1410" s="138">
        <f>'Expenditures 15-22'!D229</f>
        <v>1833369</v>
      </c>
      <c r="C1410" s="2" t="s">
        <v>593</v>
      </c>
      <c r="D1410" s="2" t="str">
        <f t="shared" si="21"/>
        <v>Error?</v>
      </c>
    </row>
    <row r="1411" spans="1:4" x14ac:dyDescent="0.2">
      <c r="A1411" s="5">
        <v>1350</v>
      </c>
      <c r="B1411" s="138">
        <f>'Expenditures 15-22'!D232</f>
        <v>12476</v>
      </c>
      <c r="D1411" s="2" t="str">
        <f t="shared" si="21"/>
        <v>Error?</v>
      </c>
    </row>
    <row r="1412" spans="1:4" x14ac:dyDescent="0.2">
      <c r="A1412" s="5">
        <v>1351</v>
      </c>
      <c r="B1412" s="138">
        <f>'Expenditures 15-22'!D233</f>
        <v>38802</v>
      </c>
      <c r="D1412" s="2" t="str">
        <f t="shared" si="21"/>
        <v>Error?</v>
      </c>
    </row>
    <row r="1413" spans="1:4" x14ac:dyDescent="0.2">
      <c r="A1413" s="5">
        <v>1352</v>
      </c>
      <c r="B1413" s="138">
        <f>'Expenditures 15-22'!D234</f>
        <v>58739</v>
      </c>
      <c r="D1413" s="2" t="str">
        <f t="shared" si="21"/>
        <v>Error?</v>
      </c>
    </row>
    <row r="1414" spans="1:4" x14ac:dyDescent="0.2">
      <c r="A1414" s="5">
        <v>1353</v>
      </c>
      <c r="B1414" s="138">
        <f>'Expenditures 15-22'!D235</f>
        <v>10837</v>
      </c>
      <c r="D1414" s="2" t="str">
        <f t="shared" si="21"/>
        <v>Error?</v>
      </c>
    </row>
    <row r="1415" spans="1:4" x14ac:dyDescent="0.2">
      <c r="A1415" s="5">
        <v>1354</v>
      </c>
      <c r="B1415" s="138">
        <f>'Expenditures 15-22'!D236</f>
        <v>6249</v>
      </c>
      <c r="D1415" s="2" t="str">
        <f t="shared" si="21"/>
        <v>Error?</v>
      </c>
    </row>
    <row r="1416" spans="1:4" x14ac:dyDescent="0.2">
      <c r="A1416" s="5">
        <v>1355</v>
      </c>
      <c r="B1416" s="138">
        <f>'Expenditures 15-22'!D237</f>
        <v>171</v>
      </c>
      <c r="D1416" s="2" t="str">
        <f t="shared" si="21"/>
        <v>Error?</v>
      </c>
    </row>
    <row r="1417" spans="1:4" x14ac:dyDescent="0.2">
      <c r="A1417" s="5">
        <v>1356</v>
      </c>
      <c r="B1417" s="138">
        <f>'Expenditures 15-22'!D238</f>
        <v>127274</v>
      </c>
      <c r="C1417" s="2" t="s">
        <v>593</v>
      </c>
      <c r="D1417" s="2" t="str">
        <f t="shared" si="21"/>
        <v>Error?</v>
      </c>
    </row>
    <row r="1418" spans="1:4" x14ac:dyDescent="0.2">
      <c r="A1418" s="5">
        <v>1357</v>
      </c>
      <c r="B1418" s="138">
        <f>'Expenditures 15-22'!D240</f>
        <v>38325</v>
      </c>
      <c r="D1418" s="2" t="str">
        <f t="shared" si="21"/>
        <v>Error?</v>
      </c>
    </row>
    <row r="1419" spans="1:4" x14ac:dyDescent="0.2">
      <c r="A1419" s="5">
        <v>1358</v>
      </c>
      <c r="B1419" s="138">
        <f>'Expenditures 15-22'!D241</f>
        <v>18093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56418</v>
      </c>
      <c r="C1421" s="2" t="s">
        <v>593</v>
      </c>
      <c r="D1421" s="2" t="str">
        <f t="shared" si="21"/>
        <v>Error?</v>
      </c>
    </row>
    <row r="1422" spans="1:4" x14ac:dyDescent="0.2">
      <c r="A1422" s="5">
        <v>1361</v>
      </c>
      <c r="B1422" s="138">
        <f>'Expenditures 15-22'!D245</f>
        <v>1074</v>
      </c>
      <c r="D1422" s="2" t="str">
        <f t="shared" si="21"/>
        <v>Error?</v>
      </c>
    </row>
    <row r="1423" spans="1:4" x14ac:dyDescent="0.2">
      <c r="A1423" s="5">
        <v>1362</v>
      </c>
      <c r="B1423" s="138">
        <f>'Expenditures 15-22'!D246</f>
        <v>14859</v>
      </c>
      <c r="D1423" s="2" t="str">
        <f t="shared" si="21"/>
        <v>Error?</v>
      </c>
    </row>
    <row r="1424" spans="1:4" x14ac:dyDescent="0.2">
      <c r="A1424" s="5">
        <v>1363</v>
      </c>
      <c r="B1424" s="138">
        <f>'Expenditures 15-22'!D257</f>
        <v>55228</v>
      </c>
      <c r="C1424" s="2" t="s">
        <v>593</v>
      </c>
      <c r="D1424" s="2" t="str">
        <f t="shared" si="21"/>
        <v>Error?</v>
      </c>
    </row>
    <row r="1425" spans="1:4" x14ac:dyDescent="0.2">
      <c r="A1425" s="5">
        <v>1364</v>
      </c>
      <c r="B1425" s="138">
        <f>'Expenditures 15-22'!D259</f>
        <v>317812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317812</v>
      </c>
      <c r="C1427" s="2" t="s">
        <v>593</v>
      </c>
      <c r="D1427" s="2" t="str">
        <f t="shared" si="21"/>
        <v>Error?</v>
      </c>
    </row>
    <row r="1428" spans="1:4" x14ac:dyDescent="0.2">
      <c r="A1428" s="5">
        <v>1367</v>
      </c>
      <c r="B1428" s="138">
        <f>'Expenditures 15-22'!D263</f>
        <v>22158</v>
      </c>
      <c r="D1428" s="2" t="str">
        <f t="shared" si="21"/>
        <v>Error?</v>
      </c>
    </row>
    <row r="1429" spans="1:4" x14ac:dyDescent="0.2">
      <c r="A1429" s="5">
        <v>1368</v>
      </c>
      <c r="B1429" s="138">
        <f>'Expenditures 15-22'!D264</f>
        <v>56601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995693</v>
      </c>
      <c r="D1431" s="2" t="str">
        <f t="shared" si="21"/>
        <v>Error?</v>
      </c>
    </row>
    <row r="1432" spans="1:4" x14ac:dyDescent="0.2">
      <c r="A1432" s="5">
        <v>1371</v>
      </c>
      <c r="B1432" s="138">
        <f>'Expenditures 15-22'!D267</f>
        <v>29310</v>
      </c>
      <c r="D1432" s="2" t="str">
        <f t="shared" si="21"/>
        <v>Error?</v>
      </c>
    </row>
    <row r="1433" spans="1:4" x14ac:dyDescent="0.2">
      <c r="A1433" s="5">
        <v>1372</v>
      </c>
      <c r="B1433" s="138">
        <f>'Expenditures 15-22'!D268</f>
        <v>352401</v>
      </c>
      <c r="D1433" s="2" t="str">
        <f t="shared" si="21"/>
        <v>Error?</v>
      </c>
    </row>
    <row r="1434" spans="1:4" x14ac:dyDescent="0.2">
      <c r="A1434" s="5">
        <v>1373</v>
      </c>
      <c r="B1434" s="138">
        <f>'Expenditures 15-22'!D269</f>
        <v>10524</v>
      </c>
      <c r="D1434" s="2" t="str">
        <f t="shared" si="21"/>
        <v>Error?</v>
      </c>
    </row>
    <row r="1435" spans="1:4" x14ac:dyDescent="0.2">
      <c r="A1435" s="10">
        <v>1374</v>
      </c>
      <c r="D1435" s="2" t="str">
        <f t="shared" si="21"/>
        <v>OK</v>
      </c>
    </row>
    <row r="1436" spans="1:4" x14ac:dyDescent="0.2">
      <c r="A1436" s="5">
        <v>1375</v>
      </c>
      <c r="B1436" s="138">
        <f>'Expenditures 15-22'!D270</f>
        <v>1466687</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12854</v>
      </c>
      <c r="D1439" s="2" t="str">
        <f t="shared" si="21"/>
        <v>Error?</v>
      </c>
    </row>
    <row r="1440" spans="1:4" x14ac:dyDescent="0.2">
      <c r="A1440" s="5">
        <v>1379</v>
      </c>
      <c r="B1440" s="138">
        <f>'Expenditures 15-22'!D275</f>
        <v>35236</v>
      </c>
      <c r="D1440" s="2" t="str">
        <f t="shared" si="21"/>
        <v>Error?</v>
      </c>
    </row>
    <row r="1441" spans="1:4" x14ac:dyDescent="0.2">
      <c r="A1441" s="10">
        <v>1380</v>
      </c>
      <c r="D1441" s="2" t="str">
        <f t="shared" si="21"/>
        <v>OK</v>
      </c>
    </row>
    <row r="1442" spans="1:4" x14ac:dyDescent="0.2">
      <c r="A1442" s="5">
        <v>1381</v>
      </c>
      <c r="B1442" s="138">
        <f>'Expenditures 15-22'!D276</f>
        <v>129819</v>
      </c>
      <c r="D1442" s="2" t="str">
        <f t="shared" si="21"/>
        <v>Error?</v>
      </c>
    </row>
    <row r="1443" spans="1:4" x14ac:dyDescent="0.2">
      <c r="A1443" s="10">
        <v>1382</v>
      </c>
      <c r="D1443" s="2" t="str">
        <f t="shared" si="21"/>
        <v>OK</v>
      </c>
    </row>
    <row r="1444" spans="1:4" x14ac:dyDescent="0.2">
      <c r="A1444" s="5">
        <v>1383</v>
      </c>
      <c r="B1444" s="138">
        <f>'Expenditures 15-22'!D277</f>
        <v>177909</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2201328</v>
      </c>
      <c r="C1446" s="2" t="s">
        <v>593</v>
      </c>
      <c r="D1446" s="2" t="str">
        <f t="shared" si="21"/>
        <v>Error?</v>
      </c>
    </row>
    <row r="1447" spans="1:4" x14ac:dyDescent="0.2">
      <c r="A1447" s="5">
        <v>1386</v>
      </c>
      <c r="B1447" s="138">
        <f>'Expenditures 15-22'!D280</f>
        <v>27028</v>
      </c>
      <c r="D1447" s="2" t="str">
        <f t="shared" si="21"/>
        <v>Error?</v>
      </c>
    </row>
    <row r="1448" spans="1:4" x14ac:dyDescent="0.2">
      <c r="A1448" s="5">
        <v>1387</v>
      </c>
      <c r="B1448" s="138">
        <f>'Expenditures 15-22'!D295</f>
        <v>4061725</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15604</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62</v>
      </c>
      <c r="C1471" s="2" t="s">
        <v>593</v>
      </c>
      <c r="D1471" s="2" t="str">
        <f t="shared" ref="D1471:D1534" si="22">IF(ISBLANK(B1471),"OK",IF(A1471-B1471=0,"OK","Error?"))</f>
        <v>Error?</v>
      </c>
    </row>
    <row r="1472" spans="1:4" x14ac:dyDescent="0.2">
      <c r="A1472" s="5">
        <v>1411</v>
      </c>
      <c r="B1472" s="138">
        <f>'Expenditures 15-22'!K223</f>
        <v>22592</v>
      </c>
      <c r="C1472" s="2" t="s">
        <v>593</v>
      </c>
      <c r="D1472" s="2" t="str">
        <f t="shared" si="22"/>
        <v>Error?</v>
      </c>
    </row>
    <row r="1473" spans="1:4" x14ac:dyDescent="0.2">
      <c r="A1473" s="5">
        <v>1412</v>
      </c>
      <c r="B1473" s="138">
        <f>'Expenditures 15-22'!K224</f>
        <v>11379</v>
      </c>
      <c r="C1473" s="2" t="s">
        <v>593</v>
      </c>
      <c r="D1473" s="2" t="str">
        <f t="shared" si="22"/>
        <v>Error?</v>
      </c>
    </row>
    <row r="1474" spans="1:4" x14ac:dyDescent="0.2">
      <c r="A1474" s="5">
        <v>1413</v>
      </c>
      <c r="B1474" s="138">
        <f>'Expenditures 15-22'!K229</f>
        <v>1833369</v>
      </c>
      <c r="C1474" s="2" t="s">
        <v>593</v>
      </c>
      <c r="D1474" s="2" t="str">
        <f t="shared" si="22"/>
        <v>Error?</v>
      </c>
    </row>
    <row r="1475" spans="1:4" x14ac:dyDescent="0.2">
      <c r="A1475" s="5">
        <v>1414</v>
      </c>
      <c r="B1475" s="138">
        <f>'Expenditures 15-22'!K232</f>
        <v>12476</v>
      </c>
      <c r="C1475" s="2" t="s">
        <v>593</v>
      </c>
      <c r="D1475" s="2" t="str">
        <f t="shared" si="22"/>
        <v>Error?</v>
      </c>
    </row>
    <row r="1476" spans="1:4" x14ac:dyDescent="0.2">
      <c r="A1476" s="5">
        <v>1415</v>
      </c>
      <c r="B1476" s="138">
        <f>'Expenditures 15-22'!K233</f>
        <v>38802</v>
      </c>
      <c r="C1476" s="2" t="s">
        <v>593</v>
      </c>
      <c r="D1476" s="2" t="str">
        <f t="shared" si="22"/>
        <v>Error?</v>
      </c>
    </row>
    <row r="1477" spans="1:4" x14ac:dyDescent="0.2">
      <c r="A1477" s="5">
        <v>1416</v>
      </c>
      <c r="B1477" s="138">
        <f>'Expenditures 15-22'!K234</f>
        <v>58739</v>
      </c>
      <c r="C1477" s="2" t="s">
        <v>593</v>
      </c>
      <c r="D1477" s="2" t="str">
        <f t="shared" si="22"/>
        <v>Error?</v>
      </c>
    </row>
    <row r="1478" spans="1:4" x14ac:dyDescent="0.2">
      <c r="A1478" s="5">
        <v>1417</v>
      </c>
      <c r="B1478" s="138">
        <f>'Expenditures 15-22'!K235</f>
        <v>10837</v>
      </c>
      <c r="C1478" s="2" t="s">
        <v>593</v>
      </c>
      <c r="D1478" s="2" t="str">
        <f t="shared" si="22"/>
        <v>Error?</v>
      </c>
    </row>
    <row r="1479" spans="1:4" x14ac:dyDescent="0.2">
      <c r="A1479" s="5">
        <v>1418</v>
      </c>
      <c r="B1479" s="138">
        <f>'Expenditures 15-22'!K236</f>
        <v>6249</v>
      </c>
      <c r="C1479" s="2" t="s">
        <v>593</v>
      </c>
      <c r="D1479" s="2" t="str">
        <f t="shared" si="22"/>
        <v>Error?</v>
      </c>
    </row>
    <row r="1480" spans="1:4" x14ac:dyDescent="0.2">
      <c r="A1480" s="5">
        <v>1419</v>
      </c>
      <c r="B1480" s="138">
        <f>'Expenditures 15-22'!K237</f>
        <v>171</v>
      </c>
      <c r="C1480" s="2" t="s">
        <v>593</v>
      </c>
      <c r="D1480" s="2" t="str">
        <f t="shared" si="22"/>
        <v>Error?</v>
      </c>
    </row>
    <row r="1481" spans="1:4" x14ac:dyDescent="0.2">
      <c r="A1481" s="5">
        <v>1420</v>
      </c>
      <c r="B1481" s="138">
        <f>'Expenditures 15-22'!K238</f>
        <v>127274</v>
      </c>
      <c r="C1481" s="2" t="s">
        <v>593</v>
      </c>
      <c r="D1481" s="2" t="str">
        <f t="shared" si="22"/>
        <v>Error?</v>
      </c>
    </row>
    <row r="1482" spans="1:4" x14ac:dyDescent="0.2">
      <c r="A1482" s="5">
        <v>1421</v>
      </c>
      <c r="B1482" s="138">
        <f>'Expenditures 15-22'!K240</f>
        <v>38325</v>
      </c>
      <c r="C1482" s="2" t="s">
        <v>593</v>
      </c>
      <c r="D1482" s="2" t="str">
        <f t="shared" si="22"/>
        <v>Error?</v>
      </c>
    </row>
    <row r="1483" spans="1:4" x14ac:dyDescent="0.2">
      <c r="A1483" s="5">
        <v>1422</v>
      </c>
      <c r="B1483" s="138">
        <f>'Expenditures 15-22'!K241</f>
        <v>18093</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56418</v>
      </c>
      <c r="C1485" s="2" t="s">
        <v>593</v>
      </c>
      <c r="D1485" s="2" t="str">
        <f t="shared" si="22"/>
        <v>Error?</v>
      </c>
    </row>
    <row r="1486" spans="1:4" x14ac:dyDescent="0.2">
      <c r="A1486" s="5">
        <v>1425</v>
      </c>
      <c r="B1486" s="138">
        <f>'Expenditures 15-22'!K245</f>
        <v>1074</v>
      </c>
      <c r="C1486" s="2" t="s">
        <v>593</v>
      </c>
      <c r="D1486" s="2" t="str">
        <f t="shared" si="22"/>
        <v>Error?</v>
      </c>
    </row>
    <row r="1487" spans="1:4" x14ac:dyDescent="0.2">
      <c r="A1487" s="5">
        <v>1426</v>
      </c>
      <c r="B1487" s="138">
        <f>'Expenditures 15-22'!K246</f>
        <v>14859</v>
      </c>
      <c r="C1487" s="2" t="s">
        <v>593</v>
      </c>
      <c r="D1487" s="2" t="str">
        <f t="shared" si="22"/>
        <v>Error?</v>
      </c>
    </row>
    <row r="1488" spans="1:4" x14ac:dyDescent="0.2">
      <c r="A1488" s="5">
        <v>1427</v>
      </c>
      <c r="B1488" s="138">
        <f>'Expenditures 15-22'!K257</f>
        <v>55228</v>
      </c>
      <c r="C1488" s="2" t="s">
        <v>593</v>
      </c>
      <c r="D1488" s="2" t="str">
        <f t="shared" si="22"/>
        <v>Error?</v>
      </c>
    </row>
    <row r="1489" spans="1:4" x14ac:dyDescent="0.2">
      <c r="A1489" s="5">
        <v>1428</v>
      </c>
      <c r="B1489" s="138">
        <f>'Expenditures 15-22'!K259</f>
        <v>317812</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317812</v>
      </c>
      <c r="C1491" s="2" t="s">
        <v>593</v>
      </c>
      <c r="D1491" s="2" t="str">
        <f t="shared" si="22"/>
        <v>Error?</v>
      </c>
    </row>
    <row r="1492" spans="1:4" x14ac:dyDescent="0.2">
      <c r="A1492" s="5">
        <v>1431</v>
      </c>
      <c r="B1492" s="138">
        <f>'Expenditures 15-22'!K263</f>
        <v>22158</v>
      </c>
      <c r="C1492" s="2" t="s">
        <v>593</v>
      </c>
      <c r="D1492" s="2" t="str">
        <f t="shared" si="22"/>
        <v>Error?</v>
      </c>
    </row>
    <row r="1493" spans="1:4" x14ac:dyDescent="0.2">
      <c r="A1493" s="5">
        <v>1432</v>
      </c>
      <c r="B1493" s="138">
        <f>'Expenditures 15-22'!K264</f>
        <v>56601</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995693</v>
      </c>
      <c r="C1495" s="2" t="s">
        <v>593</v>
      </c>
      <c r="D1495" s="2" t="str">
        <f t="shared" si="22"/>
        <v>Error?</v>
      </c>
    </row>
    <row r="1496" spans="1:4" x14ac:dyDescent="0.2">
      <c r="A1496" s="5">
        <v>1435</v>
      </c>
      <c r="B1496" s="138">
        <f>'Expenditures 15-22'!K267</f>
        <v>29310</v>
      </c>
      <c r="C1496" s="2" t="s">
        <v>593</v>
      </c>
      <c r="D1496" s="2" t="str">
        <f t="shared" si="22"/>
        <v>Error?</v>
      </c>
    </row>
    <row r="1497" spans="1:4" x14ac:dyDescent="0.2">
      <c r="A1497" s="5">
        <v>1436</v>
      </c>
      <c r="B1497" s="138">
        <f>'Expenditures 15-22'!K268</f>
        <v>352401</v>
      </c>
      <c r="C1497" s="2" t="s">
        <v>593</v>
      </c>
      <c r="D1497" s="2" t="str">
        <f t="shared" si="22"/>
        <v>Error?</v>
      </c>
    </row>
    <row r="1498" spans="1:4" x14ac:dyDescent="0.2">
      <c r="A1498" s="5">
        <v>1437</v>
      </c>
      <c r="B1498" s="138">
        <f>'Expenditures 15-22'!K269</f>
        <v>10524</v>
      </c>
      <c r="C1498" s="2" t="s">
        <v>593</v>
      </c>
      <c r="D1498" s="2" t="str">
        <f t="shared" si="22"/>
        <v>Error?</v>
      </c>
    </row>
    <row r="1499" spans="1:4" x14ac:dyDescent="0.2">
      <c r="A1499" s="10">
        <v>1438</v>
      </c>
      <c r="D1499" s="2" t="str">
        <f t="shared" si="22"/>
        <v>OK</v>
      </c>
    </row>
    <row r="1500" spans="1:4" x14ac:dyDescent="0.2">
      <c r="A1500" s="5">
        <v>1439</v>
      </c>
      <c r="B1500" s="138">
        <f>'Expenditures 15-22'!K270</f>
        <v>1466687</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12854</v>
      </c>
      <c r="C1503" s="2" t="s">
        <v>593</v>
      </c>
      <c r="D1503" s="2" t="str">
        <f t="shared" si="22"/>
        <v>Error?</v>
      </c>
    </row>
    <row r="1504" spans="1:4" x14ac:dyDescent="0.2">
      <c r="A1504" s="5">
        <v>1443</v>
      </c>
      <c r="B1504" s="138">
        <f>'Expenditures 15-22'!K275</f>
        <v>35236</v>
      </c>
      <c r="C1504" s="2" t="s">
        <v>593</v>
      </c>
      <c r="D1504" s="2" t="str">
        <f t="shared" si="22"/>
        <v>Error?</v>
      </c>
    </row>
    <row r="1505" spans="1:4" x14ac:dyDescent="0.2">
      <c r="A1505" s="10">
        <v>1444</v>
      </c>
      <c r="D1505" s="2" t="str">
        <f t="shared" si="22"/>
        <v>OK</v>
      </c>
    </row>
    <row r="1506" spans="1:4" x14ac:dyDescent="0.2">
      <c r="A1506" s="5">
        <v>1445</v>
      </c>
      <c r="B1506" s="138">
        <f>'Expenditures 15-22'!K276</f>
        <v>129819</v>
      </c>
      <c r="C1506" s="2" t="s">
        <v>593</v>
      </c>
      <c r="D1506" s="2" t="str">
        <f t="shared" si="22"/>
        <v>Error?</v>
      </c>
    </row>
    <row r="1507" spans="1:4" x14ac:dyDescent="0.2">
      <c r="A1507" s="10">
        <v>1446</v>
      </c>
      <c r="D1507" s="2" t="str">
        <f t="shared" si="22"/>
        <v>OK</v>
      </c>
    </row>
    <row r="1508" spans="1:4" x14ac:dyDescent="0.2">
      <c r="A1508" s="5">
        <v>1447</v>
      </c>
      <c r="B1508" s="138">
        <f>'Expenditures 15-22'!K277</f>
        <v>177909</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2201328</v>
      </c>
      <c r="C1510" s="2" t="s">
        <v>593</v>
      </c>
      <c r="D1510" s="2" t="str">
        <f t="shared" si="22"/>
        <v>Error?</v>
      </c>
    </row>
    <row r="1511" spans="1:4" x14ac:dyDescent="0.2">
      <c r="A1511" s="5">
        <v>1450</v>
      </c>
      <c r="B1511" s="138">
        <f>'Expenditures 15-22'!K280</f>
        <v>27028</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4061725</v>
      </c>
      <c r="C1517" s="2" t="s">
        <v>593</v>
      </c>
      <c r="D1517" s="2" t="str">
        <f t="shared" si="22"/>
        <v>Error?</v>
      </c>
    </row>
    <row r="1518" spans="1:4" x14ac:dyDescent="0.2">
      <c r="A1518" s="5">
        <v>1457</v>
      </c>
      <c r="B1518" s="138">
        <f>'Expenditures 15-22'!K296</f>
        <v>233088</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31180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31180</v>
      </c>
      <c r="C1535" s="2" t="s">
        <v>593</v>
      </c>
      <c r="D1535" s="2" t="str">
        <f t="shared" ref="D1535:D1598" si="23">IF(ISBLANK(B1535),"OK",IF(A1535-B1535=0,"OK","Error?"))</f>
        <v>Error?</v>
      </c>
    </row>
    <row r="1536" spans="1:4" x14ac:dyDescent="0.2">
      <c r="A1536" s="5">
        <v>1475</v>
      </c>
      <c r="B1536" s="138">
        <f>'Expenditures 15-22'!E312</f>
        <v>31180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306883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306883</v>
      </c>
      <c r="C1547" s="2" t="s">
        <v>593</v>
      </c>
      <c r="D1547" s="2" t="str">
        <f t="shared" si="23"/>
        <v>Error?</v>
      </c>
    </row>
    <row r="1548" spans="1:4" x14ac:dyDescent="0.2">
      <c r="A1548" s="5">
        <v>1487</v>
      </c>
      <c r="B1548" s="138">
        <f>'Expenditures 15-22'!G312</f>
        <v>306883</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338063</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338063</v>
      </c>
      <c r="C1559" s="2" t="s">
        <v>593</v>
      </c>
      <c r="D1559" s="2" t="str">
        <f t="shared" si="23"/>
        <v>Error?</v>
      </c>
    </row>
    <row r="1560" spans="1:4" x14ac:dyDescent="0.2">
      <c r="A1560" s="5">
        <v>1499</v>
      </c>
      <c r="B1560" s="138">
        <f>'Expenditures 15-22'!K312</f>
        <v>338063</v>
      </c>
      <c r="C1560" s="2" t="s">
        <v>593</v>
      </c>
      <c r="D1560" s="2" t="str">
        <f t="shared" si="23"/>
        <v>Error?</v>
      </c>
    </row>
    <row r="1561" spans="1:4" x14ac:dyDescent="0.2">
      <c r="A1561" s="5">
        <v>1500</v>
      </c>
      <c r="B1561" s="138">
        <f>'Expenditures 15-22'!K313</f>
        <v>-338010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6546415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10134524</v>
      </c>
      <c r="C1630" s="2" t="s">
        <v>593</v>
      </c>
      <c r="D1630" s="2" t="str">
        <f t="shared" si="24"/>
        <v>Error?</v>
      </c>
    </row>
    <row r="1631" spans="1:4" x14ac:dyDescent="0.2">
      <c r="A1631" s="5">
        <v>1570</v>
      </c>
      <c r="B1631" s="138">
        <f>'Acct Summary 7-8'!D79</f>
        <v>1194320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1269997</v>
      </c>
      <c r="C1644" s="2" t="s">
        <v>593</v>
      </c>
      <c r="D1644" s="2" t="str">
        <f t="shared" si="24"/>
        <v>Error?</v>
      </c>
    </row>
    <row r="1645" spans="1:4" x14ac:dyDescent="0.2">
      <c r="A1645" s="5">
        <v>1584</v>
      </c>
      <c r="B1645" s="138">
        <f>'Acct Summary 7-8'!E79</f>
        <v>11242737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11418340</v>
      </c>
      <c r="C1658" s="2" t="s">
        <v>593</v>
      </c>
      <c r="D1658" s="2" t="str">
        <f t="shared" si="24"/>
        <v>Error?</v>
      </c>
    </row>
    <row r="1659" spans="1:4" x14ac:dyDescent="0.2">
      <c r="A1659" s="5">
        <v>1598</v>
      </c>
      <c r="B1659" s="138">
        <f>'Acct Summary 7-8'!F79</f>
        <v>-317645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1107399</v>
      </c>
      <c r="C1672" s="2" t="s">
        <v>593</v>
      </c>
      <c r="D1672" s="2" t="str">
        <f t="shared" si="25"/>
        <v>Error?</v>
      </c>
    </row>
    <row r="1673" spans="1:4" x14ac:dyDescent="0.2">
      <c r="A1673" s="5">
        <v>1612</v>
      </c>
      <c r="B1673" s="138">
        <f>'Acct Summary 7-8'!G79</f>
        <v>1756888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1989976</v>
      </c>
      <c r="C1686" s="2" t="s">
        <v>593</v>
      </c>
      <c r="D1686" s="2" t="str">
        <f t="shared" si="25"/>
        <v>Error?</v>
      </c>
    </row>
    <row r="1687" spans="1:4" x14ac:dyDescent="0.2">
      <c r="A1687" s="5">
        <v>1626</v>
      </c>
      <c r="B1687" s="138">
        <f>'Acct Summary 7-8'!H79</f>
        <v>432169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94159</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59934058</v>
      </c>
      <c r="C1744" s="2" t="s">
        <v>593</v>
      </c>
      <c r="D1744" s="2" t="str">
        <f t="shared" si="26"/>
        <v>Error?</v>
      </c>
    </row>
    <row r="1745" spans="1:5" x14ac:dyDescent="0.2">
      <c r="A1745" s="5">
        <v>1684</v>
      </c>
      <c r="B1745" s="138">
        <f>'Tax Sched 23'!B5</f>
        <v>11017285</v>
      </c>
      <c r="C1745" s="2" t="s">
        <v>593</v>
      </c>
      <c r="D1745" s="2" t="str">
        <f t="shared" si="26"/>
        <v>Error?</v>
      </c>
    </row>
    <row r="1746" spans="1:5" x14ac:dyDescent="0.2">
      <c r="A1746" s="5">
        <v>1685</v>
      </c>
      <c r="B1746" s="138">
        <f>'Tax Sched 23'!B6</f>
        <v>21794186</v>
      </c>
      <c r="C1746" s="2" t="s">
        <v>593</v>
      </c>
      <c r="D1746" s="2" t="str">
        <f t="shared" si="26"/>
        <v>Error?</v>
      </c>
    </row>
    <row r="1747" spans="1:5" x14ac:dyDescent="0.2">
      <c r="A1747" s="5">
        <v>1686</v>
      </c>
      <c r="B1747" s="138">
        <f>'Tax Sched 23'!B7</f>
        <v>4406913</v>
      </c>
      <c r="C1747" s="2" t="s">
        <v>593</v>
      </c>
      <c r="D1747" s="2" t="str">
        <f t="shared" si="26"/>
        <v>Error?</v>
      </c>
    </row>
    <row r="1748" spans="1:5" x14ac:dyDescent="0.2">
      <c r="A1748" s="5">
        <v>1687</v>
      </c>
      <c r="B1748" s="138">
        <f>'Tax Sched 23'!B8</f>
        <v>1912008</v>
      </c>
      <c r="C1748" s="2" t="s">
        <v>593</v>
      </c>
      <c r="D1748" s="2" t="str">
        <f t="shared" si="26"/>
        <v>Error?</v>
      </c>
    </row>
    <row r="1749" spans="1:5" x14ac:dyDescent="0.2">
      <c r="A1749" s="5">
        <v>1688</v>
      </c>
      <c r="B1749" s="138">
        <f>'Tax Sched 23'!B10</f>
        <v>1101727</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5282171</v>
      </c>
      <c r="C1752" s="2" t="s">
        <v>593</v>
      </c>
      <c r="D1752" s="2" t="str">
        <f t="shared" si="26"/>
        <v>Error?</v>
      </c>
    </row>
    <row r="1753" spans="1:5" x14ac:dyDescent="0.2">
      <c r="A1753" s="5">
        <v>1692</v>
      </c>
      <c r="B1753" s="138">
        <f>'Tax Sched 23'!B12</f>
        <v>1101726</v>
      </c>
      <c r="C1753" s="2" t="s">
        <v>593</v>
      </c>
      <c r="D1753" s="2" t="str">
        <f t="shared" si="26"/>
        <v>Error?</v>
      </c>
    </row>
    <row r="1754" spans="1:5" x14ac:dyDescent="0.2">
      <c r="A1754" s="5">
        <v>1693</v>
      </c>
      <c r="B1754" s="138">
        <f>'Tax Sched 23'!B14</f>
        <v>881427</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110742647</v>
      </c>
      <c r="C1759" s="2" t="s">
        <v>593</v>
      </c>
      <c r="D1759" s="2" t="str">
        <f t="shared" si="26"/>
        <v>Error?</v>
      </c>
    </row>
    <row r="1760" spans="1:5" x14ac:dyDescent="0.2">
      <c r="A1760" s="5">
        <v>1699</v>
      </c>
      <c r="B1760" s="138">
        <f>'Tax Sched 23'!D4</f>
        <v>28685306</v>
      </c>
      <c r="C1760" s="2" t="s">
        <v>593</v>
      </c>
      <c r="D1760" s="2" t="str">
        <f t="shared" si="26"/>
        <v>Error?</v>
      </c>
    </row>
    <row r="1761" spans="1:5" x14ac:dyDescent="0.2">
      <c r="A1761" s="5">
        <v>1700</v>
      </c>
      <c r="B1761" s="138">
        <f>'Tax Sched 23'!D5</f>
        <v>5273029</v>
      </c>
      <c r="C1761" s="2" t="s">
        <v>593</v>
      </c>
      <c r="D1761" s="2" t="str">
        <f t="shared" si="26"/>
        <v>Error?</v>
      </c>
    </row>
    <row r="1762" spans="1:5" s="8" customFormat="1" x14ac:dyDescent="0.2">
      <c r="A1762" s="5">
        <v>1701</v>
      </c>
      <c r="B1762" s="138">
        <f>'Tax Sched 23'!D6</f>
        <v>10472143</v>
      </c>
      <c r="C1762" s="2" t="s">
        <v>593</v>
      </c>
      <c r="D1762" s="2" t="str">
        <f t="shared" si="26"/>
        <v>Error?</v>
      </c>
      <c r="E1762" s="9"/>
    </row>
    <row r="1763" spans="1:5" x14ac:dyDescent="0.2">
      <c r="A1763" s="5">
        <v>1702</v>
      </c>
      <c r="B1763" s="138">
        <f>'Tax Sched 23'!D7</f>
        <v>2109211</v>
      </c>
      <c r="C1763" s="2" t="s">
        <v>593</v>
      </c>
      <c r="D1763" s="2" t="str">
        <f t="shared" si="26"/>
        <v>Error?</v>
      </c>
    </row>
    <row r="1764" spans="1:5" x14ac:dyDescent="0.2">
      <c r="A1764" s="5">
        <v>1703</v>
      </c>
      <c r="B1764" s="138">
        <f>'Tax Sched 23'!D8</f>
        <v>868392</v>
      </c>
      <c r="C1764" s="2" t="s">
        <v>593</v>
      </c>
      <c r="D1764" s="2" t="str">
        <f t="shared" si="26"/>
        <v>Error?</v>
      </c>
    </row>
    <row r="1765" spans="1:5" x14ac:dyDescent="0.2">
      <c r="A1765" s="5">
        <v>1704</v>
      </c>
      <c r="B1765" s="138">
        <f>'Tax Sched 23'!D10</f>
        <v>527301</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2412111</v>
      </c>
      <c r="C1768" s="2" t="s">
        <v>593</v>
      </c>
      <c r="D1768" s="2" t="str">
        <f t="shared" si="26"/>
        <v>Error?</v>
      </c>
    </row>
    <row r="1769" spans="1:5" x14ac:dyDescent="0.2">
      <c r="A1769" s="5">
        <v>1708</v>
      </c>
      <c r="B1769" s="138">
        <f>'Tax Sched 23'!D12</f>
        <v>527300</v>
      </c>
      <c r="C1769" s="2" t="s">
        <v>593</v>
      </c>
      <c r="D1769" s="2" t="str">
        <f t="shared" si="26"/>
        <v>Error?</v>
      </c>
    </row>
    <row r="1770" spans="1:5" x14ac:dyDescent="0.2">
      <c r="A1770" s="5">
        <v>1709</v>
      </c>
      <c r="B1770" s="138">
        <f>'Tax Sched 23'!D14</f>
        <v>421887</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52885353</v>
      </c>
      <c r="C1775" s="2" t="s">
        <v>593</v>
      </c>
      <c r="D1775" s="2" t="str">
        <f t="shared" si="26"/>
        <v>Error?</v>
      </c>
    </row>
    <row r="1776" spans="1:5" x14ac:dyDescent="0.2">
      <c r="A1776" s="5">
        <v>1715</v>
      </c>
      <c r="B1776" s="138">
        <f>'Tax Sched 23'!C4</f>
        <v>31248752</v>
      </c>
      <c r="D1776" s="2" t="str">
        <f t="shared" si="26"/>
        <v>Error?</v>
      </c>
    </row>
    <row r="1777" spans="1:4" x14ac:dyDescent="0.2">
      <c r="A1777" s="5">
        <v>1716</v>
      </c>
      <c r="B1777" s="138">
        <f>'Tax Sched 23'!C5</f>
        <v>5744256</v>
      </c>
      <c r="D1777" s="2" t="str">
        <f t="shared" si="26"/>
        <v>Error?</v>
      </c>
    </row>
    <row r="1778" spans="1:4" x14ac:dyDescent="0.2">
      <c r="A1778" s="5">
        <v>1717</v>
      </c>
      <c r="B1778" s="138">
        <f>'Tax Sched 23'!C6</f>
        <v>11322043</v>
      </c>
      <c r="D1778" s="2" t="str">
        <f t="shared" si="26"/>
        <v>Error?</v>
      </c>
    </row>
    <row r="1779" spans="1:4" x14ac:dyDescent="0.2">
      <c r="A1779" s="5">
        <v>1718</v>
      </c>
      <c r="B1779" s="138">
        <f>'Tax Sched 23'!C7</f>
        <v>2297702</v>
      </c>
      <c r="D1779" s="2" t="str">
        <f t="shared" si="26"/>
        <v>Error?</v>
      </c>
    </row>
    <row r="1780" spans="1:4" x14ac:dyDescent="0.2">
      <c r="A1780" s="5">
        <v>1719</v>
      </c>
      <c r="B1780" s="138">
        <f>'Tax Sched 23'!C8</f>
        <v>1043616</v>
      </c>
      <c r="D1780" s="2" t="str">
        <f t="shared" si="26"/>
        <v>Error?</v>
      </c>
    </row>
    <row r="1781" spans="1:4" x14ac:dyDescent="0.2">
      <c r="A1781" s="5">
        <v>1720</v>
      </c>
      <c r="B1781" s="138">
        <f>'Tax Sched 23'!C10</f>
        <v>574426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2870060</v>
      </c>
      <c r="D1784" s="2" t="str">
        <f t="shared" si="26"/>
        <v>Error?</v>
      </c>
    </row>
    <row r="1785" spans="1:4" x14ac:dyDescent="0.2">
      <c r="A1785" s="5">
        <v>1724</v>
      </c>
      <c r="B1785" s="138">
        <f>'Tax Sched 23'!C12</f>
        <v>574426</v>
      </c>
      <c r="D1785" s="2" t="str">
        <f t="shared" si="26"/>
        <v>Error?</v>
      </c>
    </row>
    <row r="1786" spans="1:4" x14ac:dyDescent="0.2">
      <c r="A1786" s="5">
        <v>1725</v>
      </c>
      <c r="B1786" s="138">
        <f>'Tax Sched 23'!C14</f>
        <v>459540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57857294</v>
      </c>
      <c r="C1791" s="2" t="s">
        <v>593</v>
      </c>
      <c r="D1791" s="2" t="str">
        <f t="shared" ref="D1791:D1854" si="27">IF(ISBLANK(B1791),"OK",IF(A1791-B1791=0,"OK","Error?"))</f>
        <v>Error?</v>
      </c>
    </row>
    <row r="1792" spans="1:4" x14ac:dyDescent="0.2">
      <c r="A1792" s="5">
        <v>1731</v>
      </c>
      <c r="B1792" s="138">
        <f>'Tax Sched 23'!F4</f>
        <v>28589157</v>
      </c>
      <c r="C1792" s="2" t="s">
        <v>593</v>
      </c>
      <c r="D1792" s="2" t="str">
        <f t="shared" si="27"/>
        <v>Error?</v>
      </c>
    </row>
    <row r="1793" spans="1:4" x14ac:dyDescent="0.2">
      <c r="A1793" s="5">
        <v>1732</v>
      </c>
      <c r="B1793" s="138">
        <f>'Tax Sched 23'!F5</f>
        <v>5255360</v>
      </c>
      <c r="C1793" s="2" t="s">
        <v>593</v>
      </c>
      <c r="D1793" s="2" t="str">
        <f t="shared" si="27"/>
        <v>Error?</v>
      </c>
    </row>
    <row r="1794" spans="1:4" x14ac:dyDescent="0.2">
      <c r="A1794" s="5">
        <v>1733</v>
      </c>
      <c r="B1794" s="138">
        <f>'Tax Sched 23'!F6</f>
        <v>10358419</v>
      </c>
      <c r="C1794" s="2" t="s">
        <v>593</v>
      </c>
      <c r="D1794" s="2" t="str">
        <f t="shared" si="27"/>
        <v>Error?</v>
      </c>
    </row>
    <row r="1795" spans="1:4" x14ac:dyDescent="0.2">
      <c r="A1795" s="5">
        <v>1734</v>
      </c>
      <c r="B1795" s="138">
        <f>'Tax Sched 23'!F7</f>
        <v>2102144</v>
      </c>
      <c r="C1795" s="2" t="s">
        <v>593</v>
      </c>
      <c r="D1795" s="2" t="str">
        <f t="shared" si="27"/>
        <v>Error?</v>
      </c>
    </row>
    <row r="1796" spans="1:4" x14ac:dyDescent="0.2">
      <c r="A1796" s="5">
        <v>1735</v>
      </c>
      <c r="B1796" s="138">
        <f>'Tax Sched 23'!F8</f>
        <v>954794</v>
      </c>
      <c r="C1796" s="2" t="s">
        <v>593</v>
      </c>
      <c r="D1796" s="2" t="str">
        <f t="shared" si="27"/>
        <v>Error?</v>
      </c>
    </row>
    <row r="1797" spans="1:4" x14ac:dyDescent="0.2">
      <c r="A1797" s="5">
        <v>1736</v>
      </c>
      <c r="B1797" s="138">
        <f>'Tax Sched 23'!F10</f>
        <v>525536</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2625788</v>
      </c>
      <c r="C1800" s="2" t="s">
        <v>593</v>
      </c>
      <c r="D1800" s="2" t="str">
        <f t="shared" si="27"/>
        <v>Error?</v>
      </c>
    </row>
    <row r="1801" spans="1:4" x14ac:dyDescent="0.2">
      <c r="A1801" s="5">
        <v>1740</v>
      </c>
      <c r="B1801" s="138">
        <f>'Tax Sched 23'!F12</f>
        <v>525536</v>
      </c>
      <c r="C1801" s="2" t="s">
        <v>593</v>
      </c>
      <c r="D1801" s="2" t="str">
        <f t="shared" si="27"/>
        <v>Error?</v>
      </c>
    </row>
    <row r="1802" spans="1:4" x14ac:dyDescent="0.2">
      <c r="A1802" s="5">
        <v>1741</v>
      </c>
      <c r="B1802" s="138">
        <f>'Tax Sched 23'!F14</f>
        <v>420429</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52933035</v>
      </c>
      <c r="C1807" s="2" t="s">
        <v>593</v>
      </c>
      <c r="D1807" s="2" t="str">
        <f t="shared" si="27"/>
        <v>Error?</v>
      </c>
    </row>
    <row r="1808" spans="1:4" x14ac:dyDescent="0.2">
      <c r="A1808" s="5">
        <v>1747</v>
      </c>
      <c r="B1808" s="138">
        <f>'Tax Sched 23'!E4</f>
        <v>59837909</v>
      </c>
      <c r="D1808" s="2" t="str">
        <f t="shared" si="27"/>
        <v>Error?</v>
      </c>
    </row>
    <row r="1809" spans="1:4" x14ac:dyDescent="0.2">
      <c r="A1809" s="5">
        <v>1748</v>
      </c>
      <c r="B1809" s="138">
        <f>'Tax Sched 23'!E5</f>
        <v>10999616</v>
      </c>
      <c r="D1809" s="2" t="str">
        <f t="shared" si="27"/>
        <v>Error?</v>
      </c>
    </row>
    <row r="1810" spans="1:4" x14ac:dyDescent="0.2">
      <c r="A1810" s="5">
        <v>1749</v>
      </c>
      <c r="B1810" s="138">
        <f>'Tax Sched 23'!E6</f>
        <v>21680462</v>
      </c>
      <c r="D1810" s="2" t="str">
        <f t="shared" si="27"/>
        <v>Error?</v>
      </c>
    </row>
    <row r="1811" spans="1:4" x14ac:dyDescent="0.2">
      <c r="A1811" s="5">
        <v>1750</v>
      </c>
      <c r="B1811" s="138">
        <f>'Tax Sched 23'!E7</f>
        <v>4399846</v>
      </c>
      <c r="D1811" s="2" t="str">
        <f t="shared" si="27"/>
        <v>Error?</v>
      </c>
    </row>
    <row r="1812" spans="1:4" x14ac:dyDescent="0.2">
      <c r="A1812" s="5">
        <v>1751</v>
      </c>
      <c r="B1812" s="138">
        <f>'Tax Sched 23'!E8</f>
        <v>1998410</v>
      </c>
      <c r="D1812" s="2" t="str">
        <f t="shared" si="27"/>
        <v>Error?</v>
      </c>
    </row>
    <row r="1813" spans="1:4" x14ac:dyDescent="0.2">
      <c r="A1813" s="5">
        <v>1752</v>
      </c>
      <c r="B1813" s="138">
        <f>'Tax Sched 23'!E10</f>
        <v>1099962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5495848</v>
      </c>
      <c r="D1816" s="2" t="str">
        <f t="shared" si="27"/>
        <v>Error?</v>
      </c>
    </row>
    <row r="1817" spans="1:4" x14ac:dyDescent="0.2">
      <c r="A1817" s="5">
        <v>1756</v>
      </c>
      <c r="B1817" s="138">
        <f>'Tax Sched 23'!E12</f>
        <v>1099962</v>
      </c>
      <c r="D1817" s="2" t="str">
        <f t="shared" si="27"/>
        <v>Error?</v>
      </c>
    </row>
    <row r="1818" spans="1:4" x14ac:dyDescent="0.2">
      <c r="A1818" s="5">
        <v>1757</v>
      </c>
      <c r="B1818" s="138">
        <f>'Tax Sched 23'!E14</f>
        <v>879969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110790329</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11000000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11000000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11000000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11000000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137750149</v>
      </c>
      <c r="C1939" s="2" t="s">
        <v>593</v>
      </c>
      <c r="D1939" s="2" t="str">
        <f t="shared" si="29"/>
        <v>Error?</v>
      </c>
    </row>
    <row r="1940" spans="1:5" x14ac:dyDescent="0.2">
      <c r="A1940" s="5">
        <v>1879</v>
      </c>
      <c r="B1940" s="138">
        <f>'Short-Term Long-Term Debt 24'!F49</f>
        <v>13046124</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881427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881427</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881427</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2960561</v>
      </c>
      <c r="D2008" s="2" t="str">
        <f t="shared" si="30"/>
        <v>Error?</v>
      </c>
    </row>
    <row r="2009" spans="1:4" x14ac:dyDescent="0.2">
      <c r="A2009" s="5">
        <v>1948</v>
      </c>
      <c r="B2009" s="138">
        <f>'Cap Outlay Deprec 26'!C8</f>
        <v>219435726</v>
      </c>
      <c r="D2009" s="2" t="str">
        <f t="shared" si="30"/>
        <v>Error?</v>
      </c>
    </row>
    <row r="2010" spans="1:4" x14ac:dyDescent="0.2">
      <c r="A2010" s="5">
        <v>1949</v>
      </c>
      <c r="B2010" s="138">
        <f>'Cap Outlay Deprec 26'!C10</f>
        <v>63015575</v>
      </c>
      <c r="D2010" s="2" t="str">
        <f t="shared" si="30"/>
        <v>Error?</v>
      </c>
    </row>
    <row r="2011" spans="1:4" x14ac:dyDescent="0.2">
      <c r="A2011" s="5">
        <v>1950</v>
      </c>
      <c r="B2011" s="138">
        <f>'Cap Outlay Deprec 26'!C12</f>
        <v>21556617</v>
      </c>
      <c r="D2011" s="2" t="str">
        <f t="shared" si="30"/>
        <v>Error?</v>
      </c>
    </row>
    <row r="2012" spans="1:4" x14ac:dyDescent="0.2">
      <c r="A2012" s="5">
        <v>1951</v>
      </c>
      <c r="B2012" s="138">
        <f>'Cap Outlay Deprec 26'!C13</f>
        <v>18570952</v>
      </c>
      <c r="D2012" s="2" t="str">
        <f t="shared" si="30"/>
        <v>Error?</v>
      </c>
    </row>
    <row r="2013" spans="1:4" x14ac:dyDescent="0.2">
      <c r="A2013" s="5">
        <v>1952</v>
      </c>
      <c r="B2013" s="138">
        <f>'Cap Outlay Deprec 26'!C16</f>
        <v>327554025</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6948662</v>
      </c>
      <c r="D2016" s="2" t="str">
        <f t="shared" si="30"/>
        <v>Error?</v>
      </c>
    </row>
    <row r="2017" spans="1:4" x14ac:dyDescent="0.2">
      <c r="A2017" s="5">
        <v>1956</v>
      </c>
      <c r="B2017" s="138">
        <f>'Cap Outlay Deprec 26'!D12</f>
        <v>3746040</v>
      </c>
      <c r="D2017" s="2" t="str">
        <f t="shared" si="30"/>
        <v>Error?</v>
      </c>
    </row>
    <row r="2018" spans="1:4" x14ac:dyDescent="0.2">
      <c r="A2018" s="5">
        <v>1957</v>
      </c>
      <c r="B2018" s="138">
        <f>'Cap Outlay Deprec 26'!D13</f>
        <v>211890</v>
      </c>
      <c r="D2018" s="2" t="str">
        <f t="shared" si="30"/>
        <v>Error?</v>
      </c>
    </row>
    <row r="2019" spans="1:4" x14ac:dyDescent="0.2">
      <c r="A2019" s="5">
        <v>1958</v>
      </c>
      <c r="B2019" s="138">
        <f>'Cap Outlay Deprec 26'!D16</f>
        <v>12991760</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45810</v>
      </c>
      <c r="D2023" s="2" t="str">
        <f t="shared" si="30"/>
        <v>Error?</v>
      </c>
    </row>
    <row r="2024" spans="1:4" x14ac:dyDescent="0.2">
      <c r="A2024" s="5">
        <v>1963</v>
      </c>
      <c r="B2024" s="138">
        <f>'Cap Outlay Deprec 26'!E13</f>
        <v>2354470</v>
      </c>
      <c r="D2024" s="2" t="str">
        <f t="shared" si="30"/>
        <v>Error?</v>
      </c>
    </row>
    <row r="2025" spans="1:4" x14ac:dyDescent="0.2">
      <c r="A2025" s="5">
        <v>1964</v>
      </c>
      <c r="B2025" s="138">
        <f>'Cap Outlay Deprec 26'!E16</f>
        <v>5745870</v>
      </c>
      <c r="C2025" s="2" t="s">
        <v>593</v>
      </c>
      <c r="D2025" s="2" t="str">
        <f t="shared" si="30"/>
        <v>Error?</v>
      </c>
    </row>
    <row r="2026" spans="1:4" x14ac:dyDescent="0.2">
      <c r="A2026" s="5">
        <v>1965</v>
      </c>
      <c r="B2026" s="138">
        <f>'Cap Outlay Deprec 26'!F5</f>
        <v>2960561</v>
      </c>
      <c r="C2026" s="2" t="s">
        <v>593</v>
      </c>
      <c r="D2026" s="2" t="str">
        <f t="shared" si="30"/>
        <v>Error?</v>
      </c>
    </row>
    <row r="2027" spans="1:4" x14ac:dyDescent="0.2">
      <c r="A2027" s="5">
        <v>1966</v>
      </c>
      <c r="B2027" s="138">
        <f>'Cap Outlay Deprec 26'!F8</f>
        <v>219435726</v>
      </c>
      <c r="C2027" s="2" t="s">
        <v>593</v>
      </c>
      <c r="D2027" s="2" t="str">
        <f t="shared" si="30"/>
        <v>Error?</v>
      </c>
    </row>
    <row r="2028" spans="1:4" x14ac:dyDescent="0.2">
      <c r="A2028" s="5">
        <v>1967</v>
      </c>
      <c r="B2028" s="138">
        <f>'Cap Outlay Deprec 26'!F10</f>
        <v>69964237</v>
      </c>
      <c r="C2028" s="2" t="s">
        <v>593</v>
      </c>
      <c r="D2028" s="2" t="str">
        <f t="shared" si="30"/>
        <v>Error?</v>
      </c>
    </row>
    <row r="2029" spans="1:4" x14ac:dyDescent="0.2">
      <c r="A2029" s="5">
        <v>1968</v>
      </c>
      <c r="B2029" s="138">
        <f>'Cap Outlay Deprec 26'!F12</f>
        <v>25256847</v>
      </c>
      <c r="C2029" s="2" t="s">
        <v>593</v>
      </c>
      <c r="D2029" s="2" t="str">
        <f t="shared" si="30"/>
        <v>Error?</v>
      </c>
    </row>
    <row r="2030" spans="1:4" x14ac:dyDescent="0.2">
      <c r="A2030" s="5">
        <v>1969</v>
      </c>
      <c r="B2030" s="138">
        <f>'Cap Outlay Deprec 26'!F13</f>
        <v>16428372</v>
      </c>
      <c r="C2030" s="2" t="s">
        <v>593</v>
      </c>
      <c r="D2030" s="2" t="str">
        <f t="shared" si="30"/>
        <v>Error?</v>
      </c>
    </row>
    <row r="2031" spans="1:4" x14ac:dyDescent="0.2">
      <c r="A2031" s="5">
        <v>1970</v>
      </c>
      <c r="B2031" s="138">
        <f>'Cap Outlay Deprec 26'!F16</f>
        <v>334799915</v>
      </c>
      <c r="C2031" s="2" t="s">
        <v>593</v>
      </c>
      <c r="D2031" s="2" t="str">
        <f t="shared" si="30"/>
        <v>Error?</v>
      </c>
    </row>
    <row r="2032" spans="1:4" x14ac:dyDescent="0.2">
      <c r="A2032" s="10">
        <v>1971</v>
      </c>
      <c r="D2032" s="2" t="str">
        <f t="shared" si="30"/>
        <v>OK</v>
      </c>
    </row>
    <row r="2033" spans="1:4" x14ac:dyDescent="0.2">
      <c r="A2033" s="5">
        <v>1972</v>
      </c>
      <c r="B2033" s="138">
        <f>'Cap Outlay Deprec 26'!H8</f>
        <v>77260189</v>
      </c>
      <c r="D2033" s="2" t="str">
        <f t="shared" si="30"/>
        <v>Error?</v>
      </c>
    </row>
    <row r="2034" spans="1:4" x14ac:dyDescent="0.2">
      <c r="A2034" s="5">
        <v>1973</v>
      </c>
      <c r="B2034" s="138">
        <f>'Cap Outlay Deprec 26'!H10</f>
        <v>30046462</v>
      </c>
      <c r="D2034" s="2" t="str">
        <f t="shared" si="30"/>
        <v>Error?</v>
      </c>
    </row>
    <row r="2035" spans="1:4" x14ac:dyDescent="0.2">
      <c r="A2035" s="5">
        <v>1974</v>
      </c>
      <c r="B2035" s="138">
        <f>'Cap Outlay Deprec 26'!H12</f>
        <v>15990778</v>
      </c>
      <c r="D2035" s="2" t="str">
        <f t="shared" si="30"/>
        <v>Error?</v>
      </c>
    </row>
    <row r="2036" spans="1:4" x14ac:dyDescent="0.2">
      <c r="A2036" s="5">
        <v>1975</v>
      </c>
      <c r="B2036" s="138">
        <f>'Cap Outlay Deprec 26'!H13</f>
        <v>14400278</v>
      </c>
      <c r="D2036" s="2" t="str">
        <f t="shared" si="30"/>
        <v>Error?</v>
      </c>
    </row>
    <row r="2037" spans="1:4" x14ac:dyDescent="0.2">
      <c r="A2037" s="5">
        <v>1976</v>
      </c>
      <c r="B2037" s="138">
        <f>'Cap Outlay Deprec 26'!H16</f>
        <v>137792576</v>
      </c>
      <c r="C2037" s="2" t="s">
        <v>593</v>
      </c>
      <c r="D2037" s="2" t="str">
        <f t="shared" si="30"/>
        <v>Error?</v>
      </c>
    </row>
    <row r="2038" spans="1:4" x14ac:dyDescent="0.2">
      <c r="A2038" s="10">
        <v>1977</v>
      </c>
      <c r="D2038" s="2" t="str">
        <f t="shared" si="30"/>
        <v>OK</v>
      </c>
    </row>
    <row r="2039" spans="1:4" x14ac:dyDescent="0.2">
      <c r="A2039" s="5">
        <v>1978</v>
      </c>
      <c r="B2039" s="138">
        <f>'Cap Outlay Deprec 26'!I8</f>
        <v>4262732</v>
      </c>
      <c r="D2039" s="2" t="str">
        <f t="shared" si="30"/>
        <v>Error?</v>
      </c>
    </row>
    <row r="2040" spans="1:4" x14ac:dyDescent="0.2">
      <c r="A2040" s="5">
        <v>1979</v>
      </c>
      <c r="B2040" s="138">
        <f>'Cap Outlay Deprec 26'!I10</f>
        <v>1934236</v>
      </c>
      <c r="D2040" s="2" t="str">
        <f t="shared" si="30"/>
        <v>Error?</v>
      </c>
    </row>
    <row r="2041" spans="1:4" x14ac:dyDescent="0.2">
      <c r="A2041" s="5">
        <v>1980</v>
      </c>
      <c r="B2041" s="138">
        <f>'Cap Outlay Deprec 26'!I12</f>
        <v>941198</v>
      </c>
      <c r="D2041" s="2" t="str">
        <f t="shared" si="30"/>
        <v>Error?</v>
      </c>
    </row>
    <row r="2042" spans="1:4" x14ac:dyDescent="0.2">
      <c r="A2042" s="5">
        <v>1981</v>
      </c>
      <c r="B2042" s="138">
        <f>'Cap Outlay Deprec 26'!I13</f>
        <v>889790</v>
      </c>
      <c r="D2042" s="2" t="str">
        <f t="shared" si="30"/>
        <v>Error?</v>
      </c>
    </row>
    <row r="2043" spans="1:4" x14ac:dyDescent="0.2">
      <c r="A2043" s="5">
        <v>1982</v>
      </c>
      <c r="B2043" s="138">
        <f>'Cap Outlay Deprec 26'!I16</f>
        <v>8059580</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3264</v>
      </c>
      <c r="D2047" s="2" t="str">
        <f t="shared" ref="D2047:D2110" si="31">IF(ISBLANK(B2047),"OK",IF(A2047-B2047=0,"OK","Error?"))</f>
        <v>Error?</v>
      </c>
    </row>
    <row r="2048" spans="1:4" x14ac:dyDescent="0.2">
      <c r="A2048" s="5">
        <v>1987</v>
      </c>
      <c r="B2048" s="138">
        <f>'Cap Outlay Deprec 26'!J13</f>
        <v>2108914</v>
      </c>
      <c r="D2048" s="2" t="str">
        <f t="shared" si="31"/>
        <v>Error?</v>
      </c>
    </row>
    <row r="2049" spans="1:4" x14ac:dyDescent="0.2">
      <c r="A2049" s="5">
        <v>1988</v>
      </c>
      <c r="B2049" s="138">
        <f>'Cap Outlay Deprec 26'!J16</f>
        <v>2112178</v>
      </c>
      <c r="C2049" s="2" t="s">
        <v>593</v>
      </c>
      <c r="D2049" s="2" t="str">
        <f t="shared" si="31"/>
        <v>Error?</v>
      </c>
    </row>
    <row r="2050" spans="1:4" x14ac:dyDescent="0.2">
      <c r="A2050" s="10">
        <v>1989</v>
      </c>
      <c r="D2050" s="2" t="str">
        <f t="shared" si="31"/>
        <v>OK</v>
      </c>
    </row>
    <row r="2051" spans="1:4" x14ac:dyDescent="0.2">
      <c r="A2051" s="5">
        <v>1990</v>
      </c>
      <c r="B2051" s="138">
        <f>'Cap Outlay Deprec 26'!K8</f>
        <v>81522921</v>
      </c>
      <c r="C2051" s="2" t="s">
        <v>593</v>
      </c>
      <c r="D2051" s="2" t="str">
        <f t="shared" si="31"/>
        <v>Error?</v>
      </c>
    </row>
    <row r="2052" spans="1:4" x14ac:dyDescent="0.2">
      <c r="A2052" s="5">
        <v>1991</v>
      </c>
      <c r="B2052" s="138">
        <f>'Cap Outlay Deprec 26'!K10</f>
        <v>31980698</v>
      </c>
      <c r="C2052" s="2" t="s">
        <v>593</v>
      </c>
      <c r="D2052" s="2" t="str">
        <f t="shared" si="31"/>
        <v>Error?</v>
      </c>
    </row>
    <row r="2053" spans="1:4" x14ac:dyDescent="0.2">
      <c r="A2053" s="5">
        <v>1992</v>
      </c>
      <c r="B2053" s="138">
        <f>'Cap Outlay Deprec 26'!K12</f>
        <v>16928712</v>
      </c>
      <c r="C2053" s="2" t="s">
        <v>593</v>
      </c>
      <c r="D2053" s="2" t="str">
        <f t="shared" si="31"/>
        <v>Error?</v>
      </c>
    </row>
    <row r="2054" spans="1:4" x14ac:dyDescent="0.2">
      <c r="A2054" s="5">
        <v>1993</v>
      </c>
      <c r="B2054" s="138">
        <f>'Cap Outlay Deprec 26'!K13</f>
        <v>13181154</v>
      </c>
      <c r="C2054" s="2" t="s">
        <v>593</v>
      </c>
      <c r="D2054" s="2" t="str">
        <f t="shared" si="31"/>
        <v>Error?</v>
      </c>
    </row>
    <row r="2055" spans="1:4" x14ac:dyDescent="0.2">
      <c r="A2055" s="5">
        <v>1994</v>
      </c>
      <c r="B2055" s="138">
        <f>'Cap Outlay Deprec 26'!K16</f>
        <v>143739978</v>
      </c>
      <c r="C2055" s="2" t="s">
        <v>593</v>
      </c>
      <c r="D2055" s="2" t="str">
        <f t="shared" si="31"/>
        <v>Error?</v>
      </c>
    </row>
    <row r="2056" spans="1:4" x14ac:dyDescent="0.2">
      <c r="A2056" s="5">
        <v>1995</v>
      </c>
      <c r="B2056" s="138">
        <f>'Cap Outlay Deprec 26'!L5</f>
        <v>2960561</v>
      </c>
      <c r="C2056" s="2" t="s">
        <v>593</v>
      </c>
      <c r="D2056" s="2" t="str">
        <f t="shared" si="31"/>
        <v>Error?</v>
      </c>
    </row>
    <row r="2057" spans="1:4" x14ac:dyDescent="0.2">
      <c r="A2057" s="5">
        <v>1996</v>
      </c>
      <c r="B2057" s="138">
        <f>'Cap Outlay Deprec 26'!L8</f>
        <v>137912805</v>
      </c>
      <c r="C2057" s="2" t="s">
        <v>593</v>
      </c>
      <c r="D2057" s="2" t="str">
        <f t="shared" si="31"/>
        <v>Error?</v>
      </c>
    </row>
    <row r="2058" spans="1:4" x14ac:dyDescent="0.2">
      <c r="A2058" s="5">
        <v>1997</v>
      </c>
      <c r="B2058" s="138">
        <f>'Cap Outlay Deprec 26'!L10</f>
        <v>37983539</v>
      </c>
      <c r="C2058" s="2" t="s">
        <v>593</v>
      </c>
      <c r="D2058" s="2" t="str">
        <f t="shared" si="31"/>
        <v>Error?</v>
      </c>
    </row>
    <row r="2059" spans="1:4" x14ac:dyDescent="0.2">
      <c r="A2059" s="5">
        <v>1998</v>
      </c>
      <c r="B2059" s="138">
        <f>'Cap Outlay Deprec 26'!L12</f>
        <v>8328135</v>
      </c>
      <c r="C2059" s="2" t="s">
        <v>593</v>
      </c>
      <c r="D2059" s="2" t="str">
        <f t="shared" si="31"/>
        <v>Error?</v>
      </c>
    </row>
    <row r="2060" spans="1:4" x14ac:dyDescent="0.2">
      <c r="A2060" s="5">
        <v>1999</v>
      </c>
      <c r="B2060" s="138">
        <f>'Cap Outlay Deprec 26'!L13</f>
        <v>3247218</v>
      </c>
      <c r="C2060" s="2" t="s">
        <v>593</v>
      </c>
      <c r="D2060" s="2" t="str">
        <f t="shared" si="31"/>
        <v>Error?</v>
      </c>
    </row>
    <row r="2061" spans="1:4" x14ac:dyDescent="0.2">
      <c r="A2061" s="5">
        <v>2000</v>
      </c>
      <c r="B2061" s="138">
        <f>'Cap Outlay Deprec 26'!L16</f>
        <v>191059937</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62523</v>
      </c>
      <c r="C2088" s="2" t="s">
        <v>593</v>
      </c>
      <c r="D2088" s="2" t="str">
        <f t="shared" si="31"/>
        <v>Error?</v>
      </c>
    </row>
    <row r="2089" spans="1:4" x14ac:dyDescent="0.2">
      <c r="A2089" s="5">
        <v>2028</v>
      </c>
      <c r="B2089" s="138">
        <f>'Expenditures 15-22'!K92</f>
        <v>759196</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3500000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68742499</v>
      </c>
      <c r="C2551" s="2" t="s">
        <v>593</v>
      </c>
      <c r="D2551" s="2" t="str">
        <f t="shared" si="38"/>
        <v>Error?</v>
      </c>
    </row>
    <row r="2552" spans="1:4" x14ac:dyDescent="0.2">
      <c r="A2552" s="10">
        <v>2491</v>
      </c>
      <c r="D2552" s="2" t="str">
        <f t="shared" si="38"/>
        <v>OK</v>
      </c>
    </row>
    <row r="2553" spans="1:4" x14ac:dyDescent="0.2">
      <c r="A2553" s="5">
        <v>2492</v>
      </c>
      <c r="B2553" s="138">
        <f>'Acct Summary 7-8'!C6</f>
        <v>25990340</v>
      </c>
      <c r="C2553" s="2" t="s">
        <v>593</v>
      </c>
      <c r="D2553" s="2" t="str">
        <f t="shared" si="38"/>
        <v>Error?</v>
      </c>
    </row>
    <row r="2554" spans="1:4" x14ac:dyDescent="0.2">
      <c r="A2554" s="5">
        <v>2493</v>
      </c>
      <c r="B2554" s="138">
        <f>'Acct Summary 7-8'!C7</f>
        <v>8239572</v>
      </c>
      <c r="C2554" s="2" t="s">
        <v>593</v>
      </c>
      <c r="D2554" s="2" t="str">
        <f t="shared" si="38"/>
        <v>Error?</v>
      </c>
    </row>
    <row r="2555" spans="1:4" x14ac:dyDescent="0.2">
      <c r="A2555" s="5">
        <v>2494</v>
      </c>
      <c r="B2555" s="138">
        <f>'Acct Summary 7-8'!C8</f>
        <v>102972411</v>
      </c>
      <c r="C2555" s="2" t="s">
        <v>593</v>
      </c>
      <c r="D2555" s="2" t="str">
        <f t="shared" si="38"/>
        <v>Error?</v>
      </c>
    </row>
    <row r="2556" spans="1:4" x14ac:dyDescent="0.2">
      <c r="A2556" s="5">
        <v>2495</v>
      </c>
      <c r="B2556" s="138">
        <f>'Acct Summary 7-8'!C12</f>
        <v>73679687</v>
      </c>
      <c r="C2556" s="2" t="s">
        <v>593</v>
      </c>
      <c r="D2556" s="2" t="str">
        <f t="shared" si="38"/>
        <v>Error?</v>
      </c>
    </row>
    <row r="2557" spans="1:4" x14ac:dyDescent="0.2">
      <c r="A2557" s="5">
        <v>2496</v>
      </c>
      <c r="B2557" s="138">
        <f>'Acct Summary 7-8'!C13</f>
        <v>23276430</v>
      </c>
      <c r="C2557" s="2" t="s">
        <v>593</v>
      </c>
      <c r="D2557" s="2" t="str">
        <f t="shared" si="38"/>
        <v>Error?</v>
      </c>
    </row>
    <row r="2558" spans="1:4" x14ac:dyDescent="0.2">
      <c r="A2558" s="5">
        <v>2497</v>
      </c>
      <c r="B2558" s="138">
        <f>'Acct Summary 7-8'!C14</f>
        <v>459354</v>
      </c>
      <c r="C2558" s="2" t="s">
        <v>593</v>
      </c>
      <c r="D2558" s="2" t="str">
        <f t="shared" si="38"/>
        <v>Error?</v>
      </c>
    </row>
    <row r="2559" spans="1:4" x14ac:dyDescent="0.2">
      <c r="A2559" s="5">
        <v>2498</v>
      </c>
      <c r="B2559" s="138">
        <f>'Acct Summary 7-8'!C15</f>
        <v>822872</v>
      </c>
      <c r="C2559" s="2" t="s">
        <v>593</v>
      </c>
      <c r="D2559" s="2" t="str">
        <f t="shared" ref="D2559:D2622" si="39">IF(ISBLANK(B2559),"OK",IF(A2559-B2559=0,"OK","Error?"))</f>
        <v>Error?</v>
      </c>
    </row>
    <row r="2560" spans="1:4" x14ac:dyDescent="0.2">
      <c r="A2560" s="5">
        <v>2499</v>
      </c>
      <c r="B2560" s="138">
        <f>'Acct Summary 7-8'!C16</f>
        <v>80371</v>
      </c>
      <c r="C2560" s="2" t="s">
        <v>593</v>
      </c>
      <c r="D2560" s="2" t="str">
        <f t="shared" si="39"/>
        <v>Error?</v>
      </c>
    </row>
    <row r="2561" spans="1:4" x14ac:dyDescent="0.2">
      <c r="A2561" s="5">
        <v>2500</v>
      </c>
      <c r="B2561" s="138">
        <f>'Acct Summary 7-8'!C17</f>
        <v>98318714</v>
      </c>
      <c r="C2561" s="2" t="s">
        <v>593</v>
      </c>
      <c r="D2561" s="2" t="str">
        <f t="shared" si="39"/>
        <v>Error?</v>
      </c>
    </row>
    <row r="2562" spans="1:4" x14ac:dyDescent="0.2">
      <c r="A2562" s="5">
        <v>2501</v>
      </c>
      <c r="B2562" s="138">
        <f>'Acct Summary 7-8'!C20</f>
        <v>4653697</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12658490</v>
      </c>
      <c r="C2564" s="2" t="s">
        <v>593</v>
      </c>
      <c r="D2564" s="2" t="str">
        <f t="shared" si="39"/>
        <v>Error?</v>
      </c>
    </row>
    <row r="2565" spans="1:4" x14ac:dyDescent="0.2">
      <c r="A2565" s="10">
        <v>2504</v>
      </c>
      <c r="D2565" s="2" t="str">
        <f t="shared" si="39"/>
        <v>OK</v>
      </c>
    </row>
    <row r="2566" spans="1:4" x14ac:dyDescent="0.2">
      <c r="A2566" s="5">
        <v>2505</v>
      </c>
      <c r="B2566" s="138">
        <f>'Acct Summary 7-8'!D6</f>
        <v>216107</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12874597</v>
      </c>
      <c r="C2568" s="2" t="s">
        <v>593</v>
      </c>
      <c r="D2568" s="2" t="str">
        <f t="shared" si="39"/>
        <v>Error?</v>
      </c>
    </row>
    <row r="2569" spans="1:4" x14ac:dyDescent="0.2">
      <c r="A2569" s="5">
        <v>2508</v>
      </c>
      <c r="B2569" s="138">
        <f>'Acct Summary 7-8'!D13</f>
        <v>11902490</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11902490</v>
      </c>
      <c r="C2573" s="2" t="s">
        <v>593</v>
      </c>
      <c r="D2573" s="2" t="str">
        <f t="shared" si="39"/>
        <v>Error?</v>
      </c>
    </row>
    <row r="2574" spans="1:4" x14ac:dyDescent="0.2">
      <c r="A2574" s="5">
        <v>2513</v>
      </c>
      <c r="B2574" s="138">
        <f>'Acct Summary 7-8'!D20</f>
        <v>972107</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4423912</v>
      </c>
      <c r="C2591" s="2" t="s">
        <v>593</v>
      </c>
      <c r="D2591" s="2" t="str">
        <f t="shared" si="39"/>
        <v>Error?</v>
      </c>
    </row>
    <row r="2592" spans="1:4" x14ac:dyDescent="0.2">
      <c r="A2592" s="10">
        <v>2531</v>
      </c>
      <c r="D2592" s="2" t="str">
        <f t="shared" si="39"/>
        <v>OK</v>
      </c>
    </row>
    <row r="2593" spans="1:4" x14ac:dyDescent="0.2">
      <c r="A2593" s="5">
        <v>2532</v>
      </c>
      <c r="B2593" s="138">
        <f>'Acct Summary 7-8'!F6</f>
        <v>6684654</v>
      </c>
      <c r="C2593" s="2" t="s">
        <v>593</v>
      </c>
      <c r="D2593" s="2" t="str">
        <f t="shared" si="39"/>
        <v>Error?</v>
      </c>
    </row>
    <row r="2594" spans="1:4" x14ac:dyDescent="0.2">
      <c r="A2594" s="5">
        <v>2533</v>
      </c>
      <c r="B2594" s="138">
        <f>'Acct Summary 7-8'!F7</f>
        <v>121621</v>
      </c>
      <c r="C2594" s="2" t="s">
        <v>593</v>
      </c>
      <c r="D2594" s="2" t="str">
        <f t="shared" si="39"/>
        <v>Error?</v>
      </c>
    </row>
    <row r="2595" spans="1:4" x14ac:dyDescent="0.2">
      <c r="A2595" s="5">
        <v>2534</v>
      </c>
      <c r="B2595" s="138">
        <f>'Acct Summary 7-8'!F8</f>
        <v>11230187</v>
      </c>
      <c r="C2595" s="2" t="s">
        <v>593</v>
      </c>
      <c r="D2595" s="2" t="str">
        <f t="shared" si="39"/>
        <v>Error?</v>
      </c>
    </row>
    <row r="2596" spans="1:4" x14ac:dyDescent="0.2">
      <c r="A2596" s="5">
        <v>2535</v>
      </c>
      <c r="B2596" s="138">
        <f>'Acct Summary 7-8'!F13</f>
        <v>13364632</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13364632</v>
      </c>
      <c r="C2600" s="2" t="s">
        <v>593</v>
      </c>
      <c r="D2600" s="2" t="str">
        <f t="shared" si="39"/>
        <v>Error?</v>
      </c>
    </row>
    <row r="2601" spans="1:4" x14ac:dyDescent="0.2">
      <c r="A2601" s="5">
        <v>2540</v>
      </c>
      <c r="B2601" s="138">
        <f>'Acct Summary 7-8'!F20</f>
        <v>-2134445</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4294813</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4294813</v>
      </c>
      <c r="C2606" s="2" t="s">
        <v>593</v>
      </c>
      <c r="D2606" s="2" t="str">
        <f t="shared" si="39"/>
        <v>Error?</v>
      </c>
    </row>
    <row r="2607" spans="1:4" x14ac:dyDescent="0.2">
      <c r="A2607" s="5">
        <v>2546</v>
      </c>
      <c r="B2607" s="138">
        <f>'Acct Summary 7-8'!G12</f>
        <v>1833369</v>
      </c>
      <c r="C2607" s="2" t="s">
        <v>593</v>
      </c>
      <c r="D2607" s="2" t="str">
        <f t="shared" si="39"/>
        <v>Error?</v>
      </c>
    </row>
    <row r="2608" spans="1:4" x14ac:dyDescent="0.2">
      <c r="A2608" s="5">
        <v>2547</v>
      </c>
      <c r="B2608" s="138">
        <f>'Acct Summary 7-8'!G13</f>
        <v>2201328</v>
      </c>
      <c r="C2608" s="2" t="s">
        <v>593</v>
      </c>
      <c r="D2608" s="2" t="str">
        <f t="shared" si="39"/>
        <v>Error?</v>
      </c>
    </row>
    <row r="2609" spans="1:4" x14ac:dyDescent="0.2">
      <c r="A2609" s="5">
        <v>2548</v>
      </c>
      <c r="B2609" s="138">
        <f>'Acct Summary 7-8'!G14</f>
        <v>27028</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4061725</v>
      </c>
      <c r="C2612" s="2" t="s">
        <v>593</v>
      </c>
      <c r="D2612" s="2" t="str">
        <f t="shared" si="39"/>
        <v>Error?</v>
      </c>
    </row>
    <row r="2613" spans="1:4" x14ac:dyDescent="0.2">
      <c r="A2613" s="5">
        <v>2552</v>
      </c>
      <c r="B2613" s="138">
        <f>'Acct Summary 7-8'!G20</f>
        <v>233088</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21887598</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21887598</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24300976</v>
      </c>
      <c r="C2634" s="2" t="s">
        <v>593</v>
      </c>
      <c r="D2634" s="2" t="str">
        <f t="shared" si="40"/>
        <v>Error?</v>
      </c>
    </row>
    <row r="2635" spans="1:4" x14ac:dyDescent="0.2">
      <c r="A2635" s="5">
        <v>2574</v>
      </c>
      <c r="B2635" s="138">
        <f>'Acct Summary 7-8'!E17</f>
        <v>24300976</v>
      </c>
      <c r="C2635" s="2" t="s">
        <v>593</v>
      </c>
      <c r="D2635" s="2" t="str">
        <f t="shared" si="40"/>
        <v>Error?</v>
      </c>
    </row>
    <row r="2636" spans="1:4" x14ac:dyDescent="0.2">
      <c r="A2636" s="5">
        <v>2575</v>
      </c>
      <c r="B2636" s="138">
        <f>'Acct Summary 7-8'!E20</f>
        <v>-2413378</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53</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53</v>
      </c>
      <c r="C2658" s="2" t="s">
        <v>593</v>
      </c>
      <c r="D2658" s="2" t="str">
        <f t="shared" si="40"/>
        <v>Error?</v>
      </c>
    </row>
    <row r="2659" spans="1:4" x14ac:dyDescent="0.2">
      <c r="A2659" s="5">
        <v>2598</v>
      </c>
      <c r="B2659" s="138">
        <f>'Acct Summary 7-8'!H13</f>
        <v>338063</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338063</v>
      </c>
      <c r="C2661" s="2" t="s">
        <v>593</v>
      </c>
      <c r="D2661" s="2" t="str">
        <f t="shared" si="40"/>
        <v>Error?</v>
      </c>
    </row>
    <row r="2662" spans="1:4" x14ac:dyDescent="0.2">
      <c r="A2662" s="5">
        <v>2601</v>
      </c>
      <c r="B2662" s="138">
        <f>'Acct Summary 7-8'!H20</f>
        <v>-338010</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139826</v>
      </c>
      <c r="D2718" s="2" t="str">
        <f t="shared" si="41"/>
        <v>Error?</v>
      </c>
    </row>
    <row r="2719" spans="1:4" x14ac:dyDescent="0.2">
      <c r="A2719" s="5">
        <v>2658</v>
      </c>
      <c r="B2719" s="138">
        <f>'Expenditures 15-22'!D51</f>
        <v>28339</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168165</v>
      </c>
      <c r="C2724" s="2" t="s">
        <v>593</v>
      </c>
      <c r="D2724" s="2" t="str">
        <f t="shared" si="41"/>
        <v>Error?</v>
      </c>
    </row>
    <row r="2725" spans="1:4" x14ac:dyDescent="0.2">
      <c r="A2725" s="5">
        <v>2664</v>
      </c>
      <c r="B2725" s="138">
        <f>'Expenditures 15-22'!D247</f>
        <v>14208</v>
      </c>
      <c r="D2725" s="2" t="str">
        <f t="shared" si="41"/>
        <v>Error?</v>
      </c>
    </row>
    <row r="2726" spans="1:4" x14ac:dyDescent="0.2">
      <c r="A2726" s="5">
        <v>2665</v>
      </c>
      <c r="B2726" s="138">
        <f>'Expenditures 15-22'!K247</f>
        <v>14208</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62523</v>
      </c>
      <c r="C2789" s="2" t="s">
        <v>593</v>
      </c>
      <c r="D2789" s="2" t="str">
        <f t="shared" si="42"/>
        <v>Error?</v>
      </c>
    </row>
    <row r="2790" spans="1:4" x14ac:dyDescent="0.2">
      <c r="A2790" s="5">
        <v>2729</v>
      </c>
      <c r="B2790" s="138">
        <f>'Expenditures 15-22'!E102</f>
        <v>62523</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627679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16039519</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1965254</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16039519</v>
      </c>
      <c r="D2912" s="2" t="str">
        <f t="shared" si="44"/>
        <v>Error?</v>
      </c>
    </row>
    <row r="2913" spans="1:4" x14ac:dyDescent="0.2">
      <c r="A2913" s="5">
        <v>2852</v>
      </c>
      <c r="B2913" s="138">
        <f>'Assets-Liab 5-6'!I41</f>
        <v>16039519</v>
      </c>
      <c r="C2913" s="2" t="s">
        <v>593</v>
      </c>
      <c r="D2913" s="2" t="str">
        <f t="shared" si="44"/>
        <v>Error?</v>
      </c>
    </row>
    <row r="2914" spans="1:4" x14ac:dyDescent="0.2">
      <c r="A2914" s="5">
        <v>2853</v>
      </c>
      <c r="B2914" s="138">
        <f>'Assets-Liab 5-6'!L33</f>
        <v>1779723</v>
      </c>
      <c r="D2914" s="2" t="str">
        <f t="shared" si="44"/>
        <v>Error?</v>
      </c>
    </row>
    <row r="2915" spans="1:4" x14ac:dyDescent="0.2">
      <c r="A2915" s="10">
        <v>2854</v>
      </c>
      <c r="D2915" s="2" t="str">
        <f t="shared" si="44"/>
        <v>OK</v>
      </c>
    </row>
    <row r="2916" spans="1:4" x14ac:dyDescent="0.2">
      <c r="A2916" s="5">
        <v>2855</v>
      </c>
      <c r="B2916" s="138">
        <f>'Assets-Liab 5-6'!L34</f>
        <v>1779723</v>
      </c>
      <c r="C2916" s="2" t="s">
        <v>593</v>
      </c>
      <c r="D2916" s="2" t="str">
        <f t="shared" si="44"/>
        <v>Error?</v>
      </c>
    </row>
    <row r="2917" spans="1:4" x14ac:dyDescent="0.2">
      <c r="A2917" s="5">
        <v>2856</v>
      </c>
      <c r="B2917" s="138">
        <f>'Assets-Liab 5-6'!L41</f>
        <v>1965254</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62523</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62523</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1092262</v>
      </c>
      <c r="D3055" s="2" t="str">
        <f t="shared" si="46"/>
        <v>Error?</v>
      </c>
    </row>
    <row r="3056" spans="1:4" x14ac:dyDescent="0.2">
      <c r="A3056" s="5">
        <v>2995</v>
      </c>
      <c r="B3056" s="138">
        <f>'Expenditures 15-22'!D10</f>
        <v>254250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176168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1522680</v>
      </c>
      <c r="C3062" s="2" t="s">
        <v>593</v>
      </c>
      <c r="D3062" s="2" t="str">
        <f t="shared" si="46"/>
        <v>Error?</v>
      </c>
    </row>
    <row r="3063" spans="1:4" x14ac:dyDescent="0.2">
      <c r="A3063" s="10">
        <v>3002</v>
      </c>
      <c r="D3063" s="2" t="str">
        <f t="shared" si="46"/>
        <v>OK</v>
      </c>
    </row>
    <row r="3064" spans="1:4" x14ac:dyDescent="0.2">
      <c r="A3064" s="5">
        <v>3003</v>
      </c>
      <c r="B3064" s="138">
        <f>'Expenditures 15-22'!D219</f>
        <v>13869</v>
      </c>
      <c r="D3064" s="2" t="str">
        <f t="shared" si="46"/>
        <v>Error?</v>
      </c>
    </row>
    <row r="3065" spans="1:4" x14ac:dyDescent="0.2">
      <c r="A3065" s="5">
        <v>3004</v>
      </c>
      <c r="B3065" s="138">
        <f>'Expenditures 15-22'!K219</f>
        <v>13869</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185531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1182345</v>
      </c>
      <c r="C3225" s="2" t="s">
        <v>593</v>
      </c>
      <c r="D3225" s="2" t="str">
        <f t="shared" si="49"/>
        <v>Error?</v>
      </c>
    </row>
    <row r="3226" spans="1:4" x14ac:dyDescent="0.2">
      <c r="A3226" s="5">
        <v>3165</v>
      </c>
      <c r="B3226" s="138">
        <f>'Acct Summary 7-8'!I8</f>
        <v>1182345</v>
      </c>
      <c r="C3226" s="2" t="s">
        <v>593</v>
      </c>
      <c r="D3226" s="2" t="str">
        <f t="shared" si="49"/>
        <v>Error?</v>
      </c>
    </row>
    <row r="3227" spans="1:4" x14ac:dyDescent="0.2">
      <c r="A3227" s="5">
        <v>3166</v>
      </c>
      <c r="B3227" s="138">
        <f>'Acct Summary 7-8'!I20</f>
        <v>1182345</v>
      </c>
      <c r="C3227" s="2" t="s">
        <v>593</v>
      </c>
      <c r="D3227" s="2" t="str">
        <f t="shared" si="49"/>
        <v>Error?</v>
      </c>
    </row>
    <row r="3228" spans="1:4" x14ac:dyDescent="0.2">
      <c r="A3228" s="5">
        <v>3167</v>
      </c>
      <c r="B3228" s="138">
        <f>'Acct Summary 7-8'!C43</f>
        <v>623863</v>
      </c>
      <c r="D3228" s="2" t="str">
        <f t="shared" si="49"/>
        <v>Error?</v>
      </c>
    </row>
    <row r="3229" spans="1:4" x14ac:dyDescent="0.2">
      <c r="A3229" s="5">
        <v>3168</v>
      </c>
      <c r="B3229" s="138">
        <f>'Acct Summary 7-8'!C44</f>
        <v>625163</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1690751</v>
      </c>
      <c r="C3231" s="2" t="s">
        <v>593</v>
      </c>
      <c r="D3231" s="2" t="str">
        <f t="shared" si="49"/>
        <v>Error?</v>
      </c>
    </row>
    <row r="3232" spans="1:4" x14ac:dyDescent="0.2">
      <c r="A3232" s="5">
        <v>3171</v>
      </c>
      <c r="B3232" s="138">
        <f>'Acct Summary 7-8'!C77</f>
        <v>-1065588</v>
      </c>
      <c r="C3232" s="2" t="s">
        <v>593</v>
      </c>
      <c r="D3232" s="2" t="str">
        <f t="shared" si="49"/>
        <v>Error?</v>
      </c>
    </row>
    <row r="3233" spans="1:4" x14ac:dyDescent="0.2">
      <c r="A3233" s="5">
        <v>3172</v>
      </c>
      <c r="B3233" s="138">
        <f>'Acct Summary 7-8'!C78</f>
        <v>3588109</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1800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898230</v>
      </c>
      <c r="C3237" s="2" t="s">
        <v>593</v>
      </c>
      <c r="D3237" s="2" t="str">
        <f t="shared" si="49"/>
        <v>Error?</v>
      </c>
    </row>
    <row r="3238" spans="1:4" x14ac:dyDescent="0.2">
      <c r="A3238" s="5">
        <v>3177</v>
      </c>
      <c r="B3238" s="138">
        <f>'Acct Summary 7-8'!D77</f>
        <v>-896430</v>
      </c>
      <c r="C3238" s="2" t="s">
        <v>593</v>
      </c>
      <c r="D3238" s="2" t="str">
        <f t="shared" si="49"/>
        <v>Error?</v>
      </c>
    </row>
    <row r="3239" spans="1:4" x14ac:dyDescent="0.2">
      <c r="A3239" s="5">
        <v>3178</v>
      </c>
      <c r="B3239" s="138">
        <f>'Acct Summary 7-8'!D78</f>
        <v>75677</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58989</v>
      </c>
      <c r="D3251" s="2" t="str">
        <f t="shared" si="49"/>
        <v>Error?</v>
      </c>
    </row>
    <row r="3252" spans="1:4" x14ac:dyDescent="0.2">
      <c r="A3252" s="5">
        <v>3191</v>
      </c>
      <c r="B3252" s="138">
        <f>'Acct Summary 7-8'!F44</f>
        <v>3559489</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3559489</v>
      </c>
      <c r="C3255" s="2" t="s">
        <v>593</v>
      </c>
      <c r="D3255" s="2" t="str">
        <f t="shared" si="49"/>
        <v>Error?</v>
      </c>
    </row>
    <row r="3256" spans="1:4" x14ac:dyDescent="0.2">
      <c r="A3256" s="5">
        <v>3195</v>
      </c>
      <c r="B3256" s="138">
        <f>'Acct Summary 7-8'!F78</f>
        <v>1425044</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233088</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2588981</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2588981</v>
      </c>
      <c r="C3277" s="2" t="s">
        <v>593</v>
      </c>
      <c r="D3277" s="2" t="str">
        <f t="shared" si="50"/>
        <v>Error?</v>
      </c>
    </row>
    <row r="3278" spans="1:4" x14ac:dyDescent="0.2">
      <c r="A3278" s="5">
        <v>3217</v>
      </c>
      <c r="B3278" s="138">
        <f>'Acct Summary 7-8'!E78</f>
        <v>175603</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-338010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3500000</v>
      </c>
      <c r="C3317" s="2" t="s">
        <v>593</v>
      </c>
      <c r="D3317" s="2" t="str">
        <f t="shared" si="50"/>
        <v>Error?</v>
      </c>
    </row>
    <row r="3318" spans="1:4" x14ac:dyDescent="0.2">
      <c r="A3318" s="5">
        <v>3257</v>
      </c>
      <c r="B3318" s="138">
        <f>'Acct Summary 7-8'!I76</f>
        <v>3532136</v>
      </c>
      <c r="C3318" s="2" t="s">
        <v>593</v>
      </c>
      <c r="D3318" s="2" t="str">
        <f t="shared" si="50"/>
        <v>Error?</v>
      </c>
    </row>
    <row r="3319" spans="1:4" x14ac:dyDescent="0.2">
      <c r="A3319" s="5">
        <v>3258</v>
      </c>
      <c r="B3319" s="138">
        <f>'Acct Summary 7-8'!I77</f>
        <v>-32136</v>
      </c>
      <c r="C3319" s="2" t="s">
        <v>593</v>
      </c>
      <c r="D3319" s="2" t="str">
        <f t="shared" si="50"/>
        <v>Error?</v>
      </c>
    </row>
    <row r="3320" spans="1:4" x14ac:dyDescent="0.2">
      <c r="A3320" s="5">
        <v>3259</v>
      </c>
      <c r="B3320" s="138">
        <f>'Acct Summary 7-8'!I78</f>
        <v>1150209</v>
      </c>
      <c r="C3320" s="2" t="s">
        <v>593</v>
      </c>
      <c r="D3320" s="2" t="str">
        <f t="shared" si="50"/>
        <v>Error?</v>
      </c>
    </row>
    <row r="3321" spans="1:4" x14ac:dyDescent="0.2">
      <c r="A3321" s="5">
        <v>3260</v>
      </c>
      <c r="B3321" s="138">
        <f>'Acct Summary 7-8'!I79</f>
        <v>14889310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16039519</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16265908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3442016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140418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225106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3978872</v>
      </c>
      <c r="D3376" s="2" t="str">
        <f t="shared" si="51"/>
        <v>Error?</v>
      </c>
    </row>
    <row r="3377" spans="1:4" x14ac:dyDescent="0.2">
      <c r="A3377" s="5">
        <v>3316</v>
      </c>
      <c r="B3377" s="138">
        <f>'Expenditures 15-22'!H19</f>
        <v>60907</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24069100</v>
      </c>
      <c r="C3380" s="2" t="s">
        <v>593</v>
      </c>
      <c r="D3380" s="2" t="str">
        <f t="shared" si="51"/>
        <v>Error?</v>
      </c>
    </row>
    <row r="3381" spans="1:4" x14ac:dyDescent="0.2">
      <c r="A3381" s="5">
        <v>3320</v>
      </c>
      <c r="B3381" s="138">
        <f>'Expenditures 15-22'!K19</f>
        <v>60907</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591528</v>
      </c>
      <c r="D3387" s="2" t="str">
        <f t="shared" si="51"/>
        <v>Error?</v>
      </c>
    </row>
    <row r="3388" spans="1:4" x14ac:dyDescent="0.2">
      <c r="A3388" s="5">
        <v>3327</v>
      </c>
      <c r="B3388" s="138">
        <f>'Expenditures 15-22'!D217</f>
        <v>1178133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591528</v>
      </c>
      <c r="C3390" s="2" t="s">
        <v>593</v>
      </c>
      <c r="D3390" s="2" t="str">
        <f t="shared" si="51"/>
        <v>Error?</v>
      </c>
    </row>
    <row r="3391" spans="1:4" x14ac:dyDescent="0.2">
      <c r="A3391" s="5">
        <v>3330</v>
      </c>
      <c r="B3391" s="138">
        <f>'Expenditures 15-22'!K217</f>
        <v>1178133</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10129888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1269997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11418340</v>
      </c>
      <c r="D3417" s="2" t="str">
        <f t="shared" si="52"/>
        <v>Error?</v>
      </c>
    </row>
    <row r="3418" spans="1:4" x14ac:dyDescent="0.2">
      <c r="A3418" s="10">
        <v>3357</v>
      </c>
      <c r="D3418" s="2" t="str">
        <f t="shared" si="52"/>
        <v>OK</v>
      </c>
    </row>
    <row r="3419" spans="1:4" x14ac:dyDescent="0.2">
      <c r="A3419" s="5">
        <v>3358</v>
      </c>
      <c r="B3419" s="138">
        <f>'Assets-Liab 5-6'!F4</f>
        <v>1107399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1989976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94159</v>
      </c>
      <c r="D3425" s="2" t="str">
        <f t="shared" si="52"/>
        <v>Error?</v>
      </c>
    </row>
    <row r="3426" spans="1:4" x14ac:dyDescent="0.2">
      <c r="A3426" s="10">
        <v>3365</v>
      </c>
      <c r="D3426" s="2" t="str">
        <f t="shared" si="52"/>
        <v>OK</v>
      </c>
    </row>
    <row r="3427" spans="1:4" x14ac:dyDescent="0.2">
      <c r="A3427" s="5">
        <v>3366</v>
      </c>
      <c r="B3427" s="138">
        <f>'Assets-Liab 5-6'!I4</f>
        <v>16039519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1965254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2209419</v>
      </c>
      <c r="C3446" s="2" t="s">
        <v>593</v>
      </c>
      <c r="D3446" s="2" t="str">
        <f t="shared" si="52"/>
        <v>Error?</v>
      </c>
    </row>
    <row r="3447" spans="1:4" x14ac:dyDescent="0.2">
      <c r="A3447" s="5">
        <v>3386</v>
      </c>
      <c r="B3447" s="138">
        <f>'Tax Sched 23'!D16</f>
        <v>1061372</v>
      </c>
      <c r="C3447" s="2" t="s">
        <v>593</v>
      </c>
      <c r="D3447" s="2" t="str">
        <f t="shared" si="52"/>
        <v>Error?</v>
      </c>
    </row>
    <row r="3448" spans="1:4" x14ac:dyDescent="0.2">
      <c r="A3448" s="5">
        <v>3387</v>
      </c>
      <c r="B3448" s="138">
        <f>'Tax Sched 23'!C16</f>
        <v>1148047</v>
      </c>
      <c r="D3448" s="2" t="str">
        <f t="shared" si="52"/>
        <v>Error?</v>
      </c>
    </row>
    <row r="3449" spans="1:4" x14ac:dyDescent="0.2">
      <c r="A3449" s="5">
        <v>3388</v>
      </c>
      <c r="B3449" s="138">
        <f>'Tax Sched 23'!F16</f>
        <v>1050336</v>
      </c>
      <c r="C3449" s="2" t="s">
        <v>593</v>
      </c>
      <c r="D3449" s="2" t="str">
        <f t="shared" si="52"/>
        <v>Error?</v>
      </c>
    </row>
    <row r="3450" spans="1:4" x14ac:dyDescent="0.2">
      <c r="A3450" s="5">
        <v>3389</v>
      </c>
      <c r="B3450" s="138">
        <f>'Tax Sched 23'!E16</f>
        <v>2198383</v>
      </c>
      <c r="D3450" s="2" t="str">
        <f t="shared" si="52"/>
        <v>Error?</v>
      </c>
    </row>
    <row r="3451" spans="1:4" x14ac:dyDescent="0.2">
      <c r="A3451" s="5">
        <v>3390</v>
      </c>
      <c r="B3451" s="138">
        <f>'Cap Outlay Deprec 26'!C15</f>
        <v>1888101</v>
      </c>
      <c r="D3451" s="2" t="str">
        <f t="shared" si="52"/>
        <v>Error?</v>
      </c>
    </row>
    <row r="3452" spans="1:4" x14ac:dyDescent="0.2">
      <c r="A3452" s="5">
        <v>3391</v>
      </c>
      <c r="B3452" s="138">
        <f>'Cap Outlay Deprec 26'!D15</f>
        <v>2085168</v>
      </c>
      <c r="D3452" s="2" t="str">
        <f t="shared" si="52"/>
        <v>Error?</v>
      </c>
    </row>
    <row r="3453" spans="1:4" x14ac:dyDescent="0.2">
      <c r="A3453" s="5">
        <v>3392</v>
      </c>
      <c r="B3453" s="138">
        <f>'Cap Outlay Deprec 26'!E15</f>
        <v>3345590</v>
      </c>
      <c r="D3453" s="2" t="str">
        <f t="shared" si="52"/>
        <v>Error?</v>
      </c>
    </row>
    <row r="3454" spans="1:4" x14ac:dyDescent="0.2">
      <c r="A3454" s="5">
        <v>3393</v>
      </c>
      <c r="B3454" s="138">
        <f>'Cap Outlay Deprec 26'!F15</f>
        <v>627679</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627679</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1300</v>
      </c>
      <c r="D3530" s="2" t="str">
        <f t="shared" si="54"/>
        <v>Error?</v>
      </c>
    </row>
    <row r="3531" spans="1:4" x14ac:dyDescent="0.2">
      <c r="A3531" s="5">
        <v>3470</v>
      </c>
      <c r="B3531" s="138">
        <f>'Acct Summary 7-8'!D36</f>
        <v>1800</v>
      </c>
      <c r="D3531" s="2" t="str">
        <f t="shared" si="54"/>
        <v>Error?</v>
      </c>
    </row>
    <row r="3532" spans="1:4" x14ac:dyDescent="0.2">
      <c r="A3532" s="5">
        <v>3471</v>
      </c>
      <c r="B3532" s="138">
        <f>'Acct Summary 7-8'!F36</f>
        <v>500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1250533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10902824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12153357</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12153357</v>
      </c>
      <c r="D3567" s="2" t="str">
        <f t="shared" si="54"/>
        <v>Error?</v>
      </c>
    </row>
    <row r="3568" spans="1:4" x14ac:dyDescent="0.2">
      <c r="A3568" s="5">
        <v>3507</v>
      </c>
      <c r="B3568" s="138">
        <f>'Assets-Liab 5-6'!K41</f>
        <v>12153357</v>
      </c>
      <c r="C3568" s="2" t="s">
        <v>593</v>
      </c>
      <c r="D3568" s="2" t="str">
        <f t="shared" si="54"/>
        <v>Error?</v>
      </c>
    </row>
    <row r="3569" spans="1:4" x14ac:dyDescent="0.2">
      <c r="A3569" s="5">
        <v>3508</v>
      </c>
      <c r="B3569" s="138">
        <f>'Acct Summary 7-8'!K4</f>
        <v>1183338</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1183338</v>
      </c>
      <c r="C3571" s="2" t="s">
        <v>593</v>
      </c>
      <c r="D3571" s="2" t="str">
        <f t="shared" si="54"/>
        <v>Error?</v>
      </c>
    </row>
    <row r="3572" spans="1:4" x14ac:dyDescent="0.2">
      <c r="A3572" s="5">
        <v>3511</v>
      </c>
      <c r="B3572" s="138">
        <f>'Acct Summary 7-8'!K13</f>
        <v>5227708</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136281</v>
      </c>
      <c r="C3574" s="2" t="s">
        <v>593</v>
      </c>
      <c r="D3574" s="2" t="str">
        <f t="shared" si="54"/>
        <v>Error?</v>
      </c>
    </row>
    <row r="3575" spans="1:4" x14ac:dyDescent="0.2">
      <c r="A3575" s="5">
        <v>3514</v>
      </c>
      <c r="B3575" s="138">
        <f>'Acct Summary 7-8'!K17</f>
        <v>5363989</v>
      </c>
      <c r="C3575" s="2" t="s">
        <v>593</v>
      </c>
      <c r="D3575" s="2" t="str">
        <f t="shared" si="54"/>
        <v>Error?</v>
      </c>
    </row>
    <row r="3576" spans="1:4" x14ac:dyDescent="0.2">
      <c r="A3576" s="5">
        <v>3515</v>
      </c>
      <c r="B3576" s="138">
        <f>'Acct Summary 7-8'!K20</f>
        <v>-4180651</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8930000</v>
      </c>
      <c r="D3579" s="2" t="str">
        <f t="shared" si="54"/>
        <v>Error?</v>
      </c>
    </row>
    <row r="3580" spans="1:4" x14ac:dyDescent="0.2">
      <c r="A3580" s="5">
        <v>3519</v>
      </c>
      <c r="B3580" s="138">
        <f>'Acct Summary 7-8'!K34</f>
        <v>1208092</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10138092</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10138092</v>
      </c>
      <c r="C3587" s="2" t="s">
        <v>593</v>
      </c>
      <c r="D3587" s="2" t="str">
        <f t="shared" si="55"/>
        <v>Error?</v>
      </c>
    </row>
    <row r="3588" spans="1:4" x14ac:dyDescent="0.2">
      <c r="A3588" s="5">
        <v>3527</v>
      </c>
      <c r="B3588" s="138">
        <f>'Acct Summary 7-8'!K78</f>
        <v>5957441</v>
      </c>
      <c r="C3588" s="2" t="s">
        <v>593</v>
      </c>
      <c r="D3588" s="2" t="str">
        <f t="shared" si="55"/>
        <v>Error?</v>
      </c>
    </row>
    <row r="3589" spans="1:4" x14ac:dyDescent="0.2">
      <c r="A3589" s="5">
        <v>3528</v>
      </c>
      <c r="B3589" s="138">
        <f>'Acct Summary 7-8'!K79</f>
        <v>6195916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12153357</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356398</v>
      </c>
      <c r="D3631" s="2" t="str">
        <f t="shared" si="55"/>
        <v>Error?</v>
      </c>
    </row>
    <row r="3632" spans="1:4" x14ac:dyDescent="0.2">
      <c r="A3632" s="5">
        <v>3571</v>
      </c>
      <c r="B3632" s="138">
        <f>'Expenditures 15-22'!E349</f>
        <v>47211</v>
      </c>
      <c r="D3632" s="2" t="str">
        <f t="shared" si="55"/>
        <v>Error?</v>
      </c>
    </row>
    <row r="3633" spans="1:4" x14ac:dyDescent="0.2">
      <c r="A3633" s="5">
        <v>3572</v>
      </c>
      <c r="B3633" s="138">
        <f>'Expenditures 15-22'!E350</f>
        <v>403609</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403609</v>
      </c>
      <c r="C3635" s="2" t="s">
        <v>593</v>
      </c>
      <c r="D3635" s="2" t="str">
        <f t="shared" si="55"/>
        <v>Error?</v>
      </c>
    </row>
    <row r="3636" spans="1:4" x14ac:dyDescent="0.2">
      <c r="A3636" s="5">
        <v>3575</v>
      </c>
      <c r="B3636" s="138">
        <f>'Expenditures 15-22'!E367</f>
        <v>403609</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4824099</v>
      </c>
      <c r="D3646" s="2" t="str">
        <f t="shared" si="55"/>
        <v>Error?</v>
      </c>
    </row>
    <row r="3647" spans="1:4" x14ac:dyDescent="0.2">
      <c r="A3647" s="5">
        <v>3586</v>
      </c>
      <c r="B3647" s="138">
        <f>'Expenditures 15-22'!G350</f>
        <v>4824099</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4824099</v>
      </c>
      <c r="C3649" s="2" t="s">
        <v>593</v>
      </c>
      <c r="D3649" s="2" t="str">
        <f t="shared" si="56"/>
        <v>Error?</v>
      </c>
    </row>
    <row r="3650" spans="1:4" x14ac:dyDescent="0.2">
      <c r="A3650" s="5">
        <v>3589</v>
      </c>
      <c r="B3650" s="138">
        <f>'Expenditures 15-22'!G367</f>
        <v>4824099</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136281</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356398</v>
      </c>
      <c r="C3668" s="2" t="s">
        <v>593</v>
      </c>
      <c r="D3668" s="2" t="str">
        <f t="shared" si="56"/>
        <v>Error?</v>
      </c>
    </row>
    <row r="3669" spans="1:4" x14ac:dyDescent="0.2">
      <c r="A3669" s="5">
        <v>3608</v>
      </c>
      <c r="B3669" s="138">
        <f>'Expenditures 15-22'!K349</f>
        <v>4871310</v>
      </c>
      <c r="C3669" s="2" t="s">
        <v>593</v>
      </c>
      <c r="D3669" s="2" t="str">
        <f t="shared" si="56"/>
        <v>Error?</v>
      </c>
    </row>
    <row r="3670" spans="1:4" x14ac:dyDescent="0.2">
      <c r="A3670" s="5">
        <v>3609</v>
      </c>
      <c r="B3670" s="138">
        <f>'Expenditures 15-22'!K350</f>
        <v>5227708</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5227708</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5363989</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-4180651</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1101727</v>
      </c>
      <c r="C3725" s="2" t="s">
        <v>593</v>
      </c>
      <c r="D3725" s="2" t="str">
        <f t="shared" si="57"/>
        <v>Error?</v>
      </c>
    </row>
    <row r="3726" spans="1:4" x14ac:dyDescent="0.2">
      <c r="A3726" s="5">
        <v>3665</v>
      </c>
      <c r="B3726" s="138">
        <f>'Tax Sched 23'!D13</f>
        <v>527301</v>
      </c>
      <c r="C3726" s="2" t="s">
        <v>593</v>
      </c>
      <c r="D3726" s="2" t="str">
        <f t="shared" si="57"/>
        <v>Error?</v>
      </c>
    </row>
    <row r="3727" spans="1:4" x14ac:dyDescent="0.2">
      <c r="A3727" s="5">
        <v>3666</v>
      </c>
      <c r="B3727" s="138">
        <f>'Tax Sched 23'!C13</f>
        <v>574426</v>
      </c>
      <c r="D3727" s="2" t="str">
        <f t="shared" si="57"/>
        <v>Error?</v>
      </c>
    </row>
    <row r="3728" spans="1:4" x14ac:dyDescent="0.2">
      <c r="A3728" s="5">
        <v>3667</v>
      </c>
      <c r="B3728" s="138">
        <f>'Tax Sched 23'!F13</f>
        <v>525536</v>
      </c>
      <c r="C3728" s="2" t="s">
        <v>593</v>
      </c>
      <c r="D3728" s="2" t="str">
        <f t="shared" si="57"/>
        <v>Error?</v>
      </c>
    </row>
    <row r="3729" spans="1:4" x14ac:dyDescent="0.2">
      <c r="A3729" s="5">
        <v>3668</v>
      </c>
      <c r="B3729" s="138">
        <f>'Tax Sched 23'!E13</f>
        <v>1099962</v>
      </c>
      <c r="D3729" s="2" t="str">
        <f t="shared" si="57"/>
        <v>Error?</v>
      </c>
    </row>
    <row r="3730" spans="1:4" x14ac:dyDescent="0.2">
      <c r="A3730" s="5">
        <v>3669</v>
      </c>
      <c r="B3730" s="138">
        <f>'ICR Computation 30'!E10</f>
        <v>3870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446</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446</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46845828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149818239</v>
      </c>
      <c r="C4122" s="2" t="s">
        <v>593</v>
      </c>
      <c r="D4122" s="2" t="str">
        <f t="shared" si="63"/>
        <v>Error?</v>
      </c>
    </row>
    <row r="4123" spans="1:4" x14ac:dyDescent="0.2">
      <c r="A4123" s="5">
        <v>4062</v>
      </c>
      <c r="B4123" s="138">
        <f>'Acct Summary 7-8'!D10</f>
        <v>12874597</v>
      </c>
      <c r="C4123" s="2" t="s">
        <v>593</v>
      </c>
      <c r="D4123" s="2" t="str">
        <f t="shared" si="63"/>
        <v>Error?</v>
      </c>
    </row>
    <row r="4124" spans="1:4" x14ac:dyDescent="0.2">
      <c r="A4124" s="5">
        <v>4063</v>
      </c>
      <c r="B4124" s="138">
        <f>'Acct Summary 7-8'!E10</f>
        <v>21887598</v>
      </c>
      <c r="C4124" s="2" t="s">
        <v>593</v>
      </c>
      <c r="D4124" s="2" t="str">
        <f t="shared" si="63"/>
        <v>Error?</v>
      </c>
    </row>
    <row r="4125" spans="1:4" x14ac:dyDescent="0.2">
      <c r="A4125" s="5">
        <v>4064</v>
      </c>
      <c r="B4125" s="138">
        <f>'Acct Summary 7-8'!F10</f>
        <v>11230187</v>
      </c>
      <c r="C4125" s="2" t="s">
        <v>593</v>
      </c>
      <c r="D4125" s="2" t="str">
        <f t="shared" si="63"/>
        <v>Error?</v>
      </c>
    </row>
    <row r="4126" spans="1:4" x14ac:dyDescent="0.2">
      <c r="A4126" s="5">
        <v>4065</v>
      </c>
      <c r="B4126" s="138">
        <f>'Acct Summary 7-8'!G10</f>
        <v>4294813</v>
      </c>
      <c r="C4126" s="2" t="s">
        <v>593</v>
      </c>
      <c r="D4126" s="2" t="str">
        <f t="shared" si="63"/>
        <v>Error?</v>
      </c>
    </row>
    <row r="4127" spans="1:4" x14ac:dyDescent="0.2">
      <c r="A4127" s="5">
        <v>4066</v>
      </c>
      <c r="B4127" s="138">
        <f>'Acct Summary 7-8'!H10</f>
        <v>53</v>
      </c>
      <c r="C4127" s="2" t="s">
        <v>593</v>
      </c>
      <c r="D4127" s="2" t="str">
        <f t="shared" si="63"/>
        <v>Error?</v>
      </c>
    </row>
    <row r="4128" spans="1:4" x14ac:dyDescent="0.2">
      <c r="A4128" s="5">
        <v>4067</v>
      </c>
      <c r="B4128" s="138">
        <f>'Acct Summary 7-8'!I10</f>
        <v>1182345</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1183338</v>
      </c>
      <c r="C4130" s="2" t="s">
        <v>593</v>
      </c>
      <c r="D4130" s="2" t="str">
        <f t="shared" si="63"/>
        <v>Error?</v>
      </c>
    </row>
    <row r="4131" spans="1:4" x14ac:dyDescent="0.2">
      <c r="A4131" s="5">
        <v>4070</v>
      </c>
      <c r="B4131" s="138">
        <f>'Acct Summary 7-8'!C18</f>
        <v>46845828</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145164542</v>
      </c>
      <c r="C4136" s="2" t="s">
        <v>593</v>
      </c>
      <c r="D4136" s="2" t="str">
        <f t="shared" si="63"/>
        <v>Error?</v>
      </c>
    </row>
    <row r="4137" spans="1:4" x14ac:dyDescent="0.2">
      <c r="A4137" s="5">
        <v>4076</v>
      </c>
      <c r="B4137" s="138">
        <f>'Acct Summary 7-8'!D19</f>
        <v>11902490</v>
      </c>
      <c r="C4137" s="2" t="s">
        <v>593</v>
      </c>
      <c r="D4137" s="2" t="str">
        <f t="shared" si="63"/>
        <v>Error?</v>
      </c>
    </row>
    <row r="4138" spans="1:4" x14ac:dyDescent="0.2">
      <c r="A4138" s="5">
        <v>4077</v>
      </c>
      <c r="B4138" s="138">
        <f>'Acct Summary 7-8'!E19</f>
        <v>24300976</v>
      </c>
      <c r="C4138" s="2" t="s">
        <v>593</v>
      </c>
      <c r="D4138" s="2" t="str">
        <f t="shared" si="63"/>
        <v>Error?</v>
      </c>
    </row>
    <row r="4139" spans="1:4" x14ac:dyDescent="0.2">
      <c r="A4139" s="5">
        <v>4078</v>
      </c>
      <c r="B4139" s="138">
        <f>'Acct Summary 7-8'!F19</f>
        <v>13364632</v>
      </c>
      <c r="C4139" s="2" t="s">
        <v>593</v>
      </c>
      <c r="D4139" s="2" t="str">
        <f t="shared" si="63"/>
        <v>Error?</v>
      </c>
    </row>
    <row r="4140" spans="1:4" x14ac:dyDescent="0.2">
      <c r="A4140" s="5">
        <v>4079</v>
      </c>
      <c r="B4140" s="138">
        <f>'Acct Summary 7-8'!G19</f>
        <v>4061725</v>
      </c>
      <c r="C4140" s="2" t="s">
        <v>593</v>
      </c>
      <c r="D4140" s="2" t="str">
        <f t="shared" si="63"/>
        <v>Error?</v>
      </c>
    </row>
    <row r="4141" spans="1:4" x14ac:dyDescent="0.2">
      <c r="A4141" s="5">
        <v>4080</v>
      </c>
      <c r="B4141" s="138">
        <f>'Acct Summary 7-8'!H19</f>
        <v>338063</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5363989</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131525793</v>
      </c>
      <c r="C4171" s="2" t="s">
        <v>593</v>
      </c>
      <c r="D4171" s="2" t="str">
        <f t="shared" si="64"/>
        <v>Error?</v>
      </c>
    </row>
    <row r="4172" spans="1:4" x14ac:dyDescent="0.2">
      <c r="A4172" s="5">
        <v>4111</v>
      </c>
      <c r="B4172" s="138">
        <f>'Short-Term Long-Term Debt 24'!J49</f>
        <v>120107453</v>
      </c>
      <c r="C4172" s="2" t="s">
        <v>593</v>
      </c>
      <c r="D4172" s="2" t="str">
        <f t="shared" si="64"/>
        <v>Error?</v>
      </c>
    </row>
    <row r="4173" spans="1:4" x14ac:dyDescent="0.2">
      <c r="A4173" s="5">
        <v>4112</v>
      </c>
      <c r="B4173" s="138">
        <f>'Short-Term Long-Term Debt 24'!H49</f>
        <v>19270480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2720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3420</v>
      </c>
      <c r="C4268" s="2" t="s">
        <v>593</v>
      </c>
      <c r="D4268" s="2" t="str">
        <f t="shared" si="65"/>
        <v>Error?</v>
      </c>
    </row>
    <row r="4269" spans="1:5" x14ac:dyDescent="0.2">
      <c r="A4269" s="12">
        <v>4208</v>
      </c>
      <c r="B4269" s="138">
        <f>'FP Info 3'!J16</f>
        <v>28551439</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216707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198505</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71323</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305247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387968</v>
      </c>
      <c r="D4792" s="2" t="str">
        <f t="shared" si="73"/>
        <v>Error?</v>
      </c>
    </row>
    <row r="4793" spans="1:4" x14ac:dyDescent="0.2">
      <c r="A4793" s="5">
        <v>4732</v>
      </c>
      <c r="B4793" s="138">
        <f>'Revenues 9-14'!D171</f>
        <v>216107</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45989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2201605679</v>
      </c>
      <c r="D4995" s="2" t="str">
        <f t="shared" si="77"/>
        <v>Error?</v>
      </c>
    </row>
    <row r="4996" spans="1:4" x14ac:dyDescent="0.2">
      <c r="A4996" s="12">
        <v>4935</v>
      </c>
      <c r="B4996" s="138">
        <f>'FP Info 3'!H31</f>
        <v>303821583.70200002</v>
      </c>
      <c r="D4996" s="2" t="str">
        <f t="shared" si="77"/>
        <v>Error?</v>
      </c>
    </row>
    <row r="4997" spans="1:4" x14ac:dyDescent="0.2">
      <c r="A4997" s="12">
        <v>4936</v>
      </c>
      <c r="B4997" s="138">
        <f>'FP Info 3'!H37</f>
        <v>131525793</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407639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59934058</v>
      </c>
      <c r="D5061" s="2" t="str">
        <f t="shared" si="78"/>
        <v>Error?</v>
      </c>
    </row>
    <row r="5062" spans="1:4" x14ac:dyDescent="0.2">
      <c r="A5062" s="10">
        <v>5001</v>
      </c>
      <c r="D5062" s="2" t="str">
        <f t="shared" si="78"/>
        <v>OK</v>
      </c>
    </row>
    <row r="5063" spans="1:4" x14ac:dyDescent="0.2">
      <c r="A5063" s="5">
        <v>5002</v>
      </c>
      <c r="B5063" s="138">
        <f>'Revenues 9-14'!C7</f>
        <v>881427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61223124</v>
      </c>
      <c r="C5066" s="2" t="s">
        <v>593</v>
      </c>
      <c r="D5066" s="2" t="str">
        <f t="shared" si="78"/>
        <v>Error?</v>
      </c>
    </row>
    <row r="5067" spans="1:4" x14ac:dyDescent="0.2">
      <c r="A5067" s="5">
        <v>5006</v>
      </c>
      <c r="B5067" s="138">
        <f>'Revenues 9-14'!C14</f>
        <v>66268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1517638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1583906</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117940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117940</v>
      </c>
      <c r="C5087" s="2" t="s">
        <v>593</v>
      </c>
      <c r="D5087" s="2" t="str">
        <f t="shared" si="78"/>
        <v>Error?</v>
      </c>
    </row>
    <row r="5088" spans="1:4" x14ac:dyDescent="0.2">
      <c r="A5088" s="5">
        <v>5027</v>
      </c>
      <c r="B5088" s="138">
        <f>'Revenues 9-14'!C65</f>
        <v>60659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60659</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3115740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77115</v>
      </c>
      <c r="D5095" s="2" t="str">
        <f t="shared" si="78"/>
        <v>Error?</v>
      </c>
    </row>
    <row r="5096" spans="1:4" x14ac:dyDescent="0.2">
      <c r="A5096" s="5">
        <v>5035</v>
      </c>
      <c r="B5096" s="138">
        <f>'Revenues 9-14'!C75</f>
        <v>3192855</v>
      </c>
      <c r="C5096" s="2" t="s">
        <v>593</v>
      </c>
      <c r="D5096" s="2" t="str">
        <f t="shared" si="78"/>
        <v>Error?</v>
      </c>
    </row>
    <row r="5097" spans="1:4" x14ac:dyDescent="0.2">
      <c r="A5097" s="5">
        <v>5036</v>
      </c>
      <c r="B5097" s="138">
        <f>'Revenues 9-14'!C77</f>
        <v>122184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849660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971844</v>
      </c>
      <c r="C5102" s="2" t="s">
        <v>593</v>
      </c>
      <c r="D5102" s="2" t="str">
        <f t="shared" si="78"/>
        <v>Error?</v>
      </c>
    </row>
    <row r="5103" spans="1:4" x14ac:dyDescent="0.2">
      <c r="A5103" s="5">
        <v>5042</v>
      </c>
      <c r="B5103" s="138">
        <f>'Revenues 9-14'!C84</f>
        <v>1095307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31</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884</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1096222</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193360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11821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33830</v>
      </c>
      <c r="D5118" s="2" t="str">
        <f t="shared" si="78"/>
        <v>Error?</v>
      </c>
    </row>
    <row r="5119" spans="1:4" x14ac:dyDescent="0.2">
      <c r="A5119" s="5">
        <v>5058</v>
      </c>
      <c r="B5119" s="138">
        <f>'Revenues 9-14'!C107</f>
        <v>147893</v>
      </c>
      <c r="D5119" s="2" t="str">
        <f t="shared" ref="D5119:D5182" si="79">IF(ISBLANK(B5119),"OK",IF(A5119-B5119=0,"OK","Error?"))</f>
        <v>Error?</v>
      </c>
    </row>
    <row r="5120" spans="1:4" x14ac:dyDescent="0.2">
      <c r="A5120" s="5">
        <v>5059</v>
      </c>
      <c r="B5120" s="138">
        <f>'Revenues 9-14'!C108</f>
        <v>495949</v>
      </c>
      <c r="C5120" s="2" t="s">
        <v>593</v>
      </c>
      <c r="D5120" s="2" t="str">
        <f t="shared" si="79"/>
        <v>Error?</v>
      </c>
    </row>
    <row r="5121" spans="1:4" x14ac:dyDescent="0.2">
      <c r="A5121" s="5">
        <v>5060</v>
      </c>
      <c r="B5121" s="138">
        <f>'Revenues 9-14'!C109</f>
        <v>68742499</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20505419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20505419</v>
      </c>
      <c r="C5132" s="2" t="s">
        <v>593</v>
      </c>
      <c r="D5132" s="2" t="str">
        <f t="shared" si="79"/>
        <v>Error?</v>
      </c>
    </row>
    <row r="5133" spans="1:4" x14ac:dyDescent="0.2">
      <c r="A5133" s="5">
        <v>5072</v>
      </c>
      <c r="B5133" s="138">
        <f>'Revenues 9-14'!C124</f>
        <v>1748639</v>
      </c>
      <c r="D5133" s="2" t="str">
        <f t="shared" si="79"/>
        <v>Error?</v>
      </c>
    </row>
    <row r="5134" spans="1:4" x14ac:dyDescent="0.2">
      <c r="A5134" s="5">
        <v>5073</v>
      </c>
      <c r="B5134" s="138">
        <f>'Revenues 9-14'!C125</f>
        <v>862593</v>
      </c>
      <c r="D5134" s="2" t="str">
        <f t="shared" si="79"/>
        <v>Error?</v>
      </c>
    </row>
    <row r="5135" spans="1:4" x14ac:dyDescent="0.2">
      <c r="A5135" s="5">
        <v>5074</v>
      </c>
      <c r="B5135" s="138">
        <f>'Revenues 9-14'!C126</f>
        <v>1272835</v>
      </c>
      <c r="D5135" s="2" t="str">
        <f t="shared" si="79"/>
        <v>Error?</v>
      </c>
    </row>
    <row r="5136" spans="1:4" x14ac:dyDescent="0.2">
      <c r="A5136" s="10">
        <v>5075</v>
      </c>
      <c r="D5136" s="2" t="str">
        <f t="shared" si="79"/>
        <v>OK</v>
      </c>
    </row>
    <row r="5137" spans="1:4" x14ac:dyDescent="0.2">
      <c r="A5137" s="5">
        <v>5076</v>
      </c>
      <c r="B5137" s="138">
        <f>'Revenues 9-14'!C127</f>
        <v>276187</v>
      </c>
      <c r="D5137" s="2" t="str">
        <f t="shared" si="79"/>
        <v>Error?</v>
      </c>
    </row>
    <row r="5138" spans="1:4" x14ac:dyDescent="0.2">
      <c r="A5138" s="10">
        <v>5077</v>
      </c>
      <c r="D5138" s="2" t="str">
        <f t="shared" si="79"/>
        <v>OK</v>
      </c>
    </row>
    <row r="5139" spans="1:4" x14ac:dyDescent="0.2">
      <c r="A5139" s="5">
        <v>5078</v>
      </c>
      <c r="B5139" s="138">
        <f>'Revenues 9-14'!C128</f>
        <v>61498</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8467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4230219</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11709</v>
      </c>
      <c r="C5161" s="2" t="s">
        <v>593</v>
      </c>
      <c r="D5161" s="2" t="str">
        <f t="shared" si="79"/>
        <v>Error?</v>
      </c>
    </row>
    <row r="5162" spans="1:4" x14ac:dyDescent="0.2">
      <c r="A5162" s="10">
        <v>5101</v>
      </c>
      <c r="D5162" s="2" t="str">
        <f t="shared" si="79"/>
        <v>OK</v>
      </c>
    </row>
    <row r="5163" spans="1:4" x14ac:dyDescent="0.2">
      <c r="A5163" s="5">
        <v>5102</v>
      </c>
      <c r="B5163" s="138">
        <f>'Revenues 9-14'!C142</f>
        <v>221431</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221431</v>
      </c>
      <c r="C5165" s="2" t="s">
        <v>593</v>
      </c>
      <c r="D5165" s="2" t="str">
        <f t="shared" si="79"/>
        <v>Error?</v>
      </c>
    </row>
    <row r="5166" spans="1:4" x14ac:dyDescent="0.2">
      <c r="A5166" s="10">
        <v>5105</v>
      </c>
      <c r="D5166" s="2" t="str">
        <f t="shared" si="79"/>
        <v>OK</v>
      </c>
    </row>
    <row r="5167" spans="1:4" x14ac:dyDescent="0.2">
      <c r="A5167" s="5">
        <v>5106</v>
      </c>
      <c r="B5167" s="138">
        <f>'Revenues 9-14'!C145</f>
        <v>34763</v>
      </c>
      <c r="D5167" s="2" t="str">
        <f t="shared" si="79"/>
        <v>Error?</v>
      </c>
    </row>
    <row r="5168" spans="1:4" x14ac:dyDescent="0.2">
      <c r="A5168" s="5">
        <v>5107</v>
      </c>
      <c r="B5168" s="138">
        <f>'Revenues 9-14'!C147</f>
        <v>68486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530345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5484921</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25990340</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1639619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441805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2081424</v>
      </c>
      <c r="C5246" s="2" t="s">
        <v>593</v>
      </c>
      <c r="D5246" s="2" t="str">
        <f t="shared" si="80"/>
        <v>Error?</v>
      </c>
    </row>
    <row r="5247" spans="1:4" x14ac:dyDescent="0.2">
      <c r="A5247" s="5">
        <v>5186</v>
      </c>
      <c r="B5247" s="138">
        <f>'Revenues 9-14'!C203</f>
        <v>1550410</v>
      </c>
      <c r="D5247" s="2" t="str">
        <f t="shared" ref="D5247:D5310" si="81">IF(ISBLANK(B5247),"OK",IF(A5247-B5247=0,"OK","Error?"))</f>
        <v>Error?</v>
      </c>
    </row>
    <row r="5248" spans="1:4" x14ac:dyDescent="0.2">
      <c r="A5248" s="5">
        <v>5187</v>
      </c>
      <c r="B5248" s="138">
        <f>'Revenues 9-14'!C204</f>
        <v>68964</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1619374</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51596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2770709</v>
      </c>
      <c r="D5278" s="2" t="str">
        <f t="shared" si="81"/>
        <v>Error?</v>
      </c>
    </row>
    <row r="5279" spans="1:4" x14ac:dyDescent="0.2">
      <c r="A5279" s="5">
        <v>5218</v>
      </c>
      <c r="B5279" s="138">
        <f>'Revenues 9-14'!C221</f>
        <v>507322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3329627</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36732</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8239572</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8239572</v>
      </c>
      <c r="C5326" s="2" t="s">
        <v>593</v>
      </c>
      <c r="D5326" s="2" t="str">
        <f t="shared" si="82"/>
        <v>Error?</v>
      </c>
    </row>
    <row r="5327" spans="1:4" x14ac:dyDescent="0.2">
      <c r="A5327" s="5">
        <v>5266</v>
      </c>
      <c r="B5327" s="138">
        <f>'Revenues 9-14'!C275</f>
        <v>102972411</v>
      </c>
      <c r="C5327" s="2" t="s">
        <v>593</v>
      </c>
      <c r="D5327" s="2" t="str">
        <f t="shared" si="82"/>
        <v>Error?</v>
      </c>
    </row>
    <row r="5328" spans="1:4" x14ac:dyDescent="0.2">
      <c r="A5328" s="5">
        <v>5267</v>
      </c>
      <c r="B5328" s="138">
        <f>'Revenues 9-14'!D5</f>
        <v>11017285</v>
      </c>
      <c r="D5328" s="2" t="str">
        <f t="shared" si="82"/>
        <v>Error?</v>
      </c>
    </row>
    <row r="5329" spans="1:4" x14ac:dyDescent="0.2">
      <c r="A5329" s="10">
        <v>5268</v>
      </c>
      <c r="D5329" s="2" t="str">
        <f t="shared" si="82"/>
        <v>OK</v>
      </c>
    </row>
    <row r="5330" spans="1:4" x14ac:dyDescent="0.2">
      <c r="A5330" s="5">
        <v>5269</v>
      </c>
      <c r="B5330" s="138">
        <f>'Revenues 9-14'!D6</f>
        <v>694088</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11711373</v>
      </c>
      <c r="C5334" s="2" t="s">
        <v>593</v>
      </c>
      <c r="D5334" s="2" t="str">
        <f t="shared" si="82"/>
        <v>Error?</v>
      </c>
    </row>
    <row r="5335" spans="1:4" x14ac:dyDescent="0.2">
      <c r="A5335" s="5">
        <v>5274</v>
      </c>
      <c r="B5335" s="138">
        <f>'Revenues 9-14'!D14</f>
        <v>12677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12677</v>
      </c>
      <c r="C5339" s="2" t="s">
        <v>593</v>
      </c>
      <c r="D5339" s="2" t="str">
        <f t="shared" si="82"/>
        <v>Error?</v>
      </c>
    </row>
    <row r="5340" spans="1:4" x14ac:dyDescent="0.2">
      <c r="A5340" s="5">
        <v>5279</v>
      </c>
      <c r="B5340" s="138">
        <f>'Revenues 9-14'!D65</f>
        <v>12259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12259</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164245</v>
      </c>
      <c r="D5349" s="2" t="str">
        <f t="shared" si="82"/>
        <v>Error?</v>
      </c>
    </row>
    <row r="5350" spans="1:4" x14ac:dyDescent="0.2">
      <c r="A5350" s="5">
        <v>5289</v>
      </c>
      <c r="B5350" s="138">
        <f>'Revenues 9-14'!D96</f>
        <v>198310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207009</v>
      </c>
      <c r="D5354" s="2" t="str">
        <f t="shared" si="82"/>
        <v>Error?</v>
      </c>
    </row>
    <row r="5355" spans="1:4" x14ac:dyDescent="0.2">
      <c r="A5355" s="5">
        <v>5294</v>
      </c>
      <c r="B5355" s="138">
        <f>'Revenues 9-14'!D108</f>
        <v>922181</v>
      </c>
      <c r="C5355" s="2" t="s">
        <v>593</v>
      </c>
      <c r="D5355" s="2" t="str">
        <f t="shared" si="82"/>
        <v>Error?</v>
      </c>
    </row>
    <row r="5356" spans="1:4" x14ac:dyDescent="0.2">
      <c r="A5356" s="5">
        <v>5295</v>
      </c>
      <c r="B5356" s="138">
        <f>'Revenues 9-14'!D109</f>
        <v>12658490</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216107</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216107</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12874597</v>
      </c>
      <c r="C5508" s="2" t="s">
        <v>593</v>
      </c>
      <c r="D5508" s="2" t="str">
        <f t="shared" si="85"/>
        <v>Error?</v>
      </c>
    </row>
    <row r="5509" spans="1:4" x14ac:dyDescent="0.2">
      <c r="A5509" s="5">
        <v>5448</v>
      </c>
      <c r="B5509" s="138">
        <f>'Revenues 9-14'!E5</f>
        <v>21794186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21794186</v>
      </c>
      <c r="C5513" s="2" t="s">
        <v>593</v>
      </c>
      <c r="D5513" s="2" t="str">
        <f t="shared" si="85"/>
        <v>Error?</v>
      </c>
    </row>
    <row r="5514" spans="1:4" x14ac:dyDescent="0.2">
      <c r="A5514" s="5">
        <v>5453</v>
      </c>
      <c r="B5514" s="138">
        <f>'Revenues 9-14'!E14</f>
        <v>23683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23683</v>
      </c>
      <c r="C5518" s="2" t="s">
        <v>593</v>
      </c>
      <c r="D5518" s="2" t="str">
        <f t="shared" si="85"/>
        <v>Error?</v>
      </c>
    </row>
    <row r="5519" spans="1:4" x14ac:dyDescent="0.2">
      <c r="A5519" s="5">
        <v>5458</v>
      </c>
      <c r="B5519" s="138">
        <f>'Revenues 9-14'!E65</f>
        <v>69729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69729</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21887598</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21887598</v>
      </c>
      <c r="C5552" s="2" t="s">
        <v>593</v>
      </c>
      <c r="D5552" s="2" t="str">
        <f t="shared" si="85"/>
        <v>Error?</v>
      </c>
    </row>
    <row r="5553" spans="1:4" x14ac:dyDescent="0.2">
      <c r="A5553" s="5">
        <v>5492</v>
      </c>
      <c r="B5553" s="138">
        <f>'Revenues 9-14'!F5</f>
        <v>4406913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4406913</v>
      </c>
      <c r="C5557" s="2" t="s">
        <v>593</v>
      </c>
      <c r="D5557" s="2" t="str">
        <f t="shared" si="85"/>
        <v>Error?</v>
      </c>
    </row>
    <row r="5558" spans="1:4" x14ac:dyDescent="0.2">
      <c r="A5558" s="5">
        <v>5497</v>
      </c>
      <c r="B5558" s="138">
        <f>'Revenues 9-14'!F14</f>
        <v>4770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4770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1150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1150</v>
      </c>
      <c r="C5579" s="2" t="s">
        <v>593</v>
      </c>
      <c r="D5579" s="2" t="str">
        <f t="shared" si="86"/>
        <v>Error?</v>
      </c>
    </row>
    <row r="5580" spans="1:4" x14ac:dyDescent="0.2">
      <c r="A5580" s="5">
        <v>5519</v>
      </c>
      <c r="B5580" s="138">
        <f>'Revenues 9-14'!F65</f>
        <v>7390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7390</v>
      </c>
      <c r="C5582" s="2" t="s">
        <v>593</v>
      </c>
      <c r="D5582" s="2" t="str">
        <f t="shared" si="86"/>
        <v>Error?</v>
      </c>
    </row>
    <row r="5583" spans="1:4" x14ac:dyDescent="0.2">
      <c r="A5583" s="5">
        <v>5522</v>
      </c>
      <c r="B5583" s="138">
        <f>'Revenues 9-14'!F96</f>
        <v>1200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2489</v>
      </c>
      <c r="D5586" s="2" t="str">
        <f t="shared" si="86"/>
        <v>Error?</v>
      </c>
    </row>
    <row r="5587" spans="1:4" x14ac:dyDescent="0.2">
      <c r="A5587" s="5">
        <v>5526</v>
      </c>
      <c r="B5587" s="138">
        <f>'Revenues 9-14'!F108</f>
        <v>3689</v>
      </c>
      <c r="C5587" s="2" t="s">
        <v>593</v>
      </c>
      <c r="D5587" s="2" t="str">
        <f t="shared" si="86"/>
        <v>Error?</v>
      </c>
    </row>
    <row r="5588" spans="1:4" x14ac:dyDescent="0.2">
      <c r="A5588" s="5">
        <v>5527</v>
      </c>
      <c r="B5588" s="138">
        <f>'Revenues 9-14'!F109</f>
        <v>4423912</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2334921</v>
      </c>
      <c r="D5615" s="2" t="str">
        <f t="shared" si="86"/>
        <v>Error?</v>
      </c>
    </row>
    <row r="5616" spans="1:4" x14ac:dyDescent="0.2">
      <c r="A5616" s="10">
        <v>5555</v>
      </c>
      <c r="D5616" s="2" t="str">
        <f t="shared" si="86"/>
        <v>OK</v>
      </c>
    </row>
    <row r="5617" spans="1:4" x14ac:dyDescent="0.2">
      <c r="A5617" s="5">
        <v>5556</v>
      </c>
      <c r="B5617" s="138">
        <f>'Revenues 9-14'!F152</f>
        <v>4192476</v>
      </c>
      <c r="D5617" s="2" t="str">
        <f t="shared" si="86"/>
        <v>Error?</v>
      </c>
    </row>
    <row r="5618" spans="1:4" x14ac:dyDescent="0.2">
      <c r="A5618" s="5">
        <v>5557</v>
      </c>
      <c r="B5618" s="138">
        <f>'Revenues 9-14'!F154</f>
        <v>6527397</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157257</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6684654</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6684654</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121621</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121621</v>
      </c>
      <c r="C5719" s="2" t="s">
        <v>593</v>
      </c>
      <c r="D5719" s="2" t="str">
        <f t="shared" si="88"/>
        <v>Error?</v>
      </c>
    </row>
    <row r="5720" spans="1:4" x14ac:dyDescent="0.2">
      <c r="A5720" s="5">
        <v>5659</v>
      </c>
      <c r="B5720" s="138">
        <f>'Revenues 9-14'!F275</f>
        <v>11230187</v>
      </c>
      <c r="C5720" s="2" t="s">
        <v>593</v>
      </c>
      <c r="D5720" s="2" t="str">
        <f t="shared" si="88"/>
        <v>Error?</v>
      </c>
    </row>
    <row r="5721" spans="1:4" x14ac:dyDescent="0.2">
      <c r="A5721" s="5">
        <v>5660</v>
      </c>
      <c r="B5721" s="138">
        <f>'Revenues 9-14'!G5</f>
        <v>1912008</v>
      </c>
      <c r="D5721" s="2" t="str">
        <f t="shared" si="88"/>
        <v>Error?</v>
      </c>
    </row>
    <row r="5722" spans="1:4" x14ac:dyDescent="0.2">
      <c r="A5722" s="5">
        <v>5661</v>
      </c>
      <c r="B5722" s="138">
        <f>'Revenues 9-14'!G7</f>
        <v>0</v>
      </c>
      <c r="D5722" s="2" t="str">
        <f t="shared" si="88"/>
        <v>Error?</v>
      </c>
    </row>
    <row r="5723" spans="1:4" x14ac:dyDescent="0.2">
      <c r="A5723" s="5">
        <v>5662</v>
      </c>
      <c r="B5723" s="138">
        <f>'Revenues 9-14'!G8</f>
        <v>2209419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4121427</v>
      </c>
      <c r="C5725" s="2" t="s">
        <v>593</v>
      </c>
      <c r="D5725" s="2" t="str">
        <f t="shared" si="88"/>
        <v>Error?</v>
      </c>
    </row>
    <row r="5726" spans="1:4" x14ac:dyDescent="0.2">
      <c r="A5726" s="5">
        <v>5665</v>
      </c>
      <c r="B5726" s="138">
        <f>'Revenues 9-14'!G14</f>
        <v>4364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151931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156295</v>
      </c>
      <c r="C5730" s="2" t="s">
        <v>593</v>
      </c>
      <c r="D5730" s="2" t="str">
        <f t="shared" si="88"/>
        <v>Error?</v>
      </c>
    </row>
    <row r="5731" spans="1:4" x14ac:dyDescent="0.2">
      <c r="A5731" s="5">
        <v>5670</v>
      </c>
      <c r="B5731" s="138">
        <f>'Revenues 9-14'!G65</f>
        <v>17091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17091</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4294813</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53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53</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53</v>
      </c>
      <c r="C5915" s="2" t="s">
        <v>593</v>
      </c>
      <c r="D5915" s="2" t="str">
        <f t="shared" si="91"/>
        <v>Error?</v>
      </c>
    </row>
    <row r="5916" spans="1:4" x14ac:dyDescent="0.2">
      <c r="A5916" s="5">
        <v>5855</v>
      </c>
      <c r="B5916" s="138">
        <f>'Revenues 9-14'!I5</f>
        <v>1101727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1101727</v>
      </c>
      <c r="C5918" s="2" t="s">
        <v>593</v>
      </c>
      <c r="D5918" s="2" t="str">
        <f t="shared" si="91"/>
        <v>Error?</v>
      </c>
    </row>
    <row r="5919" spans="1:4" x14ac:dyDescent="0.2">
      <c r="A5919" s="5">
        <v>5858</v>
      </c>
      <c r="B5919" s="138">
        <f>'Revenues 9-14'!I14</f>
        <v>1193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1193</v>
      </c>
      <c r="C5923" s="2" t="s">
        <v>593</v>
      </c>
      <c r="D5923" s="2" t="str">
        <f t="shared" si="91"/>
        <v>Error?</v>
      </c>
    </row>
    <row r="5924" spans="1:4" x14ac:dyDescent="0.2">
      <c r="A5924" s="5">
        <v>5863</v>
      </c>
      <c r="B5924" s="138">
        <f>'Revenues 9-14'!I65</f>
        <v>79425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79425</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1182345</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1101726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1101726</v>
      </c>
      <c r="C5987" s="2" t="s">
        <v>593</v>
      </c>
      <c r="D5987" s="2" t="str">
        <f t="shared" si="92"/>
        <v>Error?</v>
      </c>
    </row>
    <row r="5988" spans="1:4" x14ac:dyDescent="0.2">
      <c r="A5988" s="5">
        <v>5927</v>
      </c>
      <c r="B5988" s="138">
        <f>'Revenues 9-14'!K14</f>
        <v>1193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1193</v>
      </c>
      <c r="C5992" s="2" t="s">
        <v>593</v>
      </c>
      <c r="D5992" s="2" t="str">
        <f t="shared" si="92"/>
        <v>Error?</v>
      </c>
    </row>
    <row r="5993" spans="1:4" x14ac:dyDescent="0.2">
      <c r="A5993" s="5">
        <v>5932</v>
      </c>
      <c r="B5993" s="138">
        <f>'Revenues 9-14'!K65</f>
        <v>80419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80419</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1183338</v>
      </c>
      <c r="C6023" s="2" t="s">
        <v>593</v>
      </c>
      <c r="D6023" s="2" t="str">
        <f t="shared" si="93"/>
        <v>Error?</v>
      </c>
    </row>
    <row r="6024" spans="1:5" x14ac:dyDescent="0.2">
      <c r="A6024" s="5">
        <v>5963</v>
      </c>
      <c r="B6024" s="138">
        <f>'Revenues 9-14'!G109</f>
        <v>4294813</v>
      </c>
      <c r="C6024" s="2" t="s">
        <v>593</v>
      </c>
      <c r="D6024" s="2" t="str">
        <f t="shared" si="93"/>
        <v>Error?</v>
      </c>
    </row>
    <row r="6025" spans="1:5" x14ac:dyDescent="0.2">
      <c r="A6025" s="5">
        <v>5964</v>
      </c>
      <c r="B6025" s="138">
        <f>'Revenues 9-14'!H109</f>
        <v>53</v>
      </c>
      <c r="C6025" s="2" t="s">
        <v>593</v>
      </c>
      <c r="D6025" s="2" t="str">
        <f t="shared" si="93"/>
        <v>Error?</v>
      </c>
    </row>
    <row r="6026" spans="1:5" x14ac:dyDescent="0.2">
      <c r="A6026" s="5">
        <v>5965</v>
      </c>
      <c r="B6026" s="138">
        <f>'Revenues 9-14'!I109</f>
        <v>1182345</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1183338</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377490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12011.47</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4636</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676056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676056</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676056</v>
      </c>
      <c r="D6216" s="2" t="str">
        <f t="shared" si="96"/>
        <v>Error?</v>
      </c>
      <c r="E6216" s="2" t="s">
        <v>199</v>
      </c>
    </row>
    <row r="6217" spans="1:5" x14ac:dyDescent="0.2">
      <c r="A6217">
        <v>6156</v>
      </c>
      <c r="B6217" s="138">
        <f>'Assets-Liab 5-6'!J4</f>
        <v>676056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5305412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5305412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5305412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5215463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5215463</v>
      </c>
      <c r="D6229" s="2" t="str">
        <f t="shared" si="96"/>
        <v>Error?</v>
      </c>
      <c r="E6229" s="2" t="s">
        <v>199</v>
      </c>
    </row>
    <row r="6230" spans="1:5" x14ac:dyDescent="0.2">
      <c r="A6230">
        <v>6169</v>
      </c>
      <c r="B6230" s="138">
        <f>'Acct Summary 7-8'!J20</f>
        <v>89949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1613951</v>
      </c>
      <c r="D6240" s="2" t="str">
        <f t="shared" si="96"/>
        <v>Error?</v>
      </c>
      <c r="E6240" s="2" t="s">
        <v>199</v>
      </c>
    </row>
    <row r="6241" spans="1:5" x14ac:dyDescent="0.2">
      <c r="A6241">
        <v>6180</v>
      </c>
      <c r="B6241" s="138">
        <f>'Acct Summary 7-8'!D54</f>
        <v>831529</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76800</v>
      </c>
      <c r="D6243" s="2" t="str">
        <f t="shared" si="96"/>
        <v>Error?</v>
      </c>
      <c r="E6243" s="2" t="s">
        <v>199</v>
      </c>
    </row>
    <row r="6244" spans="1:5" x14ac:dyDescent="0.2">
      <c r="A6244">
        <v>6183</v>
      </c>
      <c r="B6244" s="138">
        <f>'Acct Summary 7-8'!D58</f>
        <v>66701</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32136</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89949</v>
      </c>
      <c r="D6263" s="2" t="str">
        <f t="shared" si="96"/>
        <v>Error?</v>
      </c>
      <c r="E6263" s="2" t="s">
        <v>199</v>
      </c>
    </row>
    <row r="6264" spans="1:5" x14ac:dyDescent="0.2">
      <c r="A6264">
        <v>6203</v>
      </c>
      <c r="B6264" s="138">
        <f>'Acct Summary 7-8'!J79</f>
        <v>586107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676056</v>
      </c>
      <c r="D6266" s="2" t="str">
        <f t="shared" si="96"/>
        <v>Error?</v>
      </c>
      <c r="E6266" s="2" t="s">
        <v>199</v>
      </c>
    </row>
    <row r="6267" spans="1:5" x14ac:dyDescent="0.2">
      <c r="A6267">
        <v>6206</v>
      </c>
      <c r="B6267" s="138">
        <f>'Acct Summary 7-8'!C82</f>
        <v>3588109</v>
      </c>
      <c r="D6267" s="2" t="str">
        <f t="shared" si="96"/>
        <v>Error?</v>
      </c>
      <c r="E6267" s="2" t="s">
        <v>199</v>
      </c>
    </row>
    <row r="6268" spans="1:5" x14ac:dyDescent="0.2">
      <c r="A6268">
        <v>6207</v>
      </c>
      <c r="B6268" s="138">
        <f>'Acct Summary 7-8'!D82</f>
        <v>75677</v>
      </c>
      <c r="D6268" s="2" t="str">
        <f t="shared" si="96"/>
        <v>Error?</v>
      </c>
      <c r="E6268" s="2" t="s">
        <v>199</v>
      </c>
    </row>
    <row r="6269" spans="1:5" x14ac:dyDescent="0.2">
      <c r="A6269">
        <v>6208</v>
      </c>
      <c r="B6269" s="138">
        <f>'Acct Summary 7-8'!E82</f>
        <v>175603</v>
      </c>
      <c r="D6269" s="2" t="str">
        <f t="shared" si="96"/>
        <v>Error?</v>
      </c>
      <c r="E6269" s="2" t="s">
        <v>199</v>
      </c>
    </row>
    <row r="6270" spans="1:5" x14ac:dyDescent="0.2">
      <c r="A6270">
        <v>6209</v>
      </c>
      <c r="B6270" s="138">
        <f>'Acct Summary 7-8'!F82</f>
        <v>1425044</v>
      </c>
      <c r="D6270" s="2" t="str">
        <f t="shared" si="96"/>
        <v>Error?</v>
      </c>
      <c r="E6270" s="2" t="s">
        <v>199</v>
      </c>
    </row>
    <row r="6271" spans="1:5" x14ac:dyDescent="0.2">
      <c r="A6271">
        <v>6210</v>
      </c>
      <c r="B6271" s="138">
        <f>'Acct Summary 7-8'!G82</f>
        <v>233088</v>
      </c>
      <c r="D6271" s="2" t="str">
        <f t="shared" ref="D6271:D6334" si="97">IF(ISBLANK(B6271),"OK",IF(A6271-B6271=0,"OK","Error?"))</f>
        <v>Error?</v>
      </c>
      <c r="E6271" s="2" t="s">
        <v>199</v>
      </c>
    </row>
    <row r="6272" spans="1:5" x14ac:dyDescent="0.2">
      <c r="A6272">
        <v>6211</v>
      </c>
      <c r="B6272" s="138">
        <f>'Acct Summary 7-8'!H82</f>
        <v>-338010</v>
      </c>
      <c r="D6272" s="2" t="str">
        <f t="shared" si="97"/>
        <v>Error?</v>
      </c>
      <c r="E6272" s="2" t="s">
        <v>199</v>
      </c>
    </row>
    <row r="6273" spans="1:5" x14ac:dyDescent="0.2">
      <c r="A6273">
        <v>6212</v>
      </c>
      <c r="B6273" s="138">
        <f>'Acct Summary 7-8'!I82</f>
        <v>1150209</v>
      </c>
      <c r="D6273" s="2" t="str">
        <f t="shared" si="97"/>
        <v>Error?</v>
      </c>
      <c r="E6273" s="2" t="s">
        <v>199</v>
      </c>
    </row>
    <row r="6274" spans="1:5" x14ac:dyDescent="0.2">
      <c r="A6274">
        <v>6213</v>
      </c>
      <c r="B6274" s="138">
        <f>'Acct Summary 7-8'!J82</f>
        <v>89949</v>
      </c>
      <c r="D6274" s="2" t="str">
        <f t="shared" si="97"/>
        <v>Error?</v>
      </c>
      <c r="E6274" s="2" t="s">
        <v>199</v>
      </c>
    </row>
    <row r="6275" spans="1:5" x14ac:dyDescent="0.2">
      <c r="A6275">
        <v>6214</v>
      </c>
      <c r="B6275" s="138">
        <f>'Acct Summary 7-8'!K82</f>
        <v>5957441</v>
      </c>
      <c r="D6275" s="2" t="str">
        <f t="shared" si="97"/>
        <v>Error?</v>
      </c>
      <c r="E6275" s="2" t="s">
        <v>199</v>
      </c>
    </row>
    <row r="6276" spans="1:5" x14ac:dyDescent="0.2">
      <c r="A6276">
        <v>6215</v>
      </c>
      <c r="B6276" s="138">
        <f>'Acct Summary 7-8'!C83</f>
        <v>0.35404810329523123</v>
      </c>
      <c r="D6276" s="2" t="str">
        <f t="shared" si="97"/>
        <v>Error?</v>
      </c>
      <c r="E6276" s="2" t="s">
        <v>199</v>
      </c>
    </row>
    <row r="6277" spans="1:5" x14ac:dyDescent="0.2">
      <c r="A6277">
        <v>6216</v>
      </c>
      <c r="B6277" s="138">
        <f>'Acct Summary 7-8'!D83</f>
        <v>5.9588329736211976E-2</v>
      </c>
      <c r="D6277" s="2" t="str">
        <f t="shared" si="97"/>
        <v>Error?</v>
      </c>
      <c r="E6277" s="2" t="s">
        <v>199</v>
      </c>
    </row>
    <row r="6278" spans="1:5" x14ac:dyDescent="0.2">
      <c r="A6278">
        <v>6217</v>
      </c>
      <c r="B6278" s="138">
        <f>'Acct Summary 7-8'!E83</f>
        <v>1.537903057712417E-2</v>
      </c>
      <c r="D6278" s="2" t="str">
        <f t="shared" si="97"/>
        <v>Error?</v>
      </c>
      <c r="E6278" s="2" t="s">
        <v>199</v>
      </c>
    </row>
    <row r="6279" spans="1:5" x14ac:dyDescent="0.2">
      <c r="A6279">
        <v>6218</v>
      </c>
      <c r="B6279" s="138">
        <f>'Acct Summary 7-8'!F83</f>
        <v>1.2868387997460717</v>
      </c>
      <c r="D6279" s="2" t="str">
        <f t="shared" si="97"/>
        <v>Error?</v>
      </c>
      <c r="E6279" s="2" t="s">
        <v>199</v>
      </c>
    </row>
    <row r="6280" spans="1:5" x14ac:dyDescent="0.2">
      <c r="A6280">
        <v>6219</v>
      </c>
      <c r="B6280" s="138">
        <f>'Acct Summary 7-8'!G83</f>
        <v>0.11713106087711611</v>
      </c>
      <c r="D6280" s="2" t="str">
        <f t="shared" si="97"/>
        <v>Error?</v>
      </c>
      <c r="E6280" s="2" t="s">
        <v>199</v>
      </c>
    </row>
    <row r="6281" spans="1:5" x14ac:dyDescent="0.2">
      <c r="A6281">
        <v>6220</v>
      </c>
      <c r="B6281" s="138">
        <f>'Acct Summary 7-8'!H83</f>
        <v>-3.5897789908558928</v>
      </c>
      <c r="D6281" s="2" t="str">
        <f t="shared" si="97"/>
        <v>Error?</v>
      </c>
      <c r="E6281" s="2" t="s">
        <v>199</v>
      </c>
    </row>
    <row r="6282" spans="1:5" x14ac:dyDescent="0.2">
      <c r="A6282">
        <v>6221</v>
      </c>
      <c r="B6282" s="138">
        <f>'Acct Summary 7-8'!I83</f>
        <v>7.1710940957768129E-2</v>
      </c>
      <c r="D6282" s="2" t="str">
        <f t="shared" si="97"/>
        <v>Error?</v>
      </c>
      <c r="E6282" s="2" t="s">
        <v>199</v>
      </c>
    </row>
    <row r="6283" spans="1:5" x14ac:dyDescent="0.2">
      <c r="A6283">
        <v>6222</v>
      </c>
      <c r="B6283" s="138">
        <f>'Acct Summary 7-8'!J83</f>
        <v>0.13304962902481451</v>
      </c>
      <c r="D6283" s="2" t="str">
        <f t="shared" si="97"/>
        <v>Error?</v>
      </c>
      <c r="E6283" s="2" t="s">
        <v>199</v>
      </c>
    </row>
    <row r="6284" spans="1:5" x14ac:dyDescent="0.2">
      <c r="A6284">
        <v>6223</v>
      </c>
      <c r="B6284" s="138">
        <f>'Acct Summary 7-8'!K83</f>
        <v>0.49018892475552228</v>
      </c>
      <c r="D6284" s="2" t="str">
        <f t="shared" si="97"/>
        <v>Error?</v>
      </c>
      <c r="E6284" s="2" t="s">
        <v>199</v>
      </c>
    </row>
    <row r="6285" spans="1:5" x14ac:dyDescent="0.2">
      <c r="A6285">
        <v>6224</v>
      </c>
      <c r="B6285" s="138">
        <f>'Acct Summary 7-8'!E37</f>
        <v>2445480</v>
      </c>
      <c r="D6285" s="2" t="str">
        <f t="shared" si="97"/>
        <v>Error?</v>
      </c>
      <c r="E6285" s="2" t="s">
        <v>199</v>
      </c>
    </row>
    <row r="6286" spans="1:5" x14ac:dyDescent="0.2">
      <c r="A6286">
        <v>6225</v>
      </c>
      <c r="B6286" s="138">
        <f>'Acct Summary 7-8'!E38</f>
        <v>143501</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5282171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5282171</v>
      </c>
      <c r="D6301" s="2" t="str">
        <f t="shared" si="97"/>
        <v>Error?</v>
      </c>
      <c r="E6301" s="2" t="s">
        <v>199</v>
      </c>
    </row>
    <row r="6302" spans="1:5" x14ac:dyDescent="0.2">
      <c r="A6302">
        <v>6241</v>
      </c>
      <c r="B6302" s="138">
        <f>'Revenues 9-14'!J14</f>
        <v>5455</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5455</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5693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5693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88004</v>
      </c>
      <c r="D6339" s="2" t="str">
        <f t="shared" si="98"/>
        <v>Error?</v>
      </c>
      <c r="E6339" s="2" t="s">
        <v>199</v>
      </c>
    </row>
    <row r="6340" spans="1:5" x14ac:dyDescent="0.2">
      <c r="A6340">
        <v>6279</v>
      </c>
      <c r="B6340" s="138">
        <f>'Revenues 9-14'!C102</f>
        <v>21041</v>
      </c>
      <c r="D6340" s="2" t="str">
        <f t="shared" si="98"/>
        <v>Error?</v>
      </c>
      <c r="E6340" s="2" t="s">
        <v>199</v>
      </c>
    </row>
    <row r="6341" spans="1:5" x14ac:dyDescent="0.2">
      <c r="A6341">
        <v>6280</v>
      </c>
      <c r="B6341" s="138">
        <f>'Revenues 9-14'!D102</f>
        <v>129310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12093</v>
      </c>
      <c r="D6350" s="2" t="str">
        <f t="shared" si="98"/>
        <v>Error?</v>
      </c>
      <c r="E6350" s="2" t="s">
        <v>199</v>
      </c>
    </row>
    <row r="6351" spans="1:5" x14ac:dyDescent="0.2">
      <c r="A6351">
        <v>6290</v>
      </c>
      <c r="B6351" s="138">
        <f>'Revenues 9-14'!J108</f>
        <v>12093</v>
      </c>
      <c r="D6351" s="2" t="str">
        <f t="shared" si="98"/>
        <v>Error?</v>
      </c>
      <c r="E6351" s="2" t="s">
        <v>199</v>
      </c>
    </row>
    <row r="6352" spans="1:5" x14ac:dyDescent="0.2">
      <c r="A6352">
        <v>6291</v>
      </c>
      <c r="B6352" s="138">
        <f>'Revenues 9-14'!J109</f>
        <v>5305412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11709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35725</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16780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1955</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67631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54460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957</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957</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560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560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3029</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3029</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4264</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4264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8810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759196</v>
      </c>
      <c r="D6987" s="2" t="str">
        <f t="shared" si="108"/>
        <v>Error?</v>
      </c>
    </row>
    <row r="6988" spans="1:4" x14ac:dyDescent="0.2">
      <c r="A6988">
        <v>6927</v>
      </c>
      <c r="B6988" s="138">
        <f>'Expenditures 15-22'!K88</f>
        <v>759196</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759196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1153</v>
      </c>
      <c r="D7009" s="2" t="str">
        <f t="shared" si="108"/>
        <v>Error?</v>
      </c>
    </row>
    <row r="7010" spans="1:4" x14ac:dyDescent="0.2">
      <c r="A7010">
        <v>6949</v>
      </c>
      <c r="B7010" s="138">
        <f>'Expenditures 15-22'!K99</f>
        <v>1153</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1153</v>
      </c>
      <c r="D7012" s="2" t="str">
        <f t="shared" si="108"/>
        <v>Error?</v>
      </c>
    </row>
    <row r="7013" spans="1:4" x14ac:dyDescent="0.2">
      <c r="A7013">
        <v>6952</v>
      </c>
      <c r="B7013" s="138">
        <f>'Expenditures 15-22'!K100</f>
        <v>1153</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80371</v>
      </c>
      <c r="D7018" s="2" t="str">
        <f t="shared" si="108"/>
        <v>Error?</v>
      </c>
    </row>
    <row r="7019" spans="1:4" x14ac:dyDescent="0.2">
      <c r="A7019">
        <v>6958</v>
      </c>
      <c r="B7019" s="138">
        <f>'Expenditures 15-22'!K112</f>
        <v>80371</v>
      </c>
      <c r="D7019" s="2" t="str">
        <f t="shared" si="108"/>
        <v>Error?</v>
      </c>
    </row>
    <row r="7020" spans="1:4" x14ac:dyDescent="0.2">
      <c r="A7020">
        <v>6959</v>
      </c>
      <c r="B7020" s="138">
        <f>'Expenditures 15-22'!I114</f>
        <v>63270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17509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17509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17509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5215463</v>
      </c>
      <c r="D7042" s="2" t="str">
        <f t="shared" si="109"/>
        <v>Error?</v>
      </c>
    </row>
    <row r="7043" spans="1:5" x14ac:dyDescent="0.2">
      <c r="A7043">
        <v>6982</v>
      </c>
      <c r="B7043" s="138">
        <f>'Revenues 9-14'!H9</f>
        <v>0</v>
      </c>
      <c r="D7043" s="2" t="str">
        <f t="shared" si="109"/>
        <v>Error?</v>
      </c>
    </row>
    <row r="7044" spans="1:5" x14ac:dyDescent="0.2">
      <c r="A7044">
        <v>6983</v>
      </c>
      <c r="B7044" s="138">
        <f>'Revenues 9-14'!D106</f>
        <v>223307</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17509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5305412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22292</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22292</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22292</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202</v>
      </c>
      <c r="D7079" s="2" t="str">
        <f t="shared" si="109"/>
        <v>Error?</v>
      </c>
    </row>
    <row r="7080" spans="1:4" x14ac:dyDescent="0.2">
      <c r="A7080">
        <v>7019</v>
      </c>
      <c r="B7080" s="138">
        <f>'Expenditures 15-22'!K226</f>
        <v>202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25087</v>
      </c>
      <c r="D7097" s="2" t="str">
        <f t="shared" si="109"/>
        <v>Error?</v>
      </c>
    </row>
    <row r="7098" spans="1:4" x14ac:dyDescent="0.2">
      <c r="A7098">
        <v>7037</v>
      </c>
      <c r="B7098" s="138">
        <f>'Expenditures 15-22'!K256</f>
        <v>25087</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500311</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500311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9260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9260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780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780</v>
      </c>
      <c r="D7171" s="2" t="str">
        <f t="shared" si="111"/>
        <v>Error?</v>
      </c>
    </row>
    <row r="7172" spans="1:4" x14ac:dyDescent="0.2">
      <c r="A7172">
        <v>7111</v>
      </c>
      <c r="B7172" s="138">
        <f>'Expenditures 15-22'!C325</f>
        <v>2234086</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792035</v>
      </c>
      <c r="D7174" s="2" t="str">
        <f t="shared" si="111"/>
        <v>Error?</v>
      </c>
    </row>
    <row r="7175" spans="1:4" x14ac:dyDescent="0.2">
      <c r="A7175">
        <v>7114</v>
      </c>
      <c r="B7175" s="138">
        <f>'Expenditures 15-22'!F325</f>
        <v>21064</v>
      </c>
      <c r="D7175" s="2" t="str">
        <f t="shared" si="111"/>
        <v>Error?</v>
      </c>
    </row>
    <row r="7176" spans="1:4" x14ac:dyDescent="0.2">
      <c r="A7176">
        <v>7115</v>
      </c>
      <c r="B7176" s="138">
        <f>'Expenditures 15-22'!G325</f>
        <v>169980</v>
      </c>
      <c r="D7176" s="2" t="str">
        <f t="shared" si="111"/>
        <v>Error?</v>
      </c>
    </row>
    <row r="7177" spans="1:4" x14ac:dyDescent="0.2">
      <c r="A7177">
        <v>7116</v>
      </c>
      <c r="B7177" s="138">
        <f>'Expenditures 15-22'!H325</f>
        <v>1105</v>
      </c>
      <c r="D7177" s="2" t="str">
        <f t="shared" si="111"/>
        <v>Error?</v>
      </c>
    </row>
    <row r="7178" spans="1:4" x14ac:dyDescent="0.2">
      <c r="A7178">
        <v>7117</v>
      </c>
      <c r="B7178" s="138">
        <f>'Expenditures 15-22'!I325</f>
        <v>1779</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3220049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135252</v>
      </c>
      <c r="D7190" s="2" t="str">
        <f t="shared" si="111"/>
        <v>Error?</v>
      </c>
    </row>
    <row r="7191" spans="1:4" x14ac:dyDescent="0.2">
      <c r="A7191">
        <v>7130</v>
      </c>
      <c r="B7191" s="138">
        <f>'Expenditures 15-22'!D327</f>
        <v>21931</v>
      </c>
      <c r="D7191" s="2" t="str">
        <f t="shared" si="111"/>
        <v>Error?</v>
      </c>
    </row>
    <row r="7192" spans="1:4" x14ac:dyDescent="0.2">
      <c r="A7192">
        <v>7131</v>
      </c>
      <c r="B7192" s="138">
        <f>'Expenditures 15-22'!E327</f>
        <v>192729</v>
      </c>
      <c r="D7192" s="2" t="str">
        <f t="shared" si="111"/>
        <v>Error?</v>
      </c>
    </row>
    <row r="7193" spans="1:4" x14ac:dyDescent="0.2">
      <c r="A7193">
        <v>7132</v>
      </c>
      <c r="B7193" s="138">
        <f>'Expenditures 15-22'!F327</f>
        <v>15079</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240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365231</v>
      </c>
      <c r="D7198" s="2" t="str">
        <f t="shared" si="111"/>
        <v>Error?</v>
      </c>
    </row>
    <row r="7199" spans="1:4" x14ac:dyDescent="0.2">
      <c r="A7199">
        <v>7138</v>
      </c>
      <c r="B7199" s="138">
        <f>'Expenditures 15-22'!C330</f>
        <v>2369338</v>
      </c>
      <c r="D7199" s="2" t="str">
        <f t="shared" si="111"/>
        <v>Error?</v>
      </c>
    </row>
    <row r="7200" spans="1:4" x14ac:dyDescent="0.2">
      <c r="A7200">
        <v>7139</v>
      </c>
      <c r="B7200" s="138">
        <f>'Expenditures 15-22'!D330</f>
        <v>531502</v>
      </c>
      <c r="D7200" s="2" t="str">
        <f t="shared" si="111"/>
        <v>Error?</v>
      </c>
    </row>
    <row r="7201" spans="1:4" x14ac:dyDescent="0.2">
      <c r="A7201">
        <v>7140</v>
      </c>
      <c r="B7201" s="138">
        <f>'Expenditures 15-22'!E330</f>
        <v>2105376</v>
      </c>
      <c r="D7201" s="2" t="str">
        <f t="shared" si="111"/>
        <v>Error?</v>
      </c>
    </row>
    <row r="7202" spans="1:4" x14ac:dyDescent="0.2">
      <c r="A7202">
        <v>7141</v>
      </c>
      <c r="B7202" s="138">
        <f>'Expenditures 15-22'!F330</f>
        <v>36143</v>
      </c>
      <c r="D7202" s="2" t="str">
        <f t="shared" si="111"/>
        <v>Error?</v>
      </c>
    </row>
    <row r="7203" spans="1:4" x14ac:dyDescent="0.2">
      <c r="A7203">
        <v>7142</v>
      </c>
      <c r="B7203" s="138">
        <f>'Expenditures 15-22'!G330</f>
        <v>169980</v>
      </c>
      <c r="D7203" s="2" t="str">
        <f t="shared" si="111"/>
        <v>Error?</v>
      </c>
    </row>
    <row r="7204" spans="1:4" x14ac:dyDescent="0.2">
      <c r="A7204">
        <v>7143</v>
      </c>
      <c r="B7204" s="138">
        <f>'Expenditures 15-22'!H330</f>
        <v>1345</v>
      </c>
      <c r="D7204" s="2" t="str">
        <f t="shared" si="111"/>
        <v>Error?</v>
      </c>
    </row>
    <row r="7205" spans="1:4" x14ac:dyDescent="0.2">
      <c r="A7205">
        <v>7144</v>
      </c>
      <c r="B7205" s="138">
        <f>'Expenditures 15-22'!I330</f>
        <v>1779</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5215463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2369338</v>
      </c>
      <c r="D7216" s="2" t="str">
        <f t="shared" si="111"/>
        <v>Error?</v>
      </c>
    </row>
    <row r="7217" spans="1:4" x14ac:dyDescent="0.2">
      <c r="A7217">
        <v>7156</v>
      </c>
      <c r="B7217" s="138">
        <f>'Expenditures 15-22'!D342</f>
        <v>531502</v>
      </c>
      <c r="D7217" s="2" t="str">
        <f t="shared" si="111"/>
        <v>Error?</v>
      </c>
    </row>
    <row r="7218" spans="1:4" x14ac:dyDescent="0.2">
      <c r="A7218">
        <v>7157</v>
      </c>
      <c r="B7218" s="138">
        <f>'Expenditures 15-22'!E342</f>
        <v>2105376</v>
      </c>
      <c r="D7218" s="2" t="str">
        <f t="shared" si="111"/>
        <v>Error?</v>
      </c>
    </row>
    <row r="7219" spans="1:4" x14ac:dyDescent="0.2">
      <c r="A7219">
        <v>7158</v>
      </c>
      <c r="B7219" s="138">
        <f>'Expenditures 15-22'!F342</f>
        <v>36143</v>
      </c>
      <c r="D7219" s="2" t="str">
        <f t="shared" si="111"/>
        <v>Error?</v>
      </c>
    </row>
    <row r="7220" spans="1:4" x14ac:dyDescent="0.2">
      <c r="A7220">
        <v>7159</v>
      </c>
      <c r="B7220" s="138">
        <f>'Expenditures 15-22'!G342</f>
        <v>169980</v>
      </c>
      <c r="D7220" s="2" t="str">
        <f t="shared" si="111"/>
        <v>Error?</v>
      </c>
    </row>
    <row r="7221" spans="1:4" x14ac:dyDescent="0.2">
      <c r="A7221">
        <v>7160</v>
      </c>
      <c r="B7221" s="138">
        <f>'Expenditures 15-22'!H342</f>
        <v>1345</v>
      </c>
      <c r="D7221" s="2" t="str">
        <f t="shared" si="111"/>
        <v>Error?</v>
      </c>
    </row>
    <row r="7222" spans="1:4" x14ac:dyDescent="0.2">
      <c r="A7222">
        <v>7161</v>
      </c>
      <c r="B7222" s="138">
        <f>'Expenditures 15-22'!I342</f>
        <v>1779</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5215463</v>
      </c>
      <c r="D7224" s="2" t="str">
        <f t="shared" si="111"/>
        <v>Error?</v>
      </c>
    </row>
    <row r="7225" spans="1:4" x14ac:dyDescent="0.2">
      <c r="A7225">
        <v>7164</v>
      </c>
      <c r="B7225" s="138">
        <f>'Expenditures 15-22'!K343</f>
        <v>89949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136281</v>
      </c>
      <c r="D7240" s="2" t="str">
        <f t="shared" si="112"/>
        <v>Error?</v>
      </c>
    </row>
    <row r="7241" spans="1:4" x14ac:dyDescent="0.2">
      <c r="A7241">
        <v>7180</v>
      </c>
      <c r="B7241" s="138">
        <f>'Expenditures 15-22'!K363</f>
        <v>136281</v>
      </c>
      <c r="D7241" s="2" t="str">
        <f t="shared" si="112"/>
        <v>Error?</v>
      </c>
    </row>
    <row r="7242" spans="1:4" x14ac:dyDescent="0.2">
      <c r="A7242">
        <v>7181</v>
      </c>
      <c r="B7242" s="138">
        <f>'Expenditures 15-22'!H365</f>
        <v>136281</v>
      </c>
      <c r="D7242" s="2" t="str">
        <f t="shared" si="112"/>
        <v>Error?</v>
      </c>
    </row>
    <row r="7243" spans="1:4" x14ac:dyDescent="0.2">
      <c r="A7243">
        <v>7182</v>
      </c>
      <c r="B7243" s="138">
        <f>'Expenditures 15-22'!K365</f>
        <v>136281</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14329</v>
      </c>
      <c r="D7263" s="2" t="str">
        <f t="shared" si="112"/>
        <v>Error?</v>
      </c>
    </row>
    <row r="7264" spans="1:4" x14ac:dyDescent="0.2">
      <c r="A7264">
        <f t="shared" si="113"/>
        <v>7203</v>
      </c>
      <c r="B7264" s="138">
        <f>'Expenditures 15-22'!D17</f>
        <v>536</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52706</v>
      </c>
      <c r="D7267" s="2" t="str">
        <f t="shared" si="112"/>
        <v>Error?</v>
      </c>
    </row>
    <row r="7268" spans="1:5" x14ac:dyDescent="0.2">
      <c r="A7268">
        <f t="shared" si="113"/>
        <v>7207</v>
      </c>
      <c r="B7268" s="138">
        <f>'Expenditures 15-22'!H17</f>
        <v>60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126493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126493</v>
      </c>
      <c r="D7618" s="2" t="str">
        <f t="shared" si="124"/>
        <v>Error?</v>
      </c>
      <c r="E7618" s="2" t="s">
        <v>19</v>
      </c>
    </row>
    <row r="7619" spans="1:5" x14ac:dyDescent="0.2">
      <c r="A7619">
        <f t="shared" si="123"/>
        <v>7558</v>
      </c>
      <c r="B7619" s="138">
        <f>'Cap Outlay Deprec 26'!H14</f>
        <v>94869</v>
      </c>
      <c r="D7619" s="2" t="str">
        <f t="shared" si="124"/>
        <v>Error?</v>
      </c>
      <c r="E7619" s="2" t="s">
        <v>19</v>
      </c>
    </row>
    <row r="7620" spans="1:5" x14ac:dyDescent="0.2">
      <c r="A7620">
        <f t="shared" si="123"/>
        <v>7559</v>
      </c>
      <c r="B7620" s="138">
        <f>'Cap Outlay Deprec 26'!I14</f>
        <v>31624</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126493</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104850</v>
      </c>
      <c r="D7624" s="2" t="str">
        <f t="shared" si="124"/>
        <v>Error?</v>
      </c>
      <c r="E7624" s="2" t="s">
        <v>19</v>
      </c>
    </row>
    <row r="7625" spans="1:5" x14ac:dyDescent="0.2">
      <c r="A7625">
        <f t="shared" si="123"/>
        <v>7564</v>
      </c>
      <c r="B7625" s="138">
        <f>'Cap Outlay Deprec 26'!I17</f>
        <v>10485</v>
      </c>
      <c r="D7625" s="2" t="str">
        <f t="shared" si="124"/>
        <v>Error?</v>
      </c>
      <c r="E7625" s="2" t="s">
        <v>19</v>
      </c>
    </row>
    <row r="7626" spans="1:5" x14ac:dyDescent="0.2">
      <c r="A7626">
        <f t="shared" si="123"/>
        <v>7565</v>
      </c>
      <c r="D7626" s="2" t="str">
        <f t="shared" si="124"/>
        <v>OK</v>
      </c>
      <c r="E7626" s="4" t="s">
        <v>1397</v>
      </c>
    </row>
    <row r="7627" spans="1:5" x14ac:dyDescent="0.2">
      <c r="A7627">
        <f t="shared" si="123"/>
        <v>7566</v>
      </c>
      <c r="D7627" s="2" t="str">
        <f t="shared" si="124"/>
        <v>OK</v>
      </c>
      <c r="E7627" s="4" t="s">
        <v>1397</v>
      </c>
    </row>
    <row r="7628" spans="1:5" x14ac:dyDescent="0.2">
      <c r="A7628">
        <f t="shared" si="123"/>
        <v>7567</v>
      </c>
      <c r="D7628" s="2" t="str">
        <f t="shared" si="124"/>
        <v>OK</v>
      </c>
      <c r="E7628" s="2" t="s">
        <v>19</v>
      </c>
    </row>
    <row r="7629" spans="1:5" x14ac:dyDescent="0.2">
      <c r="A7629">
        <f t="shared" si="123"/>
        <v>7568</v>
      </c>
      <c r="D7629" s="2" t="str">
        <f t="shared" si="124"/>
        <v>OK</v>
      </c>
      <c r="E7629" s="4" t="s">
        <v>1397</v>
      </c>
    </row>
    <row r="7630" spans="1:5" x14ac:dyDescent="0.2">
      <c r="A7630">
        <f t="shared" ref="A7630:A7650" si="125">A7629+1</f>
        <v>7569</v>
      </c>
      <c r="D7630" s="2" t="str">
        <f t="shared" si="124"/>
        <v>OK</v>
      </c>
      <c r="E7630" s="4" t="s">
        <v>1397</v>
      </c>
    </row>
    <row r="7631" spans="1:5" x14ac:dyDescent="0.2">
      <c r="A7631">
        <f t="shared" si="125"/>
        <v>7570</v>
      </c>
      <c r="B7631" s="138">
        <f>'Cap Outlay Deprec 26'!I18</f>
        <v>8070065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1397</v>
      </c>
    </row>
    <row r="7634" spans="1:6" x14ac:dyDescent="0.2">
      <c r="A7634">
        <f t="shared" si="125"/>
        <v>7573</v>
      </c>
      <c r="D7634" s="2" t="str">
        <f t="shared" si="124"/>
        <v>OK</v>
      </c>
      <c r="E7634" s="4" t="s">
        <v>1397</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942127</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942127</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177705</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177705</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88004</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68486</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156490</v>
      </c>
      <c r="D7719" s="2" t="str">
        <f t="shared" si="126"/>
        <v>Error?</v>
      </c>
      <c r="E7719" s="2" t="s">
        <v>880</v>
      </c>
    </row>
    <row r="7720" spans="1:6" x14ac:dyDescent="0.2">
      <c r="A7720">
        <v>7659</v>
      </c>
      <c r="B7720" s="138">
        <f>'Rest Tax Levies-Tort Im 25'!H14</f>
        <v>881427</v>
      </c>
      <c r="D7720" s="2" t="str">
        <f t="shared" si="126"/>
        <v>Error?</v>
      </c>
      <c r="E7720" s="2" t="s">
        <v>880</v>
      </c>
    </row>
    <row r="7721" spans="1:6" x14ac:dyDescent="0.2">
      <c r="A7721">
        <v>7660</v>
      </c>
      <c r="B7721" s="138">
        <f>'Rest Tax Levies-Tort Im 25'!K14</f>
        <v>156490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1397</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1396</v>
      </c>
    </row>
    <row r="7749" spans="1:6" x14ac:dyDescent="0.2">
      <c r="A7749">
        <v>7688</v>
      </c>
      <c r="B7749" s="138">
        <f>'Acct Summary 7-8'!D25</f>
        <v>0</v>
      </c>
      <c r="D7749" s="2" t="str">
        <f t="shared" si="127"/>
        <v>Error?</v>
      </c>
      <c r="E7749" s="4" t="s">
        <v>1396</v>
      </c>
    </row>
    <row r="7750" spans="1:6" x14ac:dyDescent="0.2">
      <c r="A7750">
        <v>7689</v>
      </c>
      <c r="B7750" s="138">
        <f>'Acct Summary 7-8'!E25</f>
        <v>0</v>
      </c>
      <c r="D7750" s="2" t="str">
        <f t="shared" si="127"/>
        <v>Error?</v>
      </c>
      <c r="E7750" s="4" t="s">
        <v>1396</v>
      </c>
    </row>
    <row r="7751" spans="1:6" x14ac:dyDescent="0.2">
      <c r="A7751">
        <v>7690</v>
      </c>
      <c r="B7751" s="138">
        <f>'Acct Summary 7-8'!F25</f>
        <v>3500000</v>
      </c>
      <c r="D7751" s="2" t="str">
        <f t="shared" si="127"/>
        <v>Error?</v>
      </c>
      <c r="E7751" s="4" t="s">
        <v>1396</v>
      </c>
    </row>
    <row r="7752" spans="1:6" x14ac:dyDescent="0.2">
      <c r="A7752">
        <v>7691</v>
      </c>
      <c r="B7752" s="138">
        <f>'Acct Summary 7-8'!G25</f>
        <v>0</v>
      </c>
      <c r="D7752" s="2" t="str">
        <f t="shared" si="127"/>
        <v>Error?</v>
      </c>
      <c r="E7752" s="4" t="s">
        <v>1396</v>
      </c>
    </row>
    <row r="7753" spans="1:6" x14ac:dyDescent="0.2">
      <c r="A7753">
        <v>7692</v>
      </c>
      <c r="B7753" s="138">
        <f>'Acct Summary 7-8'!H25</f>
        <v>0</v>
      </c>
      <c r="D7753" s="2" t="str">
        <f t="shared" si="127"/>
        <v>Error?</v>
      </c>
      <c r="E7753" s="4" t="s">
        <v>1396</v>
      </c>
    </row>
    <row r="7754" spans="1:6" x14ac:dyDescent="0.2">
      <c r="A7754">
        <v>7693</v>
      </c>
      <c r="B7754" s="138">
        <f>'Acct Summary 7-8'!J25</f>
        <v>0</v>
      </c>
      <c r="D7754" s="2" t="str">
        <f t="shared" si="127"/>
        <v>Error?</v>
      </c>
      <c r="E7754" s="4" t="s">
        <v>1396</v>
      </c>
    </row>
    <row r="7755" spans="1:6" x14ac:dyDescent="0.2">
      <c r="A7755">
        <v>7694</v>
      </c>
      <c r="B7755" s="138">
        <f>'Acct Summary 7-8'!K25</f>
        <v>0</v>
      </c>
      <c r="D7755" s="2" t="str">
        <f t="shared" si="127"/>
        <v>Error?</v>
      </c>
      <c r="E7755" s="4" t="s">
        <v>1396</v>
      </c>
    </row>
    <row r="7756" spans="1:6" x14ac:dyDescent="0.2">
      <c r="A7756">
        <v>7695</v>
      </c>
      <c r="B7756" s="138">
        <f>'Aud Quest 2'!E85</f>
        <v>0</v>
      </c>
      <c r="D7756" s="2" t="str">
        <f t="shared" si="127"/>
        <v>Error?</v>
      </c>
      <c r="E7756" s="4" t="s">
        <v>1396</v>
      </c>
      <c r="F7756" t="s">
        <v>1516</v>
      </c>
    </row>
    <row r="7757" spans="1:6" x14ac:dyDescent="0.2">
      <c r="A7757">
        <v>7696</v>
      </c>
      <c r="B7757" s="138">
        <f>'Aud Quest 2'!E87</f>
        <v>0</v>
      </c>
      <c r="D7757" s="2" t="str">
        <f t="shared" si="127"/>
        <v>Error?</v>
      </c>
      <c r="E7757" s="4" t="s">
        <v>1396</v>
      </c>
      <c r="F7757" t="s">
        <v>1516</v>
      </c>
    </row>
    <row r="7758" spans="1:6" x14ac:dyDescent="0.2">
      <c r="A7758">
        <v>7697</v>
      </c>
      <c r="B7758" s="138">
        <f>'Aud Quest 2'!J85</f>
        <v>0</v>
      </c>
      <c r="D7758" s="2" t="str">
        <f t="shared" si="127"/>
        <v>Error?</v>
      </c>
      <c r="E7758" s="4" t="s">
        <v>1396</v>
      </c>
    </row>
    <row r="7759" spans="1:6" x14ac:dyDescent="0.2">
      <c r="A7759">
        <v>7698</v>
      </c>
      <c r="B7759" s="138">
        <f>'Aud Quest 2'!J88</f>
        <v>0</v>
      </c>
      <c r="D7759" s="2" t="str">
        <f t="shared" si="127"/>
        <v>Error?</v>
      </c>
      <c r="E7759" s="4" t="s">
        <v>1396</v>
      </c>
    </row>
    <row r="7760" spans="1:6" x14ac:dyDescent="0.2">
      <c r="A7760">
        <v>7699</v>
      </c>
      <c r="B7760" s="138">
        <f>'Aud Quest 2'!J90</f>
        <v>0</v>
      </c>
      <c r="D7760" s="2" t="str">
        <f t="shared" si="127"/>
        <v>Error?</v>
      </c>
      <c r="E7760" s="4" t="s">
        <v>1396</v>
      </c>
    </row>
    <row r="7761" spans="1:5" x14ac:dyDescent="0.2">
      <c r="A7761">
        <v>7700</v>
      </c>
      <c r="B7761" s="138">
        <f>'Revenues 9-14'!C260</f>
        <v>0</v>
      </c>
      <c r="D7761" s="2" t="str">
        <f t="shared" si="127"/>
        <v>Error?</v>
      </c>
      <c r="E7761" s="4" t="s">
        <v>1490</v>
      </c>
    </row>
    <row r="7762" spans="1:5" x14ac:dyDescent="0.2">
      <c r="A7762">
        <v>7701</v>
      </c>
      <c r="B7762" s="138">
        <f>'Expenditures 15-22'!E6</f>
        <v>0</v>
      </c>
      <c r="D7762" s="2" t="str">
        <f t="shared" si="127"/>
        <v>Error?</v>
      </c>
      <c r="E7762" s="4" t="s">
        <v>1503</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1531</v>
      </c>
    </row>
    <row r="7765" spans="1:5" x14ac:dyDescent="0.2">
      <c r="A7765">
        <v>7704</v>
      </c>
      <c r="B7765" s="138">
        <f>'Revenues 9-14'!C261</f>
        <v>334644</v>
      </c>
      <c r="D7765" s="2" t="str">
        <f t="shared" si="127"/>
        <v>Error?</v>
      </c>
      <c r="E7765" s="4" t="s">
        <v>1535</v>
      </c>
    </row>
    <row r="7766" spans="1:5" x14ac:dyDescent="0.2">
      <c r="A7766">
        <v>7705</v>
      </c>
      <c r="B7766" s="138">
        <f>'Revenues 9-14'!D261</f>
        <v>0</v>
      </c>
      <c r="D7766" s="2" t="str">
        <f t="shared" si="127"/>
        <v>Error?</v>
      </c>
      <c r="E7766" s="4" t="s">
        <v>1535</v>
      </c>
    </row>
    <row r="7767" spans="1:5" x14ac:dyDescent="0.2">
      <c r="A7767" s="129">
        <v>7706</v>
      </c>
      <c r="E7767" s="4"/>
    </row>
    <row r="7768" spans="1:5" x14ac:dyDescent="0.2">
      <c r="A7768">
        <v>7707</v>
      </c>
      <c r="B7768" s="138">
        <f>'Revenues 9-14'!F261</f>
        <v>121621</v>
      </c>
      <c r="D7768" s="2" t="str">
        <f t="shared" si="127"/>
        <v>Error?</v>
      </c>
      <c r="E7768" s="4" t="s">
        <v>1535</v>
      </c>
    </row>
    <row r="7769" spans="1:5" x14ac:dyDescent="0.2">
      <c r="A7769">
        <v>7708</v>
      </c>
      <c r="B7769" s="138">
        <f>'Revenues 9-14'!G261</f>
        <v>0</v>
      </c>
      <c r="D7769" s="2" t="str">
        <f t="shared" si="127"/>
        <v>Error?</v>
      </c>
      <c r="E7769" s="4" t="s">
        <v>1535</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1536</v>
      </c>
    </row>
    <row r="7773" spans="1:5" x14ac:dyDescent="0.2">
      <c r="A7773">
        <v>7712</v>
      </c>
      <c r="B7773" s="138">
        <f>'Rest Tax Levies-Tort Im 25'!J22</f>
        <v>0</v>
      </c>
      <c r="D7773" s="2" t="str">
        <f t="shared" si="127"/>
        <v>Error?</v>
      </c>
      <c r="E7773" s="4" t="s">
        <v>1630</v>
      </c>
    </row>
    <row r="7774" spans="1:5" x14ac:dyDescent="0.2">
      <c r="A7774">
        <v>7713</v>
      </c>
      <c r="B7774" s="138">
        <f>'Expenditures 15-22'!E133</f>
        <v>0</v>
      </c>
      <c r="D7774" s="2" t="str">
        <f t="shared" si="127"/>
        <v>Error?</v>
      </c>
      <c r="E7774" s="4" t="s">
        <v>1959</v>
      </c>
    </row>
    <row r="7775" spans="1:5" x14ac:dyDescent="0.2">
      <c r="A7775">
        <v>7714</v>
      </c>
      <c r="B7775" s="138">
        <f>'Expenditures 15-22'!H133</f>
        <v>0</v>
      </c>
      <c r="D7775" s="2" t="str">
        <f t="shared" si="127"/>
        <v>Error?</v>
      </c>
      <c r="E7775" s="4" t="s">
        <v>1959</v>
      </c>
    </row>
    <row r="7776" spans="1:5" x14ac:dyDescent="0.2">
      <c r="A7776">
        <v>7715</v>
      </c>
      <c r="B7776" s="138">
        <f>'Expenditures 15-22'!K133</f>
        <v>0</v>
      </c>
      <c r="D7776" s="2" t="str">
        <f t="shared" si="127"/>
        <v>Error?</v>
      </c>
      <c r="E7776" s="4" t="s">
        <v>1959</v>
      </c>
    </row>
    <row r="7777" spans="1:5" x14ac:dyDescent="0.2">
      <c r="A7777">
        <v>7716</v>
      </c>
      <c r="B7777" s="138">
        <f>'Expenditures 15-22'!H157</f>
        <v>0</v>
      </c>
      <c r="D7777" s="2" t="str">
        <f t="shared" si="127"/>
        <v>Error?</v>
      </c>
      <c r="E7777" s="4" t="s">
        <v>1959</v>
      </c>
    </row>
    <row r="7778" spans="1:5" x14ac:dyDescent="0.2">
      <c r="A7778">
        <v>7717</v>
      </c>
      <c r="B7778" s="138">
        <f>'Expenditures 15-22'!K157</f>
        <v>0</v>
      </c>
      <c r="D7778" s="2" t="str">
        <f t="shared" si="127"/>
        <v>Error?</v>
      </c>
      <c r="E7778" s="4" t="s">
        <v>1959</v>
      </c>
    </row>
    <row r="7779" spans="1:5" x14ac:dyDescent="0.2">
      <c r="A7779">
        <v>7718</v>
      </c>
      <c r="B7779" s="138">
        <f>'Expenditures 15-22'!H158</f>
        <v>0</v>
      </c>
      <c r="D7779" s="2" t="str">
        <f t="shared" si="127"/>
        <v>Error?</v>
      </c>
      <c r="E7779" s="4" t="s">
        <v>1959</v>
      </c>
    </row>
    <row r="7780" spans="1:5" x14ac:dyDescent="0.2">
      <c r="A7780">
        <v>7719</v>
      </c>
      <c r="B7780" s="138">
        <f>'Expenditures 15-22'!K158</f>
        <v>0</v>
      </c>
      <c r="D7780" s="2" t="str">
        <f t="shared" si="127"/>
        <v>Error?</v>
      </c>
      <c r="E7780" s="4" t="s">
        <v>1959</v>
      </c>
    </row>
    <row r="7781" spans="1:5" x14ac:dyDescent="0.2">
      <c r="A7781">
        <v>7720</v>
      </c>
      <c r="B7781" s="138">
        <f>'Expenditures 15-22'!H159</f>
        <v>0</v>
      </c>
      <c r="D7781" s="2" t="str">
        <f t="shared" si="127"/>
        <v>Error?</v>
      </c>
      <c r="E7781" s="4" t="s">
        <v>1959</v>
      </c>
    </row>
    <row r="7782" spans="1:5" x14ac:dyDescent="0.2">
      <c r="A7782">
        <v>7721</v>
      </c>
      <c r="B7782" s="138">
        <f>'Expenditures 15-22'!K159</f>
        <v>0</v>
      </c>
      <c r="D7782" s="2" t="str">
        <f t="shared" si="127"/>
        <v>Error?</v>
      </c>
      <c r="E7782" s="4" t="s">
        <v>1959</v>
      </c>
    </row>
    <row r="7783" spans="1:5" x14ac:dyDescent="0.2">
      <c r="A7783">
        <v>7722</v>
      </c>
      <c r="B7783" s="138">
        <f>'Expenditures 15-22'!D282</f>
        <v>0</v>
      </c>
      <c r="D7783" s="2" t="str">
        <f t="shared" si="127"/>
        <v>Error?</v>
      </c>
      <c r="E7783" s="4" t="s">
        <v>1959</v>
      </c>
    </row>
    <row r="7784" spans="1:5" x14ac:dyDescent="0.2">
      <c r="A7784">
        <v>7723</v>
      </c>
      <c r="B7784" s="138">
        <f>'Expenditures 15-22'!K282</f>
        <v>0</v>
      </c>
      <c r="D7784" s="2" t="str">
        <f t="shared" si="127"/>
        <v>Error?</v>
      </c>
      <c r="E7784" s="4" t="s">
        <v>1959</v>
      </c>
    </row>
    <row r="7785" spans="1:5" x14ac:dyDescent="0.2">
      <c r="A7785">
        <v>7724</v>
      </c>
      <c r="B7785" s="138">
        <f>'Expenditures 15-22'!H332</f>
        <v>0</v>
      </c>
      <c r="D7785" s="2" t="str">
        <f t="shared" si="127"/>
        <v>Error?</v>
      </c>
      <c r="E7785" s="4" t="s">
        <v>1959</v>
      </c>
    </row>
    <row r="7786" spans="1:5" x14ac:dyDescent="0.2">
      <c r="A7786">
        <v>7725</v>
      </c>
      <c r="B7786" s="138">
        <f>'Expenditures 15-22'!K332</f>
        <v>0</v>
      </c>
      <c r="D7786" s="2" t="str">
        <f t="shared" si="127"/>
        <v>Error?</v>
      </c>
      <c r="E7786" s="4" t="s">
        <v>1959</v>
      </c>
    </row>
    <row r="7787" spans="1:5" x14ac:dyDescent="0.2">
      <c r="A7787">
        <v>7726</v>
      </c>
      <c r="B7787" s="138">
        <f>'Expenditures 15-22'!H333</f>
        <v>0</v>
      </c>
      <c r="D7787" s="2" t="str">
        <f t="shared" si="127"/>
        <v>Error?</v>
      </c>
      <c r="E7787" s="4" t="s">
        <v>1959</v>
      </c>
    </row>
    <row r="7788" spans="1:5" x14ac:dyDescent="0.2">
      <c r="A7788">
        <v>7727</v>
      </c>
      <c r="B7788" s="138">
        <f>'Expenditures 15-22'!K333</f>
        <v>0</v>
      </c>
      <c r="D7788" s="2" t="str">
        <f t="shared" si="127"/>
        <v>Error?</v>
      </c>
      <c r="E7788" s="4" t="s">
        <v>1959</v>
      </c>
    </row>
    <row r="7789" spans="1:5" x14ac:dyDescent="0.2">
      <c r="A7789">
        <v>7728</v>
      </c>
      <c r="B7789" s="138">
        <f>'Expenditures 15-22'!H334</f>
        <v>0</v>
      </c>
      <c r="D7789" s="2" t="str">
        <f t="shared" si="127"/>
        <v>Error?</v>
      </c>
      <c r="E7789" s="4" t="s">
        <v>1959</v>
      </c>
    </row>
    <row r="7790" spans="1:5" x14ac:dyDescent="0.2">
      <c r="A7790">
        <v>7729</v>
      </c>
      <c r="B7790" s="138">
        <f>'Expenditures 15-22'!K334</f>
        <v>0</v>
      </c>
      <c r="D7790" s="2" t="str">
        <f t="shared" si="127"/>
        <v>Error?</v>
      </c>
      <c r="E7790" s="4" t="s">
        <v>1959</v>
      </c>
    </row>
    <row r="7791" spans="1:5" x14ac:dyDescent="0.2">
      <c r="A7791">
        <v>7730</v>
      </c>
      <c r="B7791" s="138">
        <f>'Expenditures 15-22'!H354</f>
        <v>0</v>
      </c>
      <c r="D7791" s="2" t="str">
        <f t="shared" si="127"/>
        <v>Error?</v>
      </c>
      <c r="E7791" s="4" t="s">
        <v>1959</v>
      </c>
    </row>
    <row r="7792" spans="1:5" x14ac:dyDescent="0.2">
      <c r="A7792">
        <v>7731</v>
      </c>
      <c r="B7792" s="138">
        <f>'Expenditures 15-22'!K354</f>
        <v>0</v>
      </c>
      <c r="D7792" s="2" t="str">
        <f t="shared" si="127"/>
        <v>Error?</v>
      </c>
      <c r="E7792" s="4" t="s">
        <v>1959</v>
      </c>
    </row>
    <row r="7793" spans="1:5" x14ac:dyDescent="0.2">
      <c r="A7793">
        <v>7732</v>
      </c>
      <c r="B7793" s="138">
        <f>'Expenditures 15-22'!H355</f>
        <v>0</v>
      </c>
      <c r="D7793" s="2" t="str">
        <f t="shared" si="127"/>
        <v>Error?</v>
      </c>
      <c r="E7793" s="4" t="s">
        <v>1959</v>
      </c>
    </row>
    <row r="7794" spans="1:5" x14ac:dyDescent="0.2">
      <c r="A7794">
        <v>7733</v>
      </c>
      <c r="B7794" s="138">
        <f>'Expenditures 15-22'!K355</f>
        <v>0</v>
      </c>
      <c r="D7794" s="2" t="str">
        <f t="shared" si="127"/>
        <v>Error?</v>
      </c>
      <c r="E7794" s="4" t="s">
        <v>1959</v>
      </c>
    </row>
    <row r="7795" spans="1:5" x14ac:dyDescent="0.2">
      <c r="A7795">
        <v>7734</v>
      </c>
      <c r="B7795" s="138">
        <f>'Expenditures 15-22'!E138</f>
        <v>0</v>
      </c>
      <c r="D7795" s="2" t="str">
        <f t="shared" si="127"/>
        <v>Error?</v>
      </c>
      <c r="E7795" s="4" t="s">
        <v>1959</v>
      </c>
    </row>
    <row r="7796" spans="1:5" x14ac:dyDescent="0.2">
      <c r="A7796">
        <v>7735</v>
      </c>
      <c r="B7796" s="138">
        <f>'Acct Summary 7-8'!J15</f>
        <v>0</v>
      </c>
      <c r="D7796" s="2" t="str">
        <f t="shared" si="127"/>
        <v>Error?</v>
      </c>
      <c r="E7796" s="4" t="s">
        <v>1959</v>
      </c>
    </row>
    <row r="7797" spans="1:5" x14ac:dyDescent="0.2">
      <c r="A7797">
        <v>7736</v>
      </c>
      <c r="B7797" s="138">
        <f>'Contracts Paid in CY 29'!D141</f>
        <v>0</v>
      </c>
      <c r="D7797" s="2" t="str">
        <f t="shared" si="127"/>
        <v>Error?</v>
      </c>
      <c r="E7797" s="4" t="s">
        <v>2012</v>
      </c>
    </row>
    <row r="7798" spans="1:5" x14ac:dyDescent="0.2">
      <c r="A7798">
        <v>7737</v>
      </c>
      <c r="B7798" s="138">
        <f>'Contracts Paid in CY 29'!F141</f>
        <v>0</v>
      </c>
      <c r="D7798" s="2" t="str">
        <f t="shared" si="127"/>
        <v>Error?</v>
      </c>
      <c r="E7798" s="4" t="s">
        <v>2012</v>
      </c>
    </row>
    <row r="7799" spans="1:5" x14ac:dyDescent="0.2">
      <c r="A7799">
        <v>7738</v>
      </c>
      <c r="B7799" s="138">
        <f>'Contracts Paid in CY 29'!G141</f>
        <v>0</v>
      </c>
      <c r="D7799" s="2" t="str">
        <f t="shared" si="127"/>
        <v>Error?</v>
      </c>
      <c r="E7799" s="4" t="s">
        <v>2012</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6" t="s">
        <v>1252</v>
      </c>
      <c r="B2" s="2426"/>
      <c r="C2" s="2426"/>
      <c r="D2" s="2426"/>
      <c r="E2" s="2426"/>
      <c r="F2" s="2426"/>
      <c r="G2" s="2426"/>
      <c r="H2" s="2426"/>
      <c r="I2" s="2426"/>
      <c r="J2" s="2426"/>
      <c r="K2" s="2426"/>
      <c r="L2" s="2426"/>
    </row>
    <row r="3" spans="1:29" ht="13.5" customHeight="1" x14ac:dyDescent="0.2">
      <c r="A3" s="2410" t="s">
        <v>1251</v>
      </c>
      <c r="B3" s="2410"/>
      <c r="C3" s="2410"/>
      <c r="D3" s="2410"/>
      <c r="E3" s="2410"/>
      <c r="F3" s="2410"/>
      <c r="G3" s="2410"/>
      <c r="H3" s="2410"/>
      <c r="I3" s="2410"/>
      <c r="J3" s="2410"/>
      <c r="K3" s="2410"/>
      <c r="L3" s="2410"/>
    </row>
    <row r="4" spans="1:29" ht="13.5" customHeight="1" x14ac:dyDescent="0.2">
      <c r="A4" s="2426" t="s">
        <v>1795</v>
      </c>
      <c r="B4" s="2443"/>
      <c r="C4" s="2443"/>
      <c r="D4" s="2443"/>
      <c r="E4" s="2443"/>
      <c r="F4" s="2443"/>
      <c r="G4" s="2443"/>
      <c r="H4" s="2443"/>
      <c r="I4" s="2443"/>
      <c r="J4" s="2443"/>
      <c r="K4" s="2443"/>
      <c r="L4" s="244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04" t="str">
        <f>COVER!A17</f>
        <v>McLean County USD 5</v>
      </c>
      <c r="B7" s="2405"/>
      <c r="C7" s="2405"/>
      <c r="D7" s="2444"/>
      <c r="E7" s="2445" t="str">
        <f>COVER!A13</f>
        <v>17-064-0050-26</v>
      </c>
      <c r="F7" s="2446"/>
      <c r="G7" s="2411" t="str">
        <f>COVER!T23</f>
        <v>066-004450</v>
      </c>
      <c r="H7" s="2412"/>
      <c r="I7" s="2412"/>
      <c r="J7" s="2412"/>
      <c r="K7" s="2412"/>
      <c r="L7" s="2413"/>
    </row>
    <row r="8" spans="1:29" ht="13.5" customHeight="1" x14ac:dyDescent="0.2">
      <c r="A8" s="1185" t="s">
        <v>1593</v>
      </c>
      <c r="B8" s="1186"/>
      <c r="C8" s="1187"/>
      <c r="D8" s="1187"/>
      <c r="E8" s="1192"/>
      <c r="F8" s="1191"/>
      <c r="G8" s="1193" t="s">
        <v>1247</v>
      </c>
      <c r="H8" s="1194"/>
      <c r="I8" s="1194"/>
      <c r="J8" s="1194"/>
      <c r="K8" s="1194"/>
      <c r="L8" s="1195"/>
    </row>
    <row r="9" spans="1:29" ht="13.5" customHeight="1" x14ac:dyDescent="0.2">
      <c r="A9" s="2414"/>
      <c r="B9" s="2415"/>
      <c r="C9" s="2415"/>
      <c r="D9" s="2415"/>
      <c r="E9" s="2415"/>
      <c r="F9" s="2416"/>
      <c r="G9" s="2417" t="str">
        <f>COVER!T13</f>
        <v>CliftonLarsonAllen LLP</v>
      </c>
      <c r="H9" s="2418"/>
      <c r="I9" s="2418"/>
      <c r="J9" s="2418"/>
      <c r="K9" s="2418"/>
      <c r="L9" s="2419"/>
    </row>
    <row r="10" spans="1:29" ht="13.5" customHeight="1" x14ac:dyDescent="0.2">
      <c r="A10" s="2401"/>
      <c r="B10" s="2402"/>
      <c r="C10" s="2402"/>
      <c r="D10" s="2402"/>
      <c r="E10" s="2402"/>
      <c r="F10" s="2403"/>
      <c r="G10" s="2417" t="str">
        <f>COVER!T17</f>
        <v>301 S.W. Adams Street, Suite 1000</v>
      </c>
      <c r="H10" s="2432"/>
      <c r="I10" s="2432"/>
      <c r="J10" s="2432"/>
      <c r="K10" s="2432"/>
      <c r="L10" s="2433"/>
    </row>
    <row r="11" spans="1:29" ht="13.5" customHeight="1" x14ac:dyDescent="0.2">
      <c r="A11" s="1185" t="s">
        <v>1595</v>
      </c>
      <c r="B11" s="1186"/>
      <c r="C11" s="1187"/>
      <c r="D11" s="1192"/>
      <c r="E11" s="1187"/>
      <c r="F11" s="1191"/>
      <c r="G11" s="2417" t="s">
        <v>2186</v>
      </c>
      <c r="H11" s="2432"/>
      <c r="I11" s="2432"/>
      <c r="J11" s="2432"/>
      <c r="K11" s="2432"/>
      <c r="L11" s="2433"/>
    </row>
    <row r="12" spans="1:29" ht="13.5" customHeight="1" x14ac:dyDescent="0.2">
      <c r="A12" s="2437" t="s">
        <v>1594</v>
      </c>
      <c r="B12" s="2438"/>
      <c r="C12" s="2438"/>
      <c r="D12" s="2438"/>
      <c r="E12" s="2438"/>
      <c r="F12" s="2439"/>
      <c r="G12" s="2434"/>
      <c r="H12" s="2435"/>
      <c r="I12" s="2435"/>
      <c r="J12" s="2435"/>
      <c r="K12" s="2435"/>
      <c r="L12" s="2436"/>
    </row>
    <row r="13" spans="1:29" ht="13.5" customHeight="1" x14ac:dyDescent="0.2">
      <c r="A13" s="2417"/>
      <c r="B13" s="2432"/>
      <c r="C13" s="2432"/>
      <c r="D13" s="2432"/>
      <c r="E13" s="2432"/>
      <c r="F13" s="2433"/>
      <c r="G13" s="2427" t="s">
        <v>1596</v>
      </c>
      <c r="H13" s="2428"/>
      <c r="I13" s="2440" t="str">
        <f>COVER!T25</f>
        <v>Adam.Pulley@claconnect.com</v>
      </c>
      <c r="J13" s="2441"/>
      <c r="K13" s="2441"/>
      <c r="L13" s="2442"/>
    </row>
    <row r="14" spans="1:29" ht="13.5" customHeight="1" x14ac:dyDescent="0.2">
      <c r="A14" s="2417" t="str">
        <f>COVER!A19</f>
        <v>1809 West Hovey</v>
      </c>
      <c r="B14" s="2432"/>
      <c r="C14" s="2432"/>
      <c r="D14" s="2432"/>
      <c r="E14" s="2432"/>
      <c r="F14" s="2433"/>
      <c r="G14" s="1196" t="s">
        <v>1246</v>
      </c>
      <c r="H14" s="1194"/>
      <c r="I14" s="1194"/>
      <c r="J14" s="1194"/>
      <c r="K14" s="1194"/>
      <c r="L14" s="1195"/>
    </row>
    <row r="15" spans="1:29" ht="13.5" customHeight="1" x14ac:dyDescent="0.2">
      <c r="A15" s="2417" t="str">
        <f>COVER!A21</f>
        <v>Normal</v>
      </c>
      <c r="B15" s="2432"/>
      <c r="C15" s="2432"/>
      <c r="D15" s="2432"/>
      <c r="E15" s="2432"/>
      <c r="F15" s="2433"/>
      <c r="G15" s="2429" t="str">
        <f>COVER!T15</f>
        <v>Adam Pulley</v>
      </c>
      <c r="H15" s="2430"/>
      <c r="I15" s="2430"/>
      <c r="J15" s="2430"/>
      <c r="K15" s="2430"/>
      <c r="L15" s="2431"/>
    </row>
    <row r="16" spans="1:29" ht="12.2" customHeight="1" x14ac:dyDescent="0.2">
      <c r="A16" s="2407" t="s">
        <v>2112</v>
      </c>
      <c r="B16" s="2408"/>
      <c r="C16" s="2408"/>
      <c r="D16" s="2408"/>
      <c r="E16" s="2408"/>
      <c r="F16" s="2409"/>
      <c r="G16" s="2420"/>
      <c r="H16" s="2421"/>
      <c r="I16" s="2421"/>
      <c r="J16" s="2421"/>
      <c r="K16" s="2421"/>
      <c r="L16" s="2422"/>
    </row>
    <row r="17" spans="1:13" ht="12.2" customHeight="1" x14ac:dyDescent="0.2">
      <c r="A17" s="2423"/>
      <c r="B17" s="2424"/>
      <c r="C17" s="2424"/>
      <c r="D17" s="2424"/>
      <c r="E17" s="2424"/>
      <c r="F17" s="2425"/>
      <c r="G17" s="1196" t="s">
        <v>1245</v>
      </c>
      <c r="H17" s="1194"/>
      <c r="I17" s="1194"/>
      <c r="J17" s="1194"/>
      <c r="K17" s="1198" t="s">
        <v>1244</v>
      </c>
      <c r="L17" s="1191"/>
      <c r="M17" s="1184"/>
    </row>
    <row r="18" spans="1:13" ht="12.2" customHeight="1" x14ac:dyDescent="0.2">
      <c r="A18" s="2401"/>
      <c r="B18" s="2402"/>
      <c r="C18" s="2402"/>
      <c r="D18" s="2402"/>
      <c r="E18" s="2402"/>
      <c r="F18" s="2403"/>
      <c r="G18" s="2404" t="str">
        <f>COVER!T21</f>
        <v>309-495-8767</v>
      </c>
      <c r="H18" s="2405"/>
      <c r="I18" s="2405"/>
      <c r="J18" s="2405"/>
      <c r="K18" s="2404" t="str">
        <f>COVER!X21</f>
        <v>309-671-4508</v>
      </c>
      <c r="L18" s="240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1796</v>
      </c>
    </row>
    <row r="22" spans="1:13" ht="12.2" customHeight="1" x14ac:dyDescent="0.2">
      <c r="A22" s="1201"/>
    </row>
    <row r="23" spans="1:13" ht="12.2" customHeight="1" x14ac:dyDescent="0.2">
      <c r="A23" s="1201"/>
      <c r="B23" s="1202" t="s">
        <v>2069</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2069</v>
      </c>
      <c r="C26" s="1203" t="s">
        <v>1797</v>
      </c>
    </row>
    <row r="27" spans="1:13" s="1199" customFormat="1" ht="9" customHeight="1" x14ac:dyDescent="0.2">
      <c r="B27" s="1204"/>
      <c r="C27" s="1203"/>
    </row>
    <row r="28" spans="1:13" s="1199" customFormat="1" ht="12.2" customHeight="1" x14ac:dyDescent="0.2">
      <c r="A28" s="1206"/>
      <c r="B28" s="1202" t="s">
        <v>2069</v>
      </c>
      <c r="C28" s="1203" t="s">
        <v>1798</v>
      </c>
    </row>
    <row r="29" spans="1:13" s="1199" customFormat="1" ht="9" customHeight="1" x14ac:dyDescent="0.2">
      <c r="A29" s="1206"/>
      <c r="B29" s="1204"/>
      <c r="C29" s="1203"/>
    </row>
    <row r="30" spans="1:13" s="1199" customFormat="1" ht="12.2" customHeight="1" x14ac:dyDescent="0.2">
      <c r="B30" s="1202" t="s">
        <v>2069</v>
      </c>
      <c r="C30" s="1203" t="s">
        <v>1639</v>
      </c>
      <c r="D30" s="1197"/>
      <c r="E30" s="1197"/>
    </row>
    <row r="31" spans="1:13" s="1199" customFormat="1" ht="9" customHeight="1" x14ac:dyDescent="0.2">
      <c r="B31" s="1204"/>
      <c r="C31" s="1203"/>
      <c r="D31" s="1197"/>
      <c r="E31" s="1197"/>
    </row>
    <row r="32" spans="1:13" s="1199" customFormat="1" ht="12.2" customHeight="1" x14ac:dyDescent="0.2">
      <c r="B32" s="1202" t="s">
        <v>2069</v>
      </c>
      <c r="C32" s="1203" t="s">
        <v>1640</v>
      </c>
      <c r="D32" s="1197"/>
      <c r="E32" s="1197"/>
    </row>
    <row r="33" spans="1:8" s="1199" customFormat="1" ht="10.9" customHeight="1" x14ac:dyDescent="0.2">
      <c r="B33" s="1204"/>
      <c r="C33" s="1207" t="s">
        <v>1799</v>
      </c>
      <c r="D33" s="1197"/>
      <c r="E33" s="1197"/>
    </row>
    <row r="34" spans="1:8" ht="9" customHeight="1" x14ac:dyDescent="0.2">
      <c r="B34" s="1204"/>
      <c r="C34" s="1207"/>
    </row>
    <row r="35" spans="1:8" s="1199" customFormat="1" ht="13.5" customHeight="1" x14ac:dyDescent="0.2">
      <c r="B35" s="1202" t="s">
        <v>2069</v>
      </c>
      <c r="C35" s="1203" t="s">
        <v>1641</v>
      </c>
    </row>
    <row r="36" spans="1:8" s="1199" customFormat="1" ht="10.9" customHeight="1" x14ac:dyDescent="0.2">
      <c r="B36" s="1204"/>
      <c r="C36" s="1207" t="s">
        <v>1642</v>
      </c>
    </row>
    <row r="37" spans="1:8" ht="9" customHeight="1" x14ac:dyDescent="0.2">
      <c r="B37" s="1204"/>
      <c r="C37" s="1207"/>
    </row>
    <row r="38" spans="1:8" s="1199" customFormat="1" ht="12.2" customHeight="1" x14ac:dyDescent="0.2">
      <c r="B38" s="1202" t="s">
        <v>2069</v>
      </c>
      <c r="C38" s="1203" t="s">
        <v>1643</v>
      </c>
    </row>
    <row r="39" spans="1:8" ht="9" customHeight="1" x14ac:dyDescent="0.2">
      <c r="B39" s="1204"/>
      <c r="C39" s="1207"/>
    </row>
    <row r="40" spans="1:8" s="1199" customFormat="1" ht="13.5" customHeight="1" x14ac:dyDescent="0.2">
      <c r="B40" s="1202" t="s">
        <v>2069</v>
      </c>
      <c r="C40" s="1203" t="s">
        <v>1644</v>
      </c>
    </row>
    <row r="41" spans="1:8" ht="9" customHeight="1" x14ac:dyDescent="0.2">
      <c r="A41" s="1208"/>
      <c r="B41" s="1204"/>
      <c r="C41" s="1207"/>
    </row>
    <row r="42" spans="1:8" s="1199" customFormat="1" ht="13.5" customHeight="1" x14ac:dyDescent="0.2">
      <c r="B42" s="1202" t="s">
        <v>2069</v>
      </c>
      <c r="C42" s="1203" t="s">
        <v>1940</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1645</v>
      </c>
      <c r="D46" s="1197"/>
      <c r="E46" s="1197"/>
      <c r="F46" s="1197"/>
      <c r="G46" s="1197"/>
      <c r="H46" s="1197"/>
    </row>
    <row r="47" spans="1:8" ht="9" customHeight="1" x14ac:dyDescent="0.2"/>
    <row r="48" spans="1:8" ht="12.2" customHeight="1" x14ac:dyDescent="0.2">
      <c r="B48" s="1211"/>
      <c r="C48" s="1212" t="s">
        <v>1646</v>
      </c>
    </row>
    <row r="49" spans="1:12" ht="9" customHeight="1" x14ac:dyDescent="0.2"/>
    <row r="50" spans="1:12" ht="6" customHeight="1" x14ac:dyDescent="0.2">
      <c r="C50" s="1212"/>
    </row>
    <row r="51" spans="1:12" ht="12.2" customHeight="1" x14ac:dyDescent="0.2">
      <c r="A51" s="1214" t="s">
        <v>1800</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7" t="str">
        <f>'Single Audit Cover'!A7</f>
        <v>McLean County USD 5</v>
      </c>
      <c r="B1" s="2443"/>
      <c r="C1" s="2443"/>
      <c r="D1" s="2443"/>
    </row>
    <row r="2" spans="1:11" s="1215" customFormat="1" ht="12.75" x14ac:dyDescent="0.2">
      <c r="A2" s="2448" t="str">
        <f>'Single Audit Cover'!E7</f>
        <v>17-064-0050-26</v>
      </c>
      <c r="B2" s="2449"/>
      <c r="C2" s="2449"/>
      <c r="D2" s="2449"/>
    </row>
    <row r="3" spans="1:11" s="1215" customFormat="1" ht="12.75" x14ac:dyDescent="0.2">
      <c r="A3" s="2447" t="s">
        <v>1589</v>
      </c>
      <c r="B3" s="2443"/>
      <c r="C3" s="2443"/>
      <c r="D3" s="2443"/>
    </row>
    <row r="4" spans="1:11" s="1215" customFormat="1" ht="4.5" customHeight="1" x14ac:dyDescent="0.2">
      <c r="A4" s="1216"/>
      <c r="B4" s="1217"/>
      <c r="C4" s="1217"/>
      <c r="D4" s="1217"/>
    </row>
    <row r="5" spans="1:11" x14ac:dyDescent="0.2">
      <c r="B5" s="1219" t="s">
        <v>1590</v>
      </c>
      <c r="C5" s="1220"/>
      <c r="D5" s="1221"/>
    </row>
    <row r="6" spans="1:11" x14ac:dyDescent="0.2">
      <c r="B6" s="1219" t="s">
        <v>1286</v>
      </c>
      <c r="C6" s="1220"/>
      <c r="D6" s="1221"/>
    </row>
    <row r="7" spans="1:11" x14ac:dyDescent="0.2">
      <c r="B7" s="1219" t="s">
        <v>1591</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1801</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1802</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1803</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1804</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1825</v>
      </c>
      <c r="E24" s="1228"/>
      <c r="F24" s="1228"/>
      <c r="G24" s="1228"/>
      <c r="H24" s="1228"/>
      <c r="I24" s="1228"/>
      <c r="J24" s="1228"/>
      <c r="K24" s="1228"/>
    </row>
    <row r="25" spans="1:11" x14ac:dyDescent="0.2">
      <c r="A25" s="1222"/>
      <c r="B25" s="1231"/>
      <c r="D25" s="1230" t="s">
        <v>1805</v>
      </c>
      <c r="E25" s="1228"/>
      <c r="F25" s="1228"/>
      <c r="G25" s="1228"/>
      <c r="H25" s="1228"/>
      <c r="I25" s="1228"/>
      <c r="J25" s="1228"/>
      <c r="K25" s="1228"/>
    </row>
    <row r="26" spans="1:11" x14ac:dyDescent="0.2">
      <c r="A26" s="1222"/>
      <c r="B26" s="1231"/>
      <c r="D26" s="1235" t="s">
        <v>1806</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1647</v>
      </c>
      <c r="E28" s="1228"/>
      <c r="F28" s="1228"/>
      <c r="G28" s="1228"/>
      <c r="H28" s="1228"/>
      <c r="I28" s="1228"/>
      <c r="J28" s="1228"/>
      <c r="K28" s="1228"/>
    </row>
    <row r="29" spans="1:11" ht="10.5" customHeight="1" x14ac:dyDescent="0.2">
      <c r="A29" s="1222"/>
      <c r="D29" s="1236" t="s">
        <v>1648</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1649</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1649</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1650</v>
      </c>
    </row>
    <row r="41" spans="1:5" ht="3" customHeight="1" x14ac:dyDescent="0.2">
      <c r="A41" s="1222"/>
      <c r="B41" s="1239"/>
      <c r="C41" s="1240"/>
      <c r="D41" s="1221"/>
    </row>
    <row r="42" spans="1:5" ht="10.5" customHeight="1" x14ac:dyDescent="0.2">
      <c r="A42" s="1222"/>
      <c r="B42" s="1241"/>
      <c r="C42" s="1232">
        <v>11</v>
      </c>
      <c r="D42" s="1243" t="s">
        <v>1651</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1652</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1807</v>
      </c>
    </row>
    <row r="57" spans="1:4" ht="10.5" customHeight="1" x14ac:dyDescent="0.2">
      <c r="A57" s="1222"/>
      <c r="D57" s="1237" t="s">
        <v>1808</v>
      </c>
    </row>
    <row r="58" spans="1:4" x14ac:dyDescent="0.2">
      <c r="A58" s="1222"/>
      <c r="C58" s="1244"/>
      <c r="D58" s="1237" t="s">
        <v>1809</v>
      </c>
    </row>
    <row r="59" spans="1:4" ht="10.5" customHeight="1" x14ac:dyDescent="0.2">
      <c r="A59" s="1222"/>
      <c r="D59" s="1221" t="s">
        <v>1270</v>
      </c>
    </row>
    <row r="60" spans="1:4" ht="10.5" customHeight="1" x14ac:dyDescent="0.2">
      <c r="A60" s="1222"/>
      <c r="D60" s="1245" t="s">
        <v>1677</v>
      </c>
    </row>
    <row r="61" spans="1:4" ht="10.5" customHeight="1" x14ac:dyDescent="0.2">
      <c r="A61" s="1222"/>
      <c r="C61" s="1244"/>
      <c r="D61" s="1237" t="s">
        <v>1810</v>
      </c>
    </row>
    <row r="62" spans="1:4" ht="10.5" customHeight="1" x14ac:dyDescent="0.2">
      <c r="A62" s="1222"/>
      <c r="D62" s="1246" t="s">
        <v>1269</v>
      </c>
    </row>
    <row r="63" spans="1:4" ht="10.5" customHeight="1" x14ac:dyDescent="0.2">
      <c r="A63" s="1222"/>
      <c r="D63" s="1221" t="s">
        <v>1653</v>
      </c>
    </row>
    <row r="64" spans="1:4" ht="10.5" customHeight="1" x14ac:dyDescent="0.2">
      <c r="A64" s="1222"/>
      <c r="D64" s="1245" t="s">
        <v>1676</v>
      </c>
    </row>
    <row r="65" spans="1:4" x14ac:dyDescent="0.2">
      <c r="A65" s="1222"/>
      <c r="C65" s="1244"/>
      <c r="D65" s="1237" t="s">
        <v>1811</v>
      </c>
    </row>
    <row r="66" spans="1:4" ht="10.5" customHeight="1" x14ac:dyDescent="0.2">
      <c r="A66" s="1222"/>
      <c r="D66" s="1247" t="s">
        <v>1268</v>
      </c>
    </row>
    <row r="67" spans="1:4" ht="10.5" customHeight="1" x14ac:dyDescent="0.2">
      <c r="A67" s="1222"/>
      <c r="D67" s="1221" t="s">
        <v>1654</v>
      </c>
    </row>
    <row r="68" spans="1:4" ht="10.5" customHeight="1" x14ac:dyDescent="0.2">
      <c r="A68" s="1222"/>
      <c r="D68" s="1245" t="s">
        <v>1676</v>
      </c>
    </row>
    <row r="69" spans="1:4" ht="10.5" customHeight="1" x14ac:dyDescent="0.2">
      <c r="A69" s="1222"/>
      <c r="C69" s="1244"/>
      <c r="D69" s="1237" t="s">
        <v>1812</v>
      </c>
    </row>
    <row r="70" spans="1:4" x14ac:dyDescent="0.2">
      <c r="A70" s="1222"/>
      <c r="D70" s="1246" t="s">
        <v>1267</v>
      </c>
    </row>
    <row r="71" spans="1:4" ht="3" customHeight="1" x14ac:dyDescent="0.2">
      <c r="A71" s="1222"/>
      <c r="D71" s="1221"/>
    </row>
    <row r="72" spans="1:4" x14ac:dyDescent="0.2">
      <c r="A72" s="1222"/>
      <c r="B72" s="1225"/>
      <c r="C72" s="1226">
        <f>C56+1</f>
        <v>18</v>
      </c>
      <c r="D72" s="1247" t="s">
        <v>1813</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1814</v>
      </c>
    </row>
    <row r="77" spans="1:4" ht="3" customHeight="1" x14ac:dyDescent="0.2">
      <c r="A77" s="1222"/>
      <c r="B77" s="1229"/>
      <c r="C77" s="1226"/>
      <c r="D77" s="1248"/>
    </row>
    <row r="78" spans="1:4" x14ac:dyDescent="0.2">
      <c r="A78" s="1222"/>
      <c r="B78" s="1225"/>
      <c r="C78" s="1226">
        <f>C76+1</f>
        <v>21</v>
      </c>
      <c r="D78" s="1221" t="s">
        <v>1815</v>
      </c>
    </row>
    <row r="79" spans="1:4" ht="3" customHeight="1" x14ac:dyDescent="0.2">
      <c r="A79" s="1222"/>
      <c r="B79" s="1229"/>
      <c r="C79" s="1226"/>
      <c r="D79" s="1221"/>
    </row>
    <row r="80" spans="1:4" x14ac:dyDescent="0.2">
      <c r="A80" s="1222"/>
      <c r="B80" s="1225"/>
      <c r="C80" s="1226">
        <f>C78+1</f>
        <v>22</v>
      </c>
      <c r="D80" s="1249" t="s">
        <v>1816</v>
      </c>
    </row>
    <row r="81" spans="1:4" ht="3" customHeight="1" x14ac:dyDescent="0.2">
      <c r="A81" s="1222"/>
      <c r="B81" s="1229"/>
      <c r="C81" s="1226"/>
      <c r="D81" s="1249"/>
    </row>
    <row r="82" spans="1:4" x14ac:dyDescent="0.2">
      <c r="A82" s="1222"/>
      <c r="B82" s="1225"/>
      <c r="C82" s="1226">
        <f>C80+1</f>
        <v>23</v>
      </c>
      <c r="D82" s="1248" t="s">
        <v>1817</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1818</v>
      </c>
    </row>
    <row r="92" spans="1:4" x14ac:dyDescent="0.2">
      <c r="A92" s="1222"/>
      <c r="B92" s="1250"/>
      <c r="C92" s="1244"/>
      <c r="D92" s="1237" t="s">
        <v>1261</v>
      </c>
    </row>
    <row r="93" spans="1:4" ht="4.5" customHeight="1" x14ac:dyDescent="0.2">
      <c r="A93" s="1222"/>
      <c r="D93" s="1221"/>
    </row>
    <row r="94" spans="1:4" x14ac:dyDescent="0.2">
      <c r="A94" s="1222"/>
      <c r="B94" s="1223" t="s">
        <v>1655</v>
      </c>
      <c r="C94" s="1224"/>
      <c r="D94" s="1221"/>
    </row>
    <row r="95" spans="1:4" ht="4.5" customHeight="1" x14ac:dyDescent="0.2">
      <c r="A95" s="1222"/>
      <c r="B95" s="1223"/>
      <c r="C95" s="1224"/>
      <c r="D95" s="1221"/>
    </row>
    <row r="96" spans="1:4" x14ac:dyDescent="0.2">
      <c r="A96" s="1222"/>
      <c r="B96" s="1225"/>
      <c r="C96" s="1226">
        <f>C91+1</f>
        <v>28</v>
      </c>
      <c r="D96" s="1237" t="s">
        <v>1819</v>
      </c>
    </row>
    <row r="97" spans="1:4" ht="3" customHeight="1" x14ac:dyDescent="0.2">
      <c r="A97" s="1222"/>
      <c r="B97" s="1229"/>
      <c r="C97" s="1226"/>
      <c r="D97" s="1237"/>
    </row>
    <row r="98" spans="1:4" x14ac:dyDescent="0.2">
      <c r="A98" s="1222"/>
      <c r="B98" s="1225"/>
      <c r="C98" s="1226">
        <f>C96+1</f>
        <v>29</v>
      </c>
      <c r="D98" s="1251" t="s">
        <v>1820</v>
      </c>
    </row>
    <row r="99" spans="1:4" ht="3" customHeight="1" x14ac:dyDescent="0.2">
      <c r="A99" s="1222"/>
      <c r="B99" s="1229"/>
      <c r="C99" s="1226"/>
      <c r="D99" s="1251"/>
    </row>
    <row r="100" spans="1:4" x14ac:dyDescent="0.2">
      <c r="A100" s="1222"/>
      <c r="B100" s="1225"/>
      <c r="C100" s="1226">
        <f>C98+1</f>
        <v>30</v>
      </c>
      <c r="D100" s="1237" t="s">
        <v>1821</v>
      </c>
    </row>
    <row r="101" spans="1:4" ht="3" customHeight="1" x14ac:dyDescent="0.2">
      <c r="A101" s="1222"/>
      <c r="B101" s="1229"/>
      <c r="C101" s="1226"/>
      <c r="D101" s="1252"/>
    </row>
    <row r="102" spans="1:4" x14ac:dyDescent="0.2">
      <c r="A102" s="1222"/>
      <c r="B102" s="1225"/>
      <c r="C102" s="1226">
        <f>C100+1</f>
        <v>31</v>
      </c>
      <c r="D102" s="1237" t="s">
        <v>1656</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1657</v>
      </c>
    </row>
    <row r="107" spans="1:4" ht="3" customHeight="1" x14ac:dyDescent="0.2">
      <c r="A107" s="1222"/>
      <c r="B107" s="1229"/>
      <c r="C107" s="1226"/>
      <c r="D107" s="1221"/>
    </row>
    <row r="108" spans="1:4" x14ac:dyDescent="0.2">
      <c r="A108" s="1222"/>
      <c r="B108" s="1225"/>
      <c r="C108" s="1226">
        <v>33</v>
      </c>
      <c r="D108" s="1221" t="s">
        <v>1822</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1823</v>
      </c>
    </row>
    <row r="118" spans="1:4" ht="3" customHeight="1" x14ac:dyDescent="0.2">
      <c r="A118" s="1222"/>
      <c r="B118" s="1229"/>
      <c r="C118" s="1226"/>
      <c r="D118" s="1237"/>
    </row>
    <row r="119" spans="1:4" x14ac:dyDescent="0.2">
      <c r="A119" s="1222"/>
      <c r="B119" s="1225"/>
      <c r="C119" s="1226">
        <f>C117+1</f>
        <v>38</v>
      </c>
      <c r="D119" s="1237" t="s">
        <v>1824</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1941</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65"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1" t="str">
        <f>'Single Audit Cover'!A7</f>
        <v>McLean County USD 5</v>
      </c>
      <c r="B1" s="2451"/>
      <c r="C1" s="2451"/>
      <c r="D1" s="2451"/>
      <c r="E1" s="2451"/>
    </row>
    <row r="2" spans="1:5" x14ac:dyDescent="0.2">
      <c r="A2" s="2452" t="str">
        <f>'Single Audit Cover'!E7</f>
        <v>17-064-0050-26</v>
      </c>
      <c r="B2" s="2452"/>
      <c r="C2" s="2452"/>
      <c r="D2" s="2452"/>
      <c r="E2" s="2452"/>
    </row>
    <row r="3" spans="1:5" ht="4.5" customHeight="1" x14ac:dyDescent="0.2"/>
    <row r="4" spans="1:5" x14ac:dyDescent="0.2">
      <c r="A4" s="2451" t="s">
        <v>1306</v>
      </c>
      <c r="B4" s="2451"/>
      <c r="C4" s="2451"/>
      <c r="D4" s="2451"/>
      <c r="E4" s="2451"/>
    </row>
    <row r="5" spans="1:5" x14ac:dyDescent="0.2">
      <c r="A5" s="2454" t="str">
        <f>'Single Audit Cover'!A4</f>
        <v>Year Ending June 30, 2018</v>
      </c>
      <c r="B5" s="2454"/>
      <c r="C5" s="2454"/>
      <c r="D5" s="2454"/>
      <c r="E5" s="2454"/>
    </row>
    <row r="6" spans="1:5" x14ac:dyDescent="0.2">
      <c r="A6" s="2451" t="s">
        <v>1305</v>
      </c>
      <c r="B6" s="2451"/>
      <c r="C6" s="2451"/>
      <c r="D6" s="2451"/>
      <c r="E6" s="2451"/>
    </row>
    <row r="8" spans="1:5" x14ac:dyDescent="0.2">
      <c r="A8" s="1260" t="s">
        <v>1304</v>
      </c>
    </row>
    <row r="10" spans="1:5" x14ac:dyDescent="0.2">
      <c r="A10" s="1261" t="s">
        <v>1303</v>
      </c>
      <c r="B10" s="1262" t="s">
        <v>1302</v>
      </c>
      <c r="C10" s="1262"/>
      <c r="D10" s="1263">
        <f>SUM('Acct Summary 7-8'!C7:K7)</f>
        <v>8361193</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1826</v>
      </c>
      <c r="B14" s="1262"/>
      <c r="C14" s="1262"/>
      <c r="D14" s="1264">
        <f>'ICR Computation 30'!E11</f>
        <v>377490</v>
      </c>
    </row>
    <row r="15" spans="1:5" x14ac:dyDescent="0.2">
      <c r="A15" s="1261"/>
      <c r="B15" s="1262"/>
      <c r="C15" s="1262"/>
    </row>
    <row r="16" spans="1:5" x14ac:dyDescent="0.2">
      <c r="A16" s="1261" t="s">
        <v>1948</v>
      </c>
      <c r="B16" s="1262"/>
      <c r="C16" s="1262"/>
    </row>
    <row r="17" spans="1:4" x14ac:dyDescent="0.2">
      <c r="A17" s="1261" t="s">
        <v>1597</v>
      </c>
      <c r="B17" s="1262" t="s">
        <v>1297</v>
      </c>
      <c r="C17" s="1262"/>
      <c r="D17" s="1264">
        <f>-SUM('Revenues 9-14'!C271:D271,'Revenues 9-14'!F271:G271)</f>
        <v>-198505</v>
      </c>
    </row>
    <row r="19" spans="1:4" ht="13.5" thickBot="1" x14ac:dyDescent="0.25">
      <c r="A19" s="1265" t="s">
        <v>1296</v>
      </c>
      <c r="D19" s="1266">
        <f>SUM(D10:D17)</f>
        <v>8540178</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53" t="s">
        <v>2170</v>
      </c>
      <c r="B24" s="2453"/>
      <c r="D24" s="1268"/>
    </row>
    <row r="25" spans="1:4" x14ac:dyDescent="0.2">
      <c r="A25" s="2450" t="s">
        <v>2171</v>
      </c>
      <c r="B25" s="2450"/>
      <c r="D25" s="1268">
        <v>71378</v>
      </c>
    </row>
    <row r="26" spans="1:4" x14ac:dyDescent="0.2">
      <c r="A26" s="2450"/>
      <c r="B26" s="2450"/>
      <c r="D26" s="1268"/>
    </row>
    <row r="27" spans="1:4" x14ac:dyDescent="0.2">
      <c r="A27" s="2450"/>
      <c r="B27" s="2450"/>
      <c r="D27" s="1268"/>
    </row>
    <row r="28" spans="1:4" x14ac:dyDescent="0.2">
      <c r="A28" s="2450"/>
      <c r="B28" s="2450"/>
      <c r="D28" s="1268"/>
    </row>
    <row r="29" spans="1:4" x14ac:dyDescent="0.2">
      <c r="A29" s="2450"/>
      <c r="B29" s="2450"/>
      <c r="D29" s="1268"/>
    </row>
    <row r="30" spans="1:4" x14ac:dyDescent="0.2">
      <c r="A30" s="2450"/>
      <c r="B30" s="2450"/>
      <c r="D30" s="1268"/>
    </row>
    <row r="32" spans="1:4" x14ac:dyDescent="0.2">
      <c r="A32" s="1260" t="s">
        <v>1294</v>
      </c>
      <c r="D32" s="1263">
        <f>SUM(D19:D30)</f>
        <v>8611556</v>
      </c>
    </row>
    <row r="33" spans="1:4" x14ac:dyDescent="0.2">
      <c r="D33" s="1269"/>
    </row>
    <row r="34" spans="1:4" x14ac:dyDescent="0.2">
      <c r="A34" s="317" t="s">
        <v>1293</v>
      </c>
    </row>
    <row r="35" spans="1:4" x14ac:dyDescent="0.2">
      <c r="A35" s="317" t="s">
        <v>1292</v>
      </c>
      <c r="B35" s="1258" t="s">
        <v>1291</v>
      </c>
      <c r="D35" s="1270">
        <f>+' SEFA (5)'!F27</f>
        <v>8611556</v>
      </c>
    </row>
    <row r="37" spans="1:4" x14ac:dyDescent="0.2">
      <c r="A37" s="1260" t="s">
        <v>1290</v>
      </c>
    </row>
    <row r="39" spans="1:4" ht="13.35" customHeight="1" x14ac:dyDescent="0.2">
      <c r="A39" s="1267" t="s">
        <v>1289</v>
      </c>
    </row>
    <row r="40" spans="1:4" x14ac:dyDescent="0.2">
      <c r="A40" s="2450"/>
      <c r="B40" s="2450"/>
      <c r="D40" s="1268"/>
    </row>
    <row r="41" spans="1:4" x14ac:dyDescent="0.2">
      <c r="A41" s="2450"/>
      <c r="B41" s="2450"/>
      <c r="D41" s="1271"/>
    </row>
    <row r="42" spans="1:4" x14ac:dyDescent="0.2">
      <c r="A42" s="2450"/>
      <c r="B42" s="2450"/>
      <c r="D42" s="1271"/>
    </row>
    <row r="43" spans="1:4" x14ac:dyDescent="0.2">
      <c r="A43" s="2450"/>
      <c r="B43" s="2450"/>
      <c r="D43" s="1271"/>
    </row>
    <row r="44" spans="1:4" x14ac:dyDescent="0.2">
      <c r="A44" s="2450"/>
      <c r="B44" s="2450"/>
      <c r="D44" s="1271"/>
    </row>
    <row r="45" spans="1:4" x14ac:dyDescent="0.2">
      <c r="A45" s="2450"/>
      <c r="B45" s="2450"/>
      <c r="D45" s="1271"/>
    </row>
    <row r="47" spans="1:4" x14ac:dyDescent="0.2">
      <c r="B47" s="1272" t="s">
        <v>1288</v>
      </c>
      <c r="C47" s="1272"/>
      <c r="D47" s="1273">
        <f>SUM(D35:D46)</f>
        <v>8611556</v>
      </c>
    </row>
    <row r="49" spans="2:4" x14ac:dyDescent="0.2">
      <c r="B49" s="1272" t="s">
        <v>1287</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heetViews>
  <sheetFormatPr defaultColWidth="33.5703125" defaultRowHeight="12.75" x14ac:dyDescent="0.2"/>
  <cols>
    <col min="1" max="1" width="0.140625" style="317" customWidth="1"/>
    <col min="2" max="2" width="40"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0" t="str">
        <f>'Single Audit Cover'!A7</f>
        <v>McLean County USD 5</v>
      </c>
      <c r="C1" s="2455"/>
      <c r="D1" s="2455"/>
      <c r="E1" s="2455"/>
      <c r="F1" s="2455"/>
      <c r="G1" s="2455"/>
      <c r="H1" s="2455"/>
      <c r="I1" s="2455"/>
      <c r="J1" s="2455"/>
      <c r="K1" s="2455"/>
      <c r="L1" s="2455"/>
      <c r="M1" s="2455"/>
    </row>
    <row r="2" spans="2:14" ht="15" x14ac:dyDescent="0.2">
      <c r="B2" s="2456" t="str">
        <f>'Single Audit Cover'!E7</f>
        <v>17-064-0050-26</v>
      </c>
      <c r="C2" s="2456"/>
      <c r="D2" s="2456"/>
      <c r="E2" s="2456"/>
      <c r="F2" s="2456"/>
      <c r="G2" s="2456"/>
      <c r="H2" s="2456"/>
      <c r="I2" s="2456"/>
      <c r="J2" s="2456"/>
      <c r="K2" s="2456"/>
      <c r="L2" s="2456"/>
      <c r="M2" s="2456"/>
      <c r="N2" s="1302"/>
    </row>
    <row r="3" spans="2:14" ht="15" x14ac:dyDescent="0.2">
      <c r="B3" s="2457" t="s">
        <v>1280</v>
      </c>
      <c r="C3" s="2457"/>
      <c r="D3" s="2457"/>
      <c r="E3" s="2457"/>
      <c r="F3" s="2457"/>
      <c r="G3" s="2457"/>
      <c r="H3" s="2457"/>
      <c r="I3" s="2457"/>
      <c r="J3" s="2457"/>
      <c r="K3" s="2457"/>
      <c r="L3" s="2457"/>
      <c r="M3" s="2457"/>
      <c r="N3" s="1302"/>
    </row>
    <row r="4" spans="2:14" ht="15" x14ac:dyDescent="0.2">
      <c r="B4" s="2458" t="str">
        <f>'Single Audit Cover'!A4</f>
        <v>Year Ending June 30, 2018</v>
      </c>
      <c r="C4" s="2458"/>
      <c r="D4" s="2458"/>
      <c r="E4" s="2458"/>
      <c r="F4" s="2458"/>
      <c r="G4" s="2458"/>
      <c r="H4" s="2458"/>
      <c r="I4" s="2458"/>
      <c r="J4" s="2458"/>
      <c r="K4" s="2458"/>
      <c r="L4" s="2458"/>
      <c r="M4" s="2458"/>
      <c r="N4" s="1302"/>
    </row>
    <row r="6" spans="2:14" x14ac:dyDescent="0.2">
      <c r="B6" s="1303"/>
      <c r="C6" s="1304"/>
      <c r="D6" s="1305" t="s">
        <v>1326</v>
      </c>
      <c r="E6" s="1306" t="s">
        <v>547</v>
      </c>
      <c r="F6" s="1307"/>
      <c r="G6" s="1308" t="s">
        <v>1830</v>
      </c>
      <c r="H6" s="1306"/>
      <c r="I6" s="1306"/>
      <c r="J6" s="1306"/>
      <c r="K6" s="1309"/>
      <c r="L6" s="1310"/>
      <c r="M6" s="1311"/>
    </row>
    <row r="7" spans="2:14" x14ac:dyDescent="0.2">
      <c r="B7" s="1312" t="s">
        <v>1658</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1659</v>
      </c>
      <c r="I8" s="1319" t="s">
        <v>1323</v>
      </c>
      <c r="J8" s="1318" t="s">
        <v>1942</v>
      </c>
      <c r="K8" s="1319" t="s">
        <v>1322</v>
      </c>
      <c r="L8" s="1320" t="s">
        <v>1318</v>
      </c>
      <c r="M8" s="1321" t="s">
        <v>30</v>
      </c>
    </row>
    <row r="9" spans="2:14" ht="14.25" x14ac:dyDescent="0.2">
      <c r="B9" s="1325" t="s">
        <v>1320</v>
      </c>
      <c r="C9" s="1313" t="s">
        <v>1831</v>
      </c>
      <c r="D9" s="1314" t="s">
        <v>1832</v>
      </c>
      <c r="E9" s="1322" t="s">
        <v>1659</v>
      </c>
      <c r="F9" s="1323" t="s">
        <v>1942</v>
      </c>
      <c r="G9" s="1324" t="s">
        <v>1659</v>
      </c>
      <c r="H9" s="1317" t="s">
        <v>1660</v>
      </c>
      <c r="I9" s="1319" t="s">
        <v>1942</v>
      </c>
      <c r="J9" s="1318" t="s">
        <v>1660</v>
      </c>
      <c r="K9" s="1319" t="s">
        <v>1319</v>
      </c>
      <c r="L9" s="1326" t="s">
        <v>1661</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2113</v>
      </c>
      <c r="C11" s="1338"/>
      <c r="D11" s="1339"/>
      <c r="E11" s="1340"/>
      <c r="F11" s="1340"/>
      <c r="G11" s="1340"/>
      <c r="H11" s="1340"/>
      <c r="I11" s="1340"/>
      <c r="J11" s="1340"/>
      <c r="K11" s="1340"/>
      <c r="L11" s="1340"/>
      <c r="M11" s="1340"/>
    </row>
    <row r="12" spans="2:14" ht="20.100000000000001" customHeight="1" x14ac:dyDescent="0.2">
      <c r="B12" s="1956" t="s">
        <v>2114</v>
      </c>
      <c r="C12" s="1341"/>
      <c r="D12" s="1342"/>
      <c r="E12" s="1343"/>
      <c r="F12" s="1343"/>
      <c r="G12" s="1343"/>
      <c r="H12" s="1343"/>
      <c r="I12" s="1343"/>
      <c r="J12" s="1343"/>
      <c r="K12" s="1343"/>
      <c r="L12" s="1340"/>
      <c r="M12" s="1343"/>
    </row>
    <row r="13" spans="2:14" ht="20.100000000000001" customHeight="1" x14ac:dyDescent="0.2">
      <c r="B13" s="1957" t="s">
        <v>2115</v>
      </c>
      <c r="C13" s="1341">
        <v>10.555</v>
      </c>
      <c r="D13" s="1342" t="s">
        <v>2121</v>
      </c>
      <c r="E13" s="1343">
        <v>1162411</v>
      </c>
      <c r="F13" s="1343">
        <v>464794</v>
      </c>
      <c r="G13" s="1343">
        <v>1162411</v>
      </c>
      <c r="H13" s="1343">
        <v>0</v>
      </c>
      <c r="I13" s="1343">
        <v>464794</v>
      </c>
      <c r="J13" s="1343">
        <v>0</v>
      </c>
      <c r="K13" s="1343">
        <v>0</v>
      </c>
      <c r="L13" s="1340">
        <f>+G13+I13+K13</f>
        <v>1627205</v>
      </c>
      <c r="M13" s="1343" t="s">
        <v>2125</v>
      </c>
    </row>
    <row r="14" spans="2:14" ht="20.100000000000001" customHeight="1" x14ac:dyDescent="0.2">
      <c r="B14" s="1337"/>
      <c r="C14" s="1341"/>
      <c r="D14" s="1342" t="s">
        <v>2122</v>
      </c>
      <c r="E14" s="1343">
        <v>0</v>
      </c>
      <c r="F14" s="1343">
        <v>1174825</v>
      </c>
      <c r="G14" s="1343">
        <v>0</v>
      </c>
      <c r="H14" s="1343">
        <v>0</v>
      </c>
      <c r="I14" s="1343">
        <v>1174825</v>
      </c>
      <c r="J14" s="1343">
        <v>0</v>
      </c>
      <c r="K14" s="1343">
        <v>0</v>
      </c>
      <c r="L14" s="1340">
        <f t="shared" ref="L14:L23" si="0">+G14+I14+K14</f>
        <v>1174825</v>
      </c>
      <c r="M14" s="1343" t="s">
        <v>2125</v>
      </c>
    </row>
    <row r="15" spans="2:14" ht="20.100000000000001" customHeight="1" x14ac:dyDescent="0.2">
      <c r="B15" s="1337" t="s">
        <v>1230</v>
      </c>
      <c r="C15" s="1341"/>
      <c r="D15" s="1342"/>
      <c r="E15" s="1343"/>
      <c r="F15" s="1343">
        <v>1639619</v>
      </c>
      <c r="G15" s="1343"/>
      <c r="H15" s="1343"/>
      <c r="I15" s="1343">
        <v>1639619</v>
      </c>
      <c r="J15" s="1343"/>
      <c r="K15" s="1343"/>
      <c r="L15" s="1340"/>
      <c r="M15" s="1343"/>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957" t="s">
        <v>2116</v>
      </c>
      <c r="C17" s="1341">
        <v>10.553000000000001</v>
      </c>
      <c r="D17" s="1342" t="s">
        <v>2123</v>
      </c>
      <c r="E17" s="1343">
        <v>306155</v>
      </c>
      <c r="F17" s="1343">
        <v>125142</v>
      </c>
      <c r="G17" s="1343">
        <v>306155</v>
      </c>
      <c r="H17" s="1343">
        <v>0</v>
      </c>
      <c r="I17" s="1343">
        <v>125142</v>
      </c>
      <c r="J17" s="1343">
        <v>0</v>
      </c>
      <c r="K17" s="1343">
        <v>0</v>
      </c>
      <c r="L17" s="1340">
        <f t="shared" si="0"/>
        <v>431297</v>
      </c>
      <c r="M17" s="1343" t="s">
        <v>2125</v>
      </c>
    </row>
    <row r="18" spans="2:14" ht="20.100000000000001" customHeight="1" x14ac:dyDescent="0.2">
      <c r="B18" s="1337"/>
      <c r="C18" s="1341"/>
      <c r="D18" s="1342" t="s">
        <v>2124</v>
      </c>
      <c r="E18" s="1343">
        <v>0</v>
      </c>
      <c r="F18" s="1343">
        <v>316663</v>
      </c>
      <c r="G18" s="1343">
        <v>0</v>
      </c>
      <c r="H18" s="1343">
        <v>0</v>
      </c>
      <c r="I18" s="1343">
        <v>316663</v>
      </c>
      <c r="J18" s="1343">
        <v>0</v>
      </c>
      <c r="K18" s="1343">
        <v>0</v>
      </c>
      <c r="L18" s="1340">
        <f t="shared" si="0"/>
        <v>316663</v>
      </c>
      <c r="M18" s="1343" t="s">
        <v>2125</v>
      </c>
    </row>
    <row r="19" spans="2:14" ht="20.100000000000001" customHeight="1" x14ac:dyDescent="0.2">
      <c r="B19" s="1337"/>
      <c r="C19" s="1341"/>
      <c r="D19" s="1342"/>
      <c r="E19" s="1343"/>
      <c r="F19" s="1343">
        <v>441805</v>
      </c>
      <c r="G19" s="1343"/>
      <c r="H19" s="1343"/>
      <c r="I19" s="1343">
        <v>441805</v>
      </c>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957" t="s">
        <v>2117</v>
      </c>
      <c r="C21" s="1341">
        <v>10.555</v>
      </c>
      <c r="D21" s="1342" t="s">
        <v>2125</v>
      </c>
      <c r="E21" s="1343">
        <v>0</v>
      </c>
      <c r="F21" s="1343">
        <v>217128</v>
      </c>
      <c r="G21" s="1343">
        <v>0</v>
      </c>
      <c r="H21" s="1343">
        <v>0</v>
      </c>
      <c r="I21" s="1343">
        <v>217128</v>
      </c>
      <c r="J21" s="1343">
        <v>0</v>
      </c>
      <c r="K21" s="1343">
        <v>0</v>
      </c>
      <c r="L21" s="1340">
        <f t="shared" si="0"/>
        <v>217128</v>
      </c>
      <c r="M21" s="1343" t="s">
        <v>2125</v>
      </c>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957" t="s">
        <v>2118</v>
      </c>
      <c r="C23" s="1341">
        <v>10.555</v>
      </c>
      <c r="D23" s="1342" t="s">
        <v>2125</v>
      </c>
      <c r="E23" s="1343">
        <v>0</v>
      </c>
      <c r="F23" s="1343">
        <v>160362</v>
      </c>
      <c r="G23" s="1343">
        <v>0</v>
      </c>
      <c r="H23" s="1343">
        <v>0</v>
      </c>
      <c r="I23" s="1343">
        <v>160362</v>
      </c>
      <c r="J23" s="1343">
        <v>0</v>
      </c>
      <c r="K23" s="1343">
        <v>0</v>
      </c>
      <c r="L23" s="1340">
        <f t="shared" si="0"/>
        <v>160362</v>
      </c>
      <c r="M23" s="1343" t="s">
        <v>2125</v>
      </c>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t="s">
        <v>2119</v>
      </c>
      <c r="C25" s="1341"/>
      <c r="D25" s="1342"/>
      <c r="E25" s="1343"/>
      <c r="F25" s="1343">
        <f>F15+F19+F21+F23</f>
        <v>2458914</v>
      </c>
      <c r="G25" s="1343"/>
      <c r="H25" s="1343"/>
      <c r="I25" s="1343">
        <f>I15+I19+I21+I23</f>
        <v>2458914</v>
      </c>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t="s">
        <v>2120</v>
      </c>
      <c r="C27" s="1341"/>
      <c r="D27" s="1342"/>
      <c r="E27" s="1343"/>
      <c r="F27" s="1343">
        <f>F15+F19+F21+F23</f>
        <v>2458914</v>
      </c>
      <c r="G27" s="1343"/>
      <c r="H27" s="1343"/>
      <c r="I27" s="1343">
        <f>I15+I19+I21+I23</f>
        <v>2458914</v>
      </c>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1833</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1943</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1834</v>
      </c>
      <c r="C37" s="1365"/>
      <c r="D37" s="1365"/>
      <c r="E37" s="1365"/>
      <c r="F37" s="1365"/>
      <c r="G37" s="1365"/>
      <c r="H37" s="1365"/>
      <c r="I37" s="1366"/>
      <c r="J37" s="1366"/>
      <c r="K37" s="1366"/>
      <c r="L37" s="1366"/>
      <c r="M37" s="1366"/>
    </row>
    <row r="38" spans="2:13" ht="11.25" customHeight="1" x14ac:dyDescent="0.2">
      <c r="B38" s="1367" t="s">
        <v>1662</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1835</v>
      </c>
      <c r="C40" s="1366"/>
      <c r="D40" s="1366"/>
      <c r="E40" s="1366"/>
      <c r="F40" s="1366"/>
      <c r="G40" s="1366"/>
      <c r="H40" s="1366"/>
      <c r="I40" s="1366"/>
      <c r="J40" s="1366"/>
      <c r="K40" s="1366"/>
      <c r="L40" s="1366"/>
      <c r="M40" s="1366"/>
    </row>
    <row r="41" spans="2:13" ht="11.25" customHeight="1" x14ac:dyDescent="0.2">
      <c r="B41" s="1300" t="s">
        <v>1663</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1836</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1837</v>
      </c>
      <c r="C45" s="1368"/>
      <c r="D45" s="1369"/>
      <c r="E45" s="1300"/>
      <c r="F45" s="1300"/>
      <c r="G45" s="1300"/>
      <c r="H45" s="1300"/>
      <c r="I45" s="1300"/>
      <c r="J45" s="1300"/>
      <c r="K45" s="1370"/>
      <c r="L45" s="1370"/>
      <c r="M45" s="1300"/>
    </row>
    <row r="46" spans="2:13" ht="11.25" customHeight="1" x14ac:dyDescent="0.2">
      <c r="B46" s="1300" t="s">
        <v>1664</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40a&amp;R&amp;8Page 40a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4"/>
  <sheetViews>
    <sheetView showGridLines="0" zoomScaleNormal="100" workbookViewId="0"/>
  </sheetViews>
  <sheetFormatPr defaultColWidth="33.5703125" defaultRowHeight="12.75" x14ac:dyDescent="0.2"/>
  <cols>
    <col min="1" max="1" width="0.140625" style="317" customWidth="1"/>
    <col min="2" max="2" width="37"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0" t="str">
        <f>'Single Audit Cover'!A7</f>
        <v>McLean County USD 5</v>
      </c>
      <c r="C1" s="2455"/>
      <c r="D1" s="2455"/>
      <c r="E1" s="2455"/>
      <c r="F1" s="2455"/>
      <c r="G1" s="2455"/>
      <c r="H1" s="2455"/>
      <c r="I1" s="2455"/>
      <c r="J1" s="2455"/>
      <c r="K1" s="2455"/>
      <c r="L1" s="2455"/>
      <c r="M1" s="2455"/>
    </row>
    <row r="2" spans="2:14" ht="15" x14ac:dyDescent="0.2">
      <c r="B2" s="2456" t="str">
        <f>'Single Audit Cover'!E7</f>
        <v>17-064-0050-26</v>
      </c>
      <c r="C2" s="2456"/>
      <c r="D2" s="2456"/>
      <c r="E2" s="2456"/>
      <c r="F2" s="2456"/>
      <c r="G2" s="2456"/>
      <c r="H2" s="2456"/>
      <c r="I2" s="2456"/>
      <c r="J2" s="2456"/>
      <c r="K2" s="2456"/>
      <c r="L2" s="2456"/>
      <c r="M2" s="2456"/>
      <c r="N2" s="1302"/>
    </row>
    <row r="3" spans="2:14" ht="15" x14ac:dyDescent="0.2">
      <c r="B3" s="2457" t="s">
        <v>1280</v>
      </c>
      <c r="C3" s="2457"/>
      <c r="D3" s="2457"/>
      <c r="E3" s="2457"/>
      <c r="F3" s="2457"/>
      <c r="G3" s="2457"/>
      <c r="H3" s="2457"/>
      <c r="I3" s="2457"/>
      <c r="J3" s="2457"/>
      <c r="K3" s="2457"/>
      <c r="L3" s="2457"/>
      <c r="M3" s="2457"/>
      <c r="N3" s="1302"/>
    </row>
    <row r="4" spans="2:14" ht="15" x14ac:dyDescent="0.2">
      <c r="B4" s="2458" t="str">
        <f>'Single Audit Cover'!A4</f>
        <v>Year Ending June 30, 2018</v>
      </c>
      <c r="C4" s="2458"/>
      <c r="D4" s="2458"/>
      <c r="E4" s="2458"/>
      <c r="F4" s="2458"/>
      <c r="G4" s="2458"/>
      <c r="H4" s="2458"/>
      <c r="I4" s="2458"/>
      <c r="J4" s="2458"/>
      <c r="K4" s="2458"/>
      <c r="L4" s="2458"/>
      <c r="M4" s="2458"/>
      <c r="N4" s="1302"/>
    </row>
    <row r="6" spans="2:14" x14ac:dyDescent="0.2">
      <c r="B6" s="1303"/>
      <c r="C6" s="1304"/>
      <c r="D6" s="1305" t="s">
        <v>1326</v>
      </c>
      <c r="E6" s="1306" t="s">
        <v>547</v>
      </c>
      <c r="F6" s="1307"/>
      <c r="G6" s="1308" t="s">
        <v>1830</v>
      </c>
      <c r="H6" s="1306"/>
      <c r="I6" s="1306"/>
      <c r="J6" s="1306"/>
      <c r="K6" s="1309"/>
      <c r="L6" s="1310"/>
      <c r="M6" s="1311"/>
    </row>
    <row r="7" spans="2:14" x14ac:dyDescent="0.2">
      <c r="B7" s="1312" t="s">
        <v>1658</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1659</v>
      </c>
      <c r="I8" s="1319" t="s">
        <v>1323</v>
      </c>
      <c r="J8" s="1318" t="s">
        <v>1942</v>
      </c>
      <c r="K8" s="1319" t="s">
        <v>1322</v>
      </c>
      <c r="L8" s="1320" t="s">
        <v>1318</v>
      </c>
      <c r="M8" s="1321" t="s">
        <v>30</v>
      </c>
    </row>
    <row r="9" spans="2:14" ht="14.25" x14ac:dyDescent="0.2">
      <c r="B9" s="1325" t="s">
        <v>1320</v>
      </c>
      <c r="C9" s="1313" t="s">
        <v>1831</v>
      </c>
      <c r="D9" s="1314" t="s">
        <v>1832</v>
      </c>
      <c r="E9" s="1322" t="s">
        <v>1659</v>
      </c>
      <c r="F9" s="1323" t="s">
        <v>1942</v>
      </c>
      <c r="G9" s="1324" t="s">
        <v>1659</v>
      </c>
      <c r="H9" s="1317" t="s">
        <v>1660</v>
      </c>
      <c r="I9" s="1319" t="s">
        <v>1942</v>
      </c>
      <c r="J9" s="1318" t="s">
        <v>1660</v>
      </c>
      <c r="K9" s="1319" t="s">
        <v>1319</v>
      </c>
      <c r="L9" s="1326" t="s">
        <v>1661</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2126</v>
      </c>
      <c r="C11" s="1338"/>
      <c r="D11" s="1339"/>
      <c r="E11" s="1340"/>
      <c r="F11" s="1340"/>
      <c r="G11" s="1340"/>
      <c r="H11" s="1340"/>
      <c r="I11" s="1340"/>
      <c r="J11" s="1340"/>
      <c r="K11" s="1340"/>
      <c r="L11" s="1340"/>
      <c r="M11" s="1340"/>
    </row>
    <row r="12" spans="2:14" ht="20.100000000000001" customHeight="1" x14ac:dyDescent="0.2">
      <c r="B12" s="1956" t="s">
        <v>2114</v>
      </c>
      <c r="C12" s="1341"/>
      <c r="D12" s="1342"/>
      <c r="E12" s="1343"/>
      <c r="F12" s="1343"/>
      <c r="G12" s="1343"/>
      <c r="H12" s="1343"/>
      <c r="I12" s="1343"/>
      <c r="J12" s="1343"/>
      <c r="K12" s="1343"/>
      <c r="L12" s="1340"/>
      <c r="M12" s="1343"/>
    </row>
    <row r="13" spans="2:14" ht="20.100000000000001" customHeight="1" x14ac:dyDescent="0.2">
      <c r="B13" s="1957" t="s">
        <v>973</v>
      </c>
      <c r="C13" s="1341">
        <v>84.01</v>
      </c>
      <c r="D13" s="1342" t="s">
        <v>2130</v>
      </c>
      <c r="E13" s="1343">
        <v>805143</v>
      </c>
      <c r="F13" s="1343">
        <v>616092</v>
      </c>
      <c r="G13" s="1343">
        <v>1253036</v>
      </c>
      <c r="H13" s="1343">
        <v>0</v>
      </c>
      <c r="I13" s="1343">
        <v>168199</v>
      </c>
      <c r="J13" s="1343">
        <v>0</v>
      </c>
      <c r="K13" s="1343">
        <v>0</v>
      </c>
      <c r="L13" s="1340">
        <f>+G13+I13+K13</f>
        <v>1421235</v>
      </c>
      <c r="M13" s="1343">
        <v>1693718</v>
      </c>
    </row>
    <row r="14" spans="2:14" ht="20.100000000000001" customHeight="1" x14ac:dyDescent="0.2">
      <c r="B14" s="1337"/>
      <c r="C14" s="1341"/>
      <c r="D14" s="1342" t="s">
        <v>2131</v>
      </c>
      <c r="E14" s="1343">
        <v>0</v>
      </c>
      <c r="F14" s="1343">
        <v>934318</v>
      </c>
      <c r="G14" s="1343">
        <v>0</v>
      </c>
      <c r="H14" s="1343">
        <v>0</v>
      </c>
      <c r="I14" s="1343">
        <v>1490951</v>
      </c>
      <c r="J14" s="1343">
        <v>0</v>
      </c>
      <c r="K14" s="1343">
        <v>218548</v>
      </c>
      <c r="L14" s="1340">
        <f>+G14+I14+K14</f>
        <v>1709499</v>
      </c>
      <c r="M14" s="1343">
        <v>1889087</v>
      </c>
    </row>
    <row r="15" spans="2:14" ht="20.100000000000001" customHeight="1" x14ac:dyDescent="0.2">
      <c r="B15" s="1337" t="s">
        <v>1230</v>
      </c>
      <c r="C15" s="1341"/>
      <c r="D15" s="1342"/>
      <c r="E15" s="1343"/>
      <c r="F15" s="1343">
        <v>1550410</v>
      </c>
      <c r="G15" s="1343"/>
      <c r="H15" s="1343"/>
      <c r="I15" s="1343">
        <v>1659150</v>
      </c>
      <c r="J15" s="1343"/>
      <c r="K15" s="1343"/>
      <c r="L15" s="1340"/>
      <c r="M15" s="1343"/>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957" t="s">
        <v>2127</v>
      </c>
      <c r="C17" s="1341">
        <v>84.01</v>
      </c>
      <c r="D17" s="1342" t="s">
        <v>2132</v>
      </c>
      <c r="E17" s="1343">
        <v>23085</v>
      </c>
      <c r="F17" s="1343">
        <v>43291</v>
      </c>
      <c r="G17" s="1343">
        <v>41090</v>
      </c>
      <c r="H17" s="1343">
        <v>0</v>
      </c>
      <c r="I17" s="1343">
        <v>25286</v>
      </c>
      <c r="J17" s="1343">
        <v>0</v>
      </c>
      <c r="K17" s="1343">
        <v>0</v>
      </c>
      <c r="L17" s="1340">
        <f t="shared" ref="L17:L28" si="0">+G17+I17+K17</f>
        <v>66376</v>
      </c>
      <c r="M17" s="1343">
        <v>66376</v>
      </c>
    </row>
    <row r="18" spans="2:14" ht="20.100000000000001" customHeight="1" x14ac:dyDescent="0.2">
      <c r="B18" s="1337"/>
      <c r="C18" s="1341"/>
      <c r="D18" s="1342" t="s">
        <v>2133</v>
      </c>
      <c r="E18" s="1343">
        <v>0</v>
      </c>
      <c r="F18" s="1343">
        <v>25673</v>
      </c>
      <c r="G18" s="1343">
        <v>0</v>
      </c>
      <c r="H18" s="1343">
        <v>0</v>
      </c>
      <c r="I18" s="1343">
        <v>39885</v>
      </c>
      <c r="J18" s="1343">
        <v>0</v>
      </c>
      <c r="K18" s="1343">
        <v>14866</v>
      </c>
      <c r="L18" s="1340">
        <f t="shared" si="0"/>
        <v>54751</v>
      </c>
      <c r="M18" s="1343">
        <v>54751</v>
      </c>
    </row>
    <row r="19" spans="2:14" ht="20.100000000000001" customHeight="1" x14ac:dyDescent="0.2">
      <c r="B19" s="1337"/>
      <c r="C19" s="1341"/>
      <c r="D19" s="1342"/>
      <c r="E19" s="1343"/>
      <c r="F19" s="1343">
        <v>68964</v>
      </c>
      <c r="G19" s="1343"/>
      <c r="H19" s="1343"/>
      <c r="I19" s="1343">
        <v>65171</v>
      </c>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t="s">
        <v>2224</v>
      </c>
      <c r="C21" s="1341"/>
      <c r="D21" s="1342"/>
      <c r="E21" s="1343"/>
      <c r="F21" s="1343">
        <f>F19+F15</f>
        <v>1619374</v>
      </c>
      <c r="G21" s="1343"/>
      <c r="H21" s="1343"/>
      <c r="I21" s="1343">
        <f>I19+I15</f>
        <v>1724321</v>
      </c>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957" t="s">
        <v>2128</v>
      </c>
      <c r="C23" s="1341">
        <v>84.027000000000001</v>
      </c>
      <c r="D23" s="1342" t="s">
        <v>2134</v>
      </c>
      <c r="E23" s="1343">
        <v>280378</v>
      </c>
      <c r="F23" s="1958">
        <f>174382</f>
        <v>174382</v>
      </c>
      <c r="G23" s="1343">
        <v>280378</v>
      </c>
      <c r="H23" s="1343">
        <v>0</v>
      </c>
      <c r="I23" s="1343">
        <v>174382</v>
      </c>
      <c r="J23" s="1343">
        <v>0</v>
      </c>
      <c r="K23" s="1343">
        <v>0</v>
      </c>
      <c r="L23" s="1340">
        <f t="shared" si="0"/>
        <v>454760</v>
      </c>
      <c r="M23" s="1343" t="s">
        <v>2125</v>
      </c>
    </row>
    <row r="24" spans="2:14" ht="20.100000000000001" customHeight="1" x14ac:dyDescent="0.2">
      <c r="B24" s="1337"/>
      <c r="C24" s="1341"/>
      <c r="D24" s="1342" t="s">
        <v>2135</v>
      </c>
      <c r="E24" s="1343">
        <v>0</v>
      </c>
      <c r="F24" s="1958">
        <v>332940</v>
      </c>
      <c r="G24" s="1343">
        <v>0</v>
      </c>
      <c r="H24" s="1343">
        <v>0</v>
      </c>
      <c r="I24" s="1343">
        <v>332940</v>
      </c>
      <c r="J24" s="1343">
        <v>0</v>
      </c>
      <c r="K24" s="1343">
        <v>0</v>
      </c>
      <c r="L24" s="1340">
        <f t="shared" si="0"/>
        <v>332940</v>
      </c>
      <c r="M24" s="1343" t="s">
        <v>2125</v>
      </c>
    </row>
    <row r="25" spans="2:14" ht="20.100000000000001" customHeight="1" x14ac:dyDescent="0.2">
      <c r="B25" s="1337"/>
      <c r="C25" s="1341"/>
      <c r="D25" s="1342"/>
      <c r="E25" s="1343"/>
      <c r="F25" s="1958">
        <f>F23+F24</f>
        <v>507322</v>
      </c>
      <c r="G25" s="1343"/>
      <c r="H25" s="1343"/>
      <c r="I25" s="1343">
        <f>I23+I24</f>
        <v>507322</v>
      </c>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957" t="s">
        <v>2129</v>
      </c>
      <c r="C27" s="1341">
        <v>84.027000000000001</v>
      </c>
      <c r="D27" s="1342" t="s">
        <v>2136</v>
      </c>
      <c r="E27" s="1343">
        <v>1845598</v>
      </c>
      <c r="F27" s="1343">
        <v>887201</v>
      </c>
      <c r="G27" s="1343">
        <v>2494332</v>
      </c>
      <c r="H27" s="1343">
        <v>0</v>
      </c>
      <c r="I27" s="1343">
        <v>238467</v>
      </c>
      <c r="J27" s="1343">
        <v>0</v>
      </c>
      <c r="K27" s="1343">
        <v>0</v>
      </c>
      <c r="L27" s="1340">
        <f t="shared" si="0"/>
        <v>2732799</v>
      </c>
      <c r="M27" s="1343">
        <v>2732799</v>
      </c>
    </row>
    <row r="28" spans="2:14" ht="20.100000000000001" customHeight="1" x14ac:dyDescent="0.2">
      <c r="B28" s="1337"/>
      <c r="C28" s="1341"/>
      <c r="D28" s="1342" t="s">
        <v>2137</v>
      </c>
      <c r="E28" s="1343">
        <v>0</v>
      </c>
      <c r="F28" s="1343">
        <v>1883508</v>
      </c>
      <c r="G28" s="1343">
        <v>0</v>
      </c>
      <c r="H28" s="1343">
        <v>0</v>
      </c>
      <c r="I28" s="1343">
        <v>2549693</v>
      </c>
      <c r="J28" s="1343">
        <v>0</v>
      </c>
      <c r="K28" s="1343">
        <v>68650</v>
      </c>
      <c r="L28" s="1340">
        <f t="shared" si="0"/>
        <v>2618343</v>
      </c>
      <c r="M28" s="1343">
        <v>2618343</v>
      </c>
    </row>
    <row r="29" spans="2:14" ht="20.100000000000001" customHeight="1" x14ac:dyDescent="0.2">
      <c r="B29" s="1337"/>
      <c r="C29" s="1341"/>
      <c r="D29" s="1342"/>
      <c r="E29" s="1343"/>
      <c r="F29" s="1343">
        <v>2770709</v>
      </c>
      <c r="G29" s="1343"/>
      <c r="H29" s="1343"/>
      <c r="I29" s="1343">
        <v>2788160</v>
      </c>
      <c r="J29" s="1343"/>
      <c r="K29" s="1343"/>
      <c r="L29" s="1340"/>
      <c r="M29" s="1343"/>
      <c r="N29" s="1344"/>
    </row>
    <row r="30" spans="2:14" ht="12.75" customHeight="1" x14ac:dyDescent="0.2">
      <c r="B30" s="1345"/>
      <c r="C30" s="1346"/>
      <c r="D30" s="1347"/>
      <c r="E30" s="1348"/>
      <c r="F30" s="1348"/>
      <c r="G30" s="1348"/>
      <c r="H30" s="1348"/>
      <c r="I30" s="1348"/>
      <c r="J30" s="1348"/>
      <c r="K30" s="1348"/>
      <c r="L30" s="1348"/>
      <c r="M30" s="1348"/>
      <c r="N30" s="1344"/>
    </row>
    <row r="31" spans="2:14" x14ac:dyDescent="0.2">
      <c r="B31" s="1257"/>
      <c r="C31" s="1349"/>
      <c r="D31" s="1350"/>
      <c r="E31" s="1257"/>
      <c r="F31" s="1257"/>
      <c r="G31" s="1250"/>
      <c r="H31" s="1250"/>
      <c r="I31" s="1250"/>
      <c r="J31" s="1250"/>
      <c r="K31" s="1250"/>
      <c r="L31" s="1250"/>
      <c r="M31" s="1257"/>
      <c r="N31" s="1344"/>
    </row>
    <row r="32" spans="2:14" ht="13.5" customHeight="1" x14ac:dyDescent="0.2">
      <c r="B32" s="1282" t="s">
        <v>1833</v>
      </c>
      <c r="C32" s="1349"/>
      <c r="D32" s="1350"/>
      <c r="E32" s="1257"/>
      <c r="F32" s="1257"/>
      <c r="G32" s="1250"/>
      <c r="H32" s="1250"/>
      <c r="I32" s="1250"/>
      <c r="J32" s="1250"/>
      <c r="K32" s="1250"/>
      <c r="L32" s="1250"/>
      <c r="M32" s="1257"/>
      <c r="N32" s="1344"/>
    </row>
    <row r="33" spans="2:14" ht="8.25" customHeight="1" x14ac:dyDescent="0.2">
      <c r="B33" s="1282"/>
      <c r="C33" s="1349"/>
      <c r="D33" s="1350"/>
      <c r="E33" s="1257"/>
      <c r="F33" s="1257"/>
      <c r="G33" s="1250"/>
      <c r="H33" s="1250"/>
      <c r="I33" s="1250"/>
      <c r="J33" s="1250"/>
      <c r="K33" s="1250"/>
      <c r="L33" s="1250"/>
      <c r="M33" s="1257"/>
      <c r="N33" s="1344"/>
    </row>
    <row r="34" spans="2:14" x14ac:dyDescent="0.2">
      <c r="B34" s="1351" t="s">
        <v>1943</v>
      </c>
      <c r="C34" s="1352"/>
      <c r="D34" s="1353"/>
      <c r="E34" s="1354"/>
      <c r="F34" s="1354"/>
      <c r="G34" s="1354"/>
      <c r="H34" s="1354"/>
      <c r="I34" s="317"/>
      <c r="J34" s="317"/>
    </row>
    <row r="35" spans="2:14" x14ac:dyDescent="0.2">
      <c r="B35" s="1277"/>
      <c r="C35" s="1355"/>
      <c r="D35" s="1356"/>
      <c r="E35" s="1278"/>
      <c r="F35" s="1278"/>
      <c r="G35" s="317"/>
      <c r="H35" s="317"/>
      <c r="I35" s="317"/>
      <c r="J35" s="317"/>
    </row>
    <row r="36" spans="2:14" ht="13.5" customHeight="1" x14ac:dyDescent="0.2">
      <c r="B36" s="1276" t="s">
        <v>1307</v>
      </c>
      <c r="G36" s="317"/>
      <c r="H36" s="317"/>
      <c r="I36" s="317"/>
      <c r="J36" s="317"/>
    </row>
    <row r="37" spans="2:14" ht="13.5" customHeight="1" x14ac:dyDescent="0.2">
      <c r="B37" s="1359"/>
      <c r="C37" s="1360"/>
      <c r="D37" s="1361"/>
      <c r="E37" s="1297"/>
      <c r="F37" s="1297"/>
      <c r="G37" s="1297"/>
      <c r="H37" s="1297"/>
      <c r="I37" s="1297"/>
      <c r="J37" s="1297"/>
      <c r="K37" s="1362"/>
      <c r="L37" s="1362"/>
      <c r="M37" s="1297"/>
    </row>
    <row r="38" spans="2:14" ht="9.6" customHeight="1" x14ac:dyDescent="0.2">
      <c r="B38" s="1363"/>
      <c r="G38" s="317"/>
      <c r="H38" s="317"/>
      <c r="I38" s="317"/>
      <c r="J38" s="317"/>
    </row>
    <row r="39" spans="2:14" ht="11.25" customHeight="1" x14ac:dyDescent="0.2">
      <c r="B39" s="1364" t="s">
        <v>1834</v>
      </c>
      <c r="C39" s="1365"/>
      <c r="D39" s="1365"/>
      <c r="E39" s="1365"/>
      <c r="F39" s="1365"/>
      <c r="G39" s="1365"/>
      <c r="H39" s="1365"/>
      <c r="I39" s="1366"/>
      <c r="J39" s="1366"/>
      <c r="K39" s="1366"/>
      <c r="L39" s="1366"/>
      <c r="M39" s="1366"/>
    </row>
    <row r="40" spans="2:14" ht="11.25" customHeight="1" x14ac:dyDescent="0.2">
      <c r="B40" s="1367" t="s">
        <v>1662</v>
      </c>
      <c r="C40" s="1366"/>
      <c r="D40" s="1366"/>
      <c r="E40" s="1366"/>
      <c r="F40" s="1366"/>
      <c r="G40" s="1366"/>
      <c r="H40" s="1366"/>
      <c r="I40" s="1366"/>
      <c r="J40" s="1366"/>
      <c r="K40" s="1366"/>
      <c r="L40" s="1366"/>
      <c r="M40" s="1366"/>
    </row>
    <row r="41" spans="2:14" ht="3.95" customHeight="1" x14ac:dyDescent="0.2">
      <c r="B41" s="1367"/>
      <c r="C41" s="1366"/>
      <c r="D41" s="1366"/>
      <c r="E41" s="1366"/>
      <c r="F41" s="1366"/>
      <c r="G41" s="1366"/>
      <c r="H41" s="1366"/>
      <c r="I41" s="1366"/>
      <c r="J41" s="1366"/>
      <c r="K41" s="1366"/>
      <c r="L41" s="1366"/>
      <c r="M41" s="1366"/>
    </row>
    <row r="42" spans="2:14" ht="11.25" customHeight="1" x14ac:dyDescent="0.2">
      <c r="B42" s="1364" t="s">
        <v>1835</v>
      </c>
      <c r="C42" s="1366"/>
      <c r="D42" s="1366"/>
      <c r="E42" s="1366"/>
      <c r="F42" s="1366"/>
      <c r="G42" s="1366"/>
      <c r="H42" s="1366"/>
      <c r="I42" s="1366"/>
      <c r="J42" s="1366"/>
      <c r="K42" s="1366"/>
      <c r="L42" s="1366"/>
      <c r="M42" s="1366"/>
    </row>
    <row r="43" spans="2:14" ht="11.25" customHeight="1" x14ac:dyDescent="0.2">
      <c r="B43" s="1300" t="s">
        <v>1663</v>
      </c>
      <c r="C43" s="1368"/>
      <c r="D43" s="1369"/>
      <c r="E43" s="1300"/>
      <c r="F43" s="1300"/>
      <c r="G43" s="1300"/>
      <c r="H43" s="1300"/>
      <c r="I43" s="1300"/>
      <c r="J43" s="1300"/>
      <c r="K43" s="1370"/>
      <c r="L43" s="1370"/>
      <c r="M43" s="1300"/>
    </row>
    <row r="44" spans="2:14" ht="3.95" customHeight="1" x14ac:dyDescent="0.2">
      <c r="B44" s="1300"/>
      <c r="C44" s="1368"/>
      <c r="D44" s="1369"/>
      <c r="E44" s="1300"/>
      <c r="F44" s="1300"/>
      <c r="G44" s="1300"/>
      <c r="H44" s="1300"/>
      <c r="I44" s="1300"/>
      <c r="J44" s="1300"/>
      <c r="K44" s="1370"/>
      <c r="L44" s="1370"/>
      <c r="M44" s="1300"/>
    </row>
    <row r="45" spans="2:14" ht="11.25" customHeight="1" x14ac:dyDescent="0.2">
      <c r="B45" s="1371" t="s">
        <v>1836</v>
      </c>
      <c r="C45" s="1368"/>
      <c r="D45" s="1369"/>
      <c r="E45" s="1300"/>
      <c r="F45" s="1300"/>
      <c r="G45" s="1300"/>
      <c r="H45" s="1300"/>
      <c r="I45" s="1300"/>
      <c r="J45" s="1300"/>
      <c r="K45" s="1370"/>
      <c r="L45" s="1370"/>
      <c r="M45" s="1300"/>
    </row>
    <row r="46" spans="2:14" ht="3.95" customHeight="1" x14ac:dyDescent="0.2">
      <c r="B46" s="1371"/>
      <c r="C46" s="1368"/>
      <c r="D46" s="1369"/>
      <c r="E46" s="1300"/>
      <c r="F46" s="1300"/>
      <c r="G46" s="1300"/>
      <c r="H46" s="1300"/>
      <c r="I46" s="1300"/>
      <c r="J46" s="1300"/>
      <c r="K46" s="1370"/>
      <c r="L46" s="1370"/>
      <c r="M46" s="1300"/>
    </row>
    <row r="47" spans="2:14" ht="11.25" customHeight="1" x14ac:dyDescent="0.2">
      <c r="B47" s="1372" t="s">
        <v>1837</v>
      </c>
      <c r="C47" s="1368"/>
      <c r="D47" s="1369"/>
      <c r="E47" s="1300"/>
      <c r="F47" s="1300"/>
      <c r="G47" s="1300"/>
      <c r="H47" s="1300"/>
      <c r="I47" s="1300"/>
      <c r="J47" s="1300"/>
      <c r="K47" s="1370"/>
      <c r="L47" s="1370"/>
      <c r="M47" s="1300"/>
    </row>
    <row r="48" spans="2:14" ht="11.25" customHeight="1" x14ac:dyDescent="0.2">
      <c r="B48" s="1300" t="s">
        <v>1664</v>
      </c>
      <c r="G48" s="317"/>
      <c r="H48" s="317"/>
      <c r="I48" s="317"/>
      <c r="J48" s="317"/>
    </row>
    <row r="49" spans="2:13" ht="11.1" customHeight="1" x14ac:dyDescent="0.2">
      <c r="B49" s="1300"/>
      <c r="G49" s="317"/>
      <c r="H49" s="317"/>
      <c r="I49" s="317"/>
      <c r="J49" s="317"/>
    </row>
    <row r="50" spans="2:13" ht="11.1" customHeight="1" x14ac:dyDescent="0.2">
      <c r="B50" s="1300"/>
      <c r="G50" s="317"/>
      <c r="H50" s="317"/>
      <c r="I50" s="317"/>
      <c r="J50" s="317"/>
    </row>
    <row r="51" spans="2:13" ht="13.5" customHeight="1" x14ac:dyDescent="0.2">
      <c r="M51" s="1373"/>
    </row>
    <row r="52" spans="2:13" ht="13.5" customHeight="1" x14ac:dyDescent="0.2">
      <c r="M52" s="1373"/>
    </row>
    <row r="53" spans="2:13" ht="13.5" customHeight="1" x14ac:dyDescent="0.2">
      <c r="M53" s="1373"/>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8" firstPageNumber="38" orientation="landscape" useFirstPageNumber="1" r:id="rId1"/>
  <headerFooter alignWithMargins="0">
    <oddHeader>&amp;L&amp;8Page 40b&amp;R&amp;8Page 40b</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1229</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1731</v>
      </c>
      <c r="B4" s="344"/>
      <c r="C4" s="344"/>
      <c r="D4" s="344"/>
      <c r="E4" s="344"/>
      <c r="F4" s="344"/>
      <c r="G4" s="344"/>
      <c r="H4" s="344"/>
      <c r="I4" s="344"/>
      <c r="J4" s="344"/>
      <c r="K4" s="344"/>
    </row>
    <row r="5" spans="1:11" x14ac:dyDescent="0.2">
      <c r="A5" s="237" t="s">
        <v>1732</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1635</v>
      </c>
    </row>
    <row r="10" spans="1:11" s="181" customFormat="1" x14ac:dyDescent="0.2">
      <c r="A10" s="222"/>
      <c r="B10" s="223"/>
      <c r="C10" s="224"/>
      <c r="D10" s="225" t="s">
        <v>1718</v>
      </c>
    </row>
    <row r="11" spans="1:11" s="181" customFormat="1" x14ac:dyDescent="0.2">
      <c r="A11" s="219"/>
      <c r="B11" s="226"/>
      <c r="C11" s="227">
        <v>2</v>
      </c>
      <c r="D11" s="228" t="s">
        <v>1719</v>
      </c>
    </row>
    <row r="12" spans="1:11" s="181" customFormat="1" hidden="1" x14ac:dyDescent="0.2">
      <c r="A12" s="219"/>
      <c r="B12" s="229"/>
      <c r="C12" s="227"/>
      <c r="D12" s="230"/>
    </row>
    <row r="13" spans="1:11" s="181" customFormat="1" x14ac:dyDescent="0.2">
      <c r="A13" s="219"/>
      <c r="B13" s="226"/>
      <c r="C13" s="227">
        <v>3</v>
      </c>
      <c r="D13" s="228" t="s">
        <v>1720</v>
      </c>
    </row>
    <row r="14" spans="1:11" s="181" customFormat="1" x14ac:dyDescent="0.2">
      <c r="A14" s="219"/>
      <c r="B14" s="226"/>
      <c r="C14" s="227">
        <v>4</v>
      </c>
      <c r="D14" s="228" t="s">
        <v>1721</v>
      </c>
    </row>
    <row r="15" spans="1:11" s="181" customFormat="1" x14ac:dyDescent="0.2">
      <c r="A15" s="219"/>
      <c r="B15" s="226"/>
      <c r="C15" s="227">
        <v>5</v>
      </c>
      <c r="D15" s="231" t="s">
        <v>1025</v>
      </c>
    </row>
    <row r="16" spans="1:11" s="181" customFormat="1" x14ac:dyDescent="0.2">
      <c r="A16" s="219"/>
      <c r="B16" s="226"/>
      <c r="C16" s="227">
        <v>6</v>
      </c>
      <c r="D16" s="231" t="s">
        <v>1530</v>
      </c>
    </row>
    <row r="17" spans="1:4" s="181" customFormat="1" ht="6" hidden="1" customHeight="1" x14ac:dyDescent="0.2">
      <c r="A17" s="219"/>
      <c r="B17" s="229"/>
      <c r="C17" s="227"/>
      <c r="D17" s="232"/>
    </row>
    <row r="18" spans="1:4" s="181" customFormat="1" ht="12" customHeight="1" x14ac:dyDescent="0.2">
      <c r="A18" s="219"/>
      <c r="B18" s="226"/>
      <c r="C18" s="227">
        <v>7</v>
      </c>
      <c r="D18" s="231" t="s">
        <v>1529</v>
      </c>
    </row>
    <row r="19" spans="1:4" s="181" customFormat="1" hidden="1" x14ac:dyDescent="0.2">
      <c r="A19" s="219"/>
      <c r="B19" s="229"/>
      <c r="C19" s="227"/>
      <c r="D19" s="232"/>
    </row>
    <row r="20" spans="1:4" s="181" customFormat="1" x14ac:dyDescent="0.2">
      <c r="A20" s="219"/>
      <c r="B20" s="226"/>
      <c r="C20" s="227">
        <v>8</v>
      </c>
      <c r="D20" s="231" t="s">
        <v>1722</v>
      </c>
    </row>
    <row r="21" spans="1:4" s="181" customFormat="1" x14ac:dyDescent="0.2">
      <c r="A21" s="219"/>
      <c r="B21" s="229"/>
      <c r="C21" s="227"/>
      <c r="D21" s="233" t="s">
        <v>1632</v>
      </c>
    </row>
    <row r="22" spans="1:4" s="181" customFormat="1" x14ac:dyDescent="0.2">
      <c r="A22" s="219"/>
      <c r="B22" s="226"/>
      <c r="C22" s="227">
        <v>9</v>
      </c>
      <c r="D22" s="231" t="s">
        <v>1723</v>
      </c>
    </row>
    <row r="23" spans="1:4" s="181" customFormat="1" x14ac:dyDescent="0.2">
      <c r="A23" s="219"/>
      <c r="B23" s="234"/>
      <c r="C23" s="227"/>
      <c r="D23" s="235" t="s">
        <v>1633</v>
      </c>
    </row>
    <row r="24" spans="1:4" s="181" customFormat="1" x14ac:dyDescent="0.2">
      <c r="A24" s="219"/>
      <c r="B24" s="226"/>
      <c r="C24" s="227">
        <v>10</v>
      </c>
      <c r="D24" s="231" t="s">
        <v>1724</v>
      </c>
    </row>
    <row r="25" spans="1:4" s="181" customFormat="1" x14ac:dyDescent="0.2">
      <c r="A25" s="219"/>
      <c r="B25" s="226"/>
      <c r="C25" s="227">
        <v>11</v>
      </c>
      <c r="D25" s="231" t="s">
        <v>1725</v>
      </c>
    </row>
    <row r="26" spans="1:4" s="181" customFormat="1" x14ac:dyDescent="0.2">
      <c r="A26" s="219"/>
      <c r="B26" s="234"/>
      <c r="C26" s="227"/>
      <c r="D26" s="235" t="s">
        <v>1634</v>
      </c>
    </row>
    <row r="27" spans="1:4" s="181" customFormat="1" x14ac:dyDescent="0.2">
      <c r="A27" s="219"/>
      <c r="B27" s="226"/>
      <c r="C27" s="227">
        <v>12</v>
      </c>
      <c r="D27" s="231" t="s">
        <v>1636</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1726</v>
      </c>
    </row>
    <row r="31" spans="1:4" s="181" customFormat="1" x14ac:dyDescent="0.2">
      <c r="A31" s="219"/>
      <c r="B31" s="226"/>
      <c r="C31" s="227">
        <v>14</v>
      </c>
      <c r="D31" s="231" t="s">
        <v>1684</v>
      </c>
    </row>
    <row r="32" spans="1:4" s="181" customFormat="1" x14ac:dyDescent="0.2">
      <c r="A32" s="219"/>
      <c r="B32" s="236"/>
      <c r="C32" s="227"/>
      <c r="D32" s="237" t="s">
        <v>1889</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8" t="s">
        <v>1727</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1728</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1729</v>
      </c>
    </row>
    <row r="43" spans="1:9" s="181" customFormat="1" x14ac:dyDescent="0.2">
      <c r="A43" s="219"/>
      <c r="B43" s="229"/>
      <c r="C43" s="227"/>
      <c r="D43" s="240" t="s">
        <v>1730</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330</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2069</v>
      </c>
      <c r="C50" s="227">
        <v>20</v>
      </c>
      <c r="D50" s="243" t="s">
        <v>1733</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1533</v>
      </c>
      <c r="E53" s="248"/>
      <c r="F53" s="249"/>
      <c r="G53" s="249" t="s">
        <v>1532</v>
      </c>
      <c r="H53" s="250"/>
      <c r="I53" s="237" t="s">
        <v>1558</v>
      </c>
    </row>
    <row r="54" spans="1:10" s="181" customFormat="1" x14ac:dyDescent="0.2">
      <c r="A54" s="219"/>
      <c r="B54" s="220"/>
      <c r="C54" s="179">
        <v>23</v>
      </c>
      <c r="D54" s="243" t="s">
        <v>1425</v>
      </c>
      <c r="E54" s="248"/>
      <c r="F54" s="249"/>
    </row>
    <row r="55" spans="1:10" s="181" customFormat="1" x14ac:dyDescent="0.2">
      <c r="A55" s="214"/>
      <c r="B55" s="251"/>
      <c r="C55" s="251"/>
      <c r="D55" s="231" t="s">
        <v>1888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t="s">
        <v>2184</v>
      </c>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1386</v>
      </c>
      <c r="B70" s="2091"/>
      <c r="C70" s="2091"/>
      <c r="D70" s="2091"/>
      <c r="E70" s="2092"/>
      <c r="F70" s="2092"/>
      <c r="G70" s="2092"/>
      <c r="H70" s="2092"/>
      <c r="I70" s="2092"/>
    </row>
    <row r="71" spans="1:10" s="181" customFormat="1" x14ac:dyDescent="0.2">
      <c r="A71" s="219"/>
      <c r="C71" s="257"/>
      <c r="D71" s="258" t="s">
        <v>1385</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2063</v>
      </c>
      <c r="B73" s="255"/>
      <c r="C73" s="256"/>
      <c r="D73" s="256"/>
      <c r="E73" s="256"/>
      <c r="F73" s="256"/>
      <c r="G73" s="256"/>
      <c r="H73" s="256"/>
    </row>
    <row r="74" spans="1:10" s="181" customFormat="1" x14ac:dyDescent="0.2">
      <c r="A74" s="259" t="s">
        <v>1493</v>
      </c>
      <c r="B74" s="255"/>
      <c r="C74" s="256"/>
      <c r="D74" s="256"/>
      <c r="E74" s="256"/>
      <c r="F74" s="256"/>
      <c r="G74" s="256"/>
      <c r="H74" s="256"/>
    </row>
    <row r="75" spans="1:10" s="181" customFormat="1" x14ac:dyDescent="0.2">
      <c r="A75" s="259" t="s">
        <v>1685</v>
      </c>
      <c r="B75" s="255"/>
      <c r="C75" s="256"/>
      <c r="D75" s="256"/>
      <c r="E75" s="256"/>
      <c r="F75" s="256"/>
      <c r="G75" s="256"/>
      <c r="H75" s="256"/>
    </row>
    <row r="76" spans="1:10" s="181" customFormat="1" ht="18.75" customHeight="1" x14ac:dyDescent="0.2">
      <c r="A76" s="239" t="s">
        <v>1494</v>
      </c>
      <c r="B76" s="255"/>
      <c r="C76" s="256"/>
      <c r="D76" s="256"/>
      <c r="E76" s="256"/>
      <c r="F76" s="256"/>
      <c r="G76" s="256"/>
      <c r="H76" s="256"/>
    </row>
    <row r="77" spans="1:10" s="181" customFormat="1" x14ac:dyDescent="0.2">
      <c r="C77" s="179">
        <v>24</v>
      </c>
      <c r="D77" s="247" t="s">
        <v>1741</v>
      </c>
      <c r="G77" s="297" t="s">
        <v>2013</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1739</v>
      </c>
      <c r="E79" s="248"/>
      <c r="F79" s="249"/>
    </row>
    <row r="80" spans="1:10" s="181" customFormat="1" x14ac:dyDescent="0.2">
      <c r="A80" s="219"/>
      <c r="B80" s="262"/>
      <c r="C80" s="179"/>
      <c r="D80" s="247" t="s">
        <v>1740</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1383</v>
      </c>
      <c r="B83" s="2093"/>
      <c r="C83" s="2093"/>
      <c r="D83" s="2094"/>
      <c r="E83" s="263" t="s">
        <v>1420</v>
      </c>
      <c r="F83" s="263" t="s">
        <v>1421</v>
      </c>
      <c r="G83" s="263" t="s">
        <v>1422</v>
      </c>
      <c r="H83" s="263" t="s">
        <v>1423</v>
      </c>
      <c r="I83" s="263" t="s">
        <v>1424</v>
      </c>
      <c r="J83" s="264" t="s">
        <v>158</v>
      </c>
    </row>
    <row r="84" spans="1:10" s="181" customFormat="1" ht="13.5" customHeight="1" thickTop="1" x14ac:dyDescent="0.2">
      <c r="A84" s="265" t="s">
        <v>1515</v>
      </c>
      <c r="B84" s="266"/>
      <c r="C84" s="267"/>
      <c r="D84" s="268"/>
      <c r="E84" s="269"/>
      <c r="F84" s="269"/>
      <c r="G84" s="269"/>
      <c r="H84" s="269"/>
      <c r="I84" s="269"/>
      <c r="J84" s="270"/>
    </row>
    <row r="85" spans="1:10" s="181" customFormat="1" ht="13.5" customHeight="1" x14ac:dyDescent="0.2">
      <c r="A85" s="271" t="s">
        <v>2061</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1384</v>
      </c>
      <c r="B87" s="283"/>
      <c r="C87" s="284"/>
      <c r="D87" s="281"/>
      <c r="E87" s="269"/>
      <c r="F87" s="269"/>
      <c r="G87" s="269"/>
      <c r="H87" s="269"/>
      <c r="I87" s="269"/>
      <c r="J87" s="270"/>
    </row>
    <row r="88" spans="1:10" s="181" customFormat="1" ht="13.5" customHeight="1" x14ac:dyDescent="0.2">
      <c r="A88" s="285" t="s">
        <v>2061</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1734</v>
      </c>
      <c r="C92" s="179"/>
      <c r="E92" s="260"/>
      <c r="F92" s="296"/>
      <c r="H92" s="297"/>
    </row>
    <row r="93" spans="1:10" s="181" customFormat="1" ht="16.5" customHeight="1" x14ac:dyDescent="0.2">
      <c r="A93" s="219"/>
      <c r="B93" s="298" t="s">
        <v>2062</v>
      </c>
      <c r="C93" s="179"/>
      <c r="E93" s="260"/>
      <c r="F93" s="296"/>
      <c r="H93" s="297"/>
    </row>
    <row r="94" spans="1:10" s="181" customFormat="1" x14ac:dyDescent="0.2">
      <c r="A94" s="299" t="s">
        <v>1394</v>
      </c>
      <c r="B94" s="300"/>
      <c r="C94" s="300"/>
      <c r="D94" s="301"/>
      <c r="E94" s="302"/>
      <c r="F94" s="303"/>
      <c r="G94" s="304"/>
      <c r="H94" s="305"/>
      <c r="I94" s="306"/>
    </row>
    <row r="95" spans="1:10" s="181" customFormat="1" x14ac:dyDescent="0.2">
      <c r="A95" s="307"/>
      <c r="B95" s="308" t="s">
        <v>1735</v>
      </c>
      <c r="C95" s="309"/>
      <c r="D95" s="310"/>
      <c r="E95" s="304"/>
      <c r="F95" s="304"/>
      <c r="G95" s="304"/>
      <c r="H95" s="304"/>
      <c r="I95" s="304"/>
    </row>
    <row r="96" spans="1:10" s="181" customFormat="1" x14ac:dyDescent="0.2">
      <c r="A96" s="307" t="s">
        <v>1230</v>
      </c>
      <c r="B96" s="345" t="s">
        <v>1737</v>
      </c>
      <c r="C96" s="309"/>
      <c r="D96" s="311"/>
      <c r="E96" s="311"/>
      <c r="F96" s="311"/>
      <c r="G96" s="311"/>
      <c r="H96" s="311"/>
      <c r="I96" s="304"/>
    </row>
    <row r="97" spans="1:9" s="181" customFormat="1" x14ac:dyDescent="0.2">
      <c r="A97" s="307"/>
      <c r="B97" s="308" t="s">
        <v>1736</v>
      </c>
      <c r="C97" s="309"/>
      <c r="D97" s="311"/>
      <c r="E97" s="311"/>
      <c r="F97" s="311"/>
      <c r="G97" s="311"/>
      <c r="H97" s="311"/>
      <c r="I97" s="304"/>
    </row>
    <row r="98" spans="1:9" s="181" customFormat="1" x14ac:dyDescent="0.2">
      <c r="A98" s="308"/>
      <c r="B98" s="312" t="s">
        <v>1738</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2079</v>
      </c>
      <c r="D114" s="2084"/>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1393</v>
      </c>
      <c r="D117" s="2086"/>
      <c r="E117" s="2087"/>
      <c r="F117" s="2087"/>
      <c r="G117" s="2087"/>
      <c r="H117" s="2087"/>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2014</v>
      </c>
      <c r="G119" s="328"/>
      <c r="H119" s="328"/>
      <c r="I119" s="304"/>
    </row>
    <row r="120" spans="1:9" x14ac:dyDescent="0.2">
      <c r="A120" s="329"/>
      <c r="B120" s="180"/>
      <c r="C120" s="330"/>
      <c r="D120" s="256"/>
      <c r="E120" s="256"/>
      <c r="F120" s="256"/>
      <c r="G120" s="256"/>
      <c r="H120" s="256"/>
      <c r="I120" s="304"/>
    </row>
    <row r="121" spans="1:9" x14ac:dyDescent="0.2">
      <c r="A121" s="329"/>
      <c r="B121" s="1510" t="s">
        <v>1686</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0" t="str">
        <f>'Single Audit Cover'!A7</f>
        <v>McLean County USD 5</v>
      </c>
      <c r="C1" s="2455"/>
      <c r="D1" s="2455"/>
      <c r="E1" s="2455"/>
      <c r="F1" s="2455"/>
      <c r="G1" s="2455"/>
      <c r="H1" s="2455"/>
      <c r="I1" s="2455"/>
      <c r="J1" s="2455"/>
      <c r="K1" s="2455"/>
      <c r="L1" s="2455"/>
      <c r="M1" s="2455"/>
    </row>
    <row r="2" spans="2:14" ht="15" x14ac:dyDescent="0.2">
      <c r="B2" s="2456" t="str">
        <f>'Single Audit Cover'!E7</f>
        <v>17-064-0050-26</v>
      </c>
      <c r="C2" s="2456"/>
      <c r="D2" s="2456"/>
      <c r="E2" s="2456"/>
      <c r="F2" s="2456"/>
      <c r="G2" s="2456"/>
      <c r="H2" s="2456"/>
      <c r="I2" s="2456"/>
      <c r="J2" s="2456"/>
      <c r="K2" s="2456"/>
      <c r="L2" s="2456"/>
      <c r="M2" s="2456"/>
      <c r="N2" s="1302"/>
    </row>
    <row r="3" spans="2:14" ht="15" x14ac:dyDescent="0.2">
      <c r="B3" s="2457" t="s">
        <v>1280</v>
      </c>
      <c r="C3" s="2457"/>
      <c r="D3" s="2457"/>
      <c r="E3" s="2457"/>
      <c r="F3" s="2457"/>
      <c r="G3" s="2457"/>
      <c r="H3" s="2457"/>
      <c r="I3" s="2457"/>
      <c r="J3" s="2457"/>
      <c r="K3" s="2457"/>
      <c r="L3" s="2457"/>
      <c r="M3" s="2457"/>
      <c r="N3" s="1302"/>
    </row>
    <row r="4" spans="2:14" ht="15" x14ac:dyDescent="0.2">
      <c r="B4" s="2458" t="str">
        <f>'Single Audit Cover'!A4</f>
        <v>Year Ending June 30, 2018</v>
      </c>
      <c r="C4" s="2458"/>
      <c r="D4" s="2458"/>
      <c r="E4" s="2458"/>
      <c r="F4" s="2458"/>
      <c r="G4" s="2458"/>
      <c r="H4" s="2458"/>
      <c r="I4" s="2458"/>
      <c r="J4" s="2458"/>
      <c r="K4" s="2458"/>
      <c r="L4" s="2458"/>
      <c r="M4" s="2458"/>
      <c r="N4" s="1302"/>
    </row>
    <row r="6" spans="2:14" x14ac:dyDescent="0.2">
      <c r="B6" s="1303"/>
      <c r="C6" s="1304"/>
      <c r="D6" s="1305" t="s">
        <v>1326</v>
      </c>
      <c r="E6" s="1306" t="s">
        <v>547</v>
      </c>
      <c r="F6" s="1307"/>
      <c r="G6" s="1308" t="s">
        <v>1830</v>
      </c>
      <c r="H6" s="1306"/>
      <c r="I6" s="1306"/>
      <c r="J6" s="1306"/>
      <c r="K6" s="1309"/>
      <c r="L6" s="1310"/>
      <c r="M6" s="1311"/>
    </row>
    <row r="7" spans="2:14" x14ac:dyDescent="0.2">
      <c r="B7" s="1312" t="s">
        <v>1658</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1659</v>
      </c>
      <c r="I8" s="1319" t="s">
        <v>1323</v>
      </c>
      <c r="J8" s="1318" t="s">
        <v>1942</v>
      </c>
      <c r="K8" s="1319" t="s">
        <v>1322</v>
      </c>
      <c r="L8" s="1320" t="s">
        <v>1318</v>
      </c>
      <c r="M8" s="1321" t="s">
        <v>30</v>
      </c>
    </row>
    <row r="9" spans="2:14" ht="14.25" x14ac:dyDescent="0.2">
      <c r="B9" s="1325" t="s">
        <v>1320</v>
      </c>
      <c r="C9" s="1313" t="s">
        <v>1831</v>
      </c>
      <c r="D9" s="1314" t="s">
        <v>1832</v>
      </c>
      <c r="E9" s="1322" t="s">
        <v>1659</v>
      </c>
      <c r="F9" s="1323" t="s">
        <v>1942</v>
      </c>
      <c r="G9" s="1324" t="s">
        <v>1659</v>
      </c>
      <c r="H9" s="1317" t="s">
        <v>1660</v>
      </c>
      <c r="I9" s="1319" t="s">
        <v>1942</v>
      </c>
      <c r="J9" s="1318" t="s">
        <v>1660</v>
      </c>
      <c r="K9" s="1319" t="s">
        <v>1319</v>
      </c>
      <c r="L9" s="1326" t="s">
        <v>1661</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2126</v>
      </c>
      <c r="C11" s="1338"/>
      <c r="D11" s="1339"/>
      <c r="E11" s="1340"/>
      <c r="F11" s="1340"/>
      <c r="G11" s="1340"/>
      <c r="H11" s="1340"/>
      <c r="I11" s="1340"/>
      <c r="J11" s="1340"/>
      <c r="K11" s="1340"/>
      <c r="L11" s="1340"/>
      <c r="M11" s="1340"/>
    </row>
    <row r="12" spans="2:14" ht="20.100000000000001" customHeight="1" x14ac:dyDescent="0.2">
      <c r="B12" s="1956" t="s">
        <v>2114</v>
      </c>
      <c r="C12" s="1338"/>
      <c r="D12" s="1339"/>
      <c r="E12" s="1340"/>
      <c r="F12" s="1340"/>
      <c r="G12" s="1340"/>
      <c r="H12" s="1340"/>
      <c r="I12" s="1340"/>
      <c r="J12" s="1340"/>
      <c r="K12" s="1340"/>
      <c r="L12" s="1340"/>
      <c r="M12" s="1340"/>
    </row>
    <row r="13" spans="2:14" ht="20.100000000000001" customHeight="1" x14ac:dyDescent="0.2">
      <c r="B13" s="1957" t="s">
        <v>2138</v>
      </c>
      <c r="C13" s="1338">
        <v>84.173000000000002</v>
      </c>
      <c r="D13" s="1339" t="s">
        <v>2139</v>
      </c>
      <c r="E13" s="1340">
        <v>40864</v>
      </c>
      <c r="F13" s="1340">
        <v>13769</v>
      </c>
      <c r="G13" s="1340">
        <v>47090</v>
      </c>
      <c r="H13" s="1340">
        <v>0</v>
      </c>
      <c r="I13" s="1340">
        <v>7543</v>
      </c>
      <c r="J13" s="1340">
        <v>0</v>
      </c>
      <c r="K13" s="1340">
        <v>0</v>
      </c>
      <c r="L13" s="1340">
        <v>54633</v>
      </c>
      <c r="M13" s="1340">
        <v>70979</v>
      </c>
    </row>
    <row r="14" spans="2:14" ht="20.100000000000001" customHeight="1" x14ac:dyDescent="0.2">
      <c r="B14" s="1337"/>
      <c r="C14" s="1341"/>
      <c r="D14" s="1342" t="s">
        <v>2140</v>
      </c>
      <c r="E14" s="1343">
        <v>0</v>
      </c>
      <c r="F14" s="1343">
        <v>37827</v>
      </c>
      <c r="G14" s="1343">
        <v>0</v>
      </c>
      <c r="H14" s="1343">
        <v>0</v>
      </c>
      <c r="I14" s="1343">
        <v>64382</v>
      </c>
      <c r="J14" s="1343">
        <v>0</v>
      </c>
      <c r="K14" s="1343">
        <v>7440</v>
      </c>
      <c r="L14" s="1340">
        <f t="shared" ref="L14:L24" si="0">+G14+I14+K14</f>
        <v>71822</v>
      </c>
      <c r="M14" s="1343">
        <v>74768</v>
      </c>
    </row>
    <row r="15" spans="2:14" ht="20.100000000000001" customHeight="1" x14ac:dyDescent="0.2">
      <c r="B15" s="1337"/>
      <c r="C15" s="1341"/>
      <c r="D15" s="1342"/>
      <c r="E15" s="1343"/>
      <c r="F15" s="1343">
        <v>51596</v>
      </c>
      <c r="G15" s="1343"/>
      <c r="H15" s="1343"/>
      <c r="I15" s="1343">
        <v>71925</v>
      </c>
      <c r="J15" s="1343"/>
      <c r="K15" s="1343"/>
      <c r="L15" s="1340"/>
      <c r="M15" s="1343"/>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337" t="s">
        <v>2141</v>
      </c>
      <c r="C17" s="1341"/>
      <c r="D17" s="1342"/>
      <c r="E17" s="1343"/>
      <c r="F17" s="1343">
        <f>F15+' SEFA (2)'!F29+' SEFA (2)'!F25</f>
        <v>3329627</v>
      </c>
      <c r="G17" s="1343"/>
      <c r="H17" s="1343"/>
      <c r="I17" s="1343">
        <f>I15+' SEFA (2)'!I29+' SEFA (2)'!I25</f>
        <v>3367407</v>
      </c>
      <c r="J17" s="1343"/>
      <c r="K17" s="1343"/>
      <c r="L17" s="1340"/>
      <c r="M17" s="1343"/>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957" t="s">
        <v>2156</v>
      </c>
      <c r="C19" s="1341">
        <v>84.364999999999995</v>
      </c>
      <c r="D19" s="1342" t="s">
        <v>2142</v>
      </c>
      <c r="E19" s="1343">
        <v>21817</v>
      </c>
      <c r="F19" s="1343">
        <v>28748</v>
      </c>
      <c r="G19" s="1343">
        <v>43952</v>
      </c>
      <c r="H19" s="1343">
        <v>0</v>
      </c>
      <c r="I19" s="1343">
        <v>6613</v>
      </c>
      <c r="J19" s="1343">
        <v>0</v>
      </c>
      <c r="K19" s="1343">
        <v>0</v>
      </c>
      <c r="L19" s="1340">
        <f t="shared" si="0"/>
        <v>50565</v>
      </c>
      <c r="M19" s="1343">
        <v>70209</v>
      </c>
    </row>
    <row r="20" spans="2:14" ht="20.100000000000001" customHeight="1" x14ac:dyDescent="0.2">
      <c r="B20" s="1337"/>
      <c r="C20" s="1341"/>
      <c r="D20" s="1342" t="s">
        <v>2143</v>
      </c>
      <c r="E20" s="1343">
        <v>0</v>
      </c>
      <c r="F20" s="1343">
        <v>7984</v>
      </c>
      <c r="G20" s="1343">
        <v>0</v>
      </c>
      <c r="H20" s="1343">
        <v>0</v>
      </c>
      <c r="I20" s="1343">
        <v>9574</v>
      </c>
      <c r="J20" s="1343">
        <v>0</v>
      </c>
      <c r="K20" s="1343">
        <v>0</v>
      </c>
      <c r="L20" s="1340">
        <f t="shared" si="0"/>
        <v>9574</v>
      </c>
      <c r="M20" s="1343">
        <v>19644</v>
      </c>
    </row>
    <row r="21" spans="2:14" ht="20.100000000000001" customHeight="1" x14ac:dyDescent="0.2">
      <c r="B21" s="1337"/>
      <c r="C21" s="1341"/>
      <c r="D21" s="1342"/>
      <c r="E21" s="1343"/>
      <c r="F21" s="1343">
        <v>36732</v>
      </c>
      <c r="G21" s="1343"/>
      <c r="H21" s="1343"/>
      <c r="I21" s="1343">
        <v>16187</v>
      </c>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957" t="s">
        <v>2157</v>
      </c>
      <c r="C23" s="1341">
        <v>84.364999999999995</v>
      </c>
      <c r="D23" s="1342" t="s">
        <v>2144</v>
      </c>
      <c r="E23" s="1343">
        <v>39808</v>
      </c>
      <c r="F23" s="1343">
        <v>24549</v>
      </c>
      <c r="G23" s="1343">
        <v>56986</v>
      </c>
      <c r="H23" s="1343">
        <v>0</v>
      </c>
      <c r="I23" s="1343">
        <v>7371</v>
      </c>
      <c r="J23" s="1343">
        <v>0</v>
      </c>
      <c r="K23" s="1343">
        <v>0</v>
      </c>
      <c r="L23" s="1340">
        <f>+G23+I23+K23</f>
        <v>64357</v>
      </c>
      <c r="M23" s="1343">
        <v>104437</v>
      </c>
    </row>
    <row r="24" spans="2:14" ht="20.100000000000001" customHeight="1" x14ac:dyDescent="0.2">
      <c r="B24" s="1337"/>
      <c r="C24" s="1341"/>
      <c r="D24" s="1342" t="s">
        <v>2145</v>
      </c>
      <c r="E24" s="1343">
        <v>0</v>
      </c>
      <c r="F24" s="1343">
        <v>46774</v>
      </c>
      <c r="G24" s="1343">
        <v>0</v>
      </c>
      <c r="H24" s="1343">
        <v>0</v>
      </c>
      <c r="I24" s="1343">
        <v>68194</v>
      </c>
      <c r="J24" s="1343">
        <v>0</v>
      </c>
      <c r="K24" s="1343">
        <v>6313</v>
      </c>
      <c r="L24" s="1340">
        <f t="shared" si="0"/>
        <v>74507</v>
      </c>
      <c r="M24" s="1343">
        <v>103998</v>
      </c>
    </row>
    <row r="25" spans="2:14" ht="20.100000000000001" customHeight="1" x14ac:dyDescent="0.2">
      <c r="B25" s="1337"/>
      <c r="C25" s="1341"/>
      <c r="D25" s="1342"/>
      <c r="E25" s="1343"/>
      <c r="F25" s="1343">
        <v>71323</v>
      </c>
      <c r="G25" s="1343"/>
      <c r="H25" s="1343"/>
      <c r="I25" s="1343">
        <v>75565</v>
      </c>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t="s">
        <v>2225</v>
      </c>
      <c r="C27" s="1341"/>
      <c r="D27" s="1342"/>
      <c r="E27" s="1343"/>
      <c r="F27" s="1343">
        <f>F25+F21</f>
        <v>108055</v>
      </c>
      <c r="G27" s="1343"/>
      <c r="H27" s="1343"/>
      <c r="I27" s="1343">
        <f>I25+I21</f>
        <v>91752</v>
      </c>
      <c r="J27" s="1343"/>
      <c r="K27" s="1343"/>
      <c r="L27" s="1340"/>
      <c r="M27" s="1343"/>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1833</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1943</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1834</v>
      </c>
      <c r="C37" s="1365"/>
      <c r="D37" s="1365"/>
      <c r="E37" s="1365"/>
      <c r="F37" s="1365"/>
      <c r="G37" s="1365"/>
      <c r="H37" s="1365"/>
      <c r="I37" s="1366"/>
      <c r="J37" s="1366"/>
      <c r="K37" s="1366"/>
      <c r="L37" s="1366"/>
      <c r="M37" s="1366"/>
    </row>
    <row r="38" spans="2:13" ht="11.25" customHeight="1" x14ac:dyDescent="0.2">
      <c r="B38" s="1367" t="s">
        <v>1662</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1835</v>
      </c>
      <c r="C40" s="1366"/>
      <c r="D40" s="1366"/>
      <c r="E40" s="1366"/>
      <c r="F40" s="1366"/>
      <c r="G40" s="1366"/>
      <c r="H40" s="1366"/>
      <c r="I40" s="1366"/>
      <c r="J40" s="1366"/>
      <c r="K40" s="1366"/>
      <c r="L40" s="1366"/>
      <c r="M40" s="1366"/>
    </row>
    <row r="41" spans="2:13" ht="11.25" customHeight="1" x14ac:dyDescent="0.2">
      <c r="B41" s="1300" t="s">
        <v>1663</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1836</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1837</v>
      </c>
      <c r="C45" s="1368"/>
      <c r="D45" s="1369"/>
      <c r="E45" s="1300"/>
      <c r="F45" s="1300"/>
      <c r="G45" s="1300"/>
      <c r="H45" s="1300"/>
      <c r="I45" s="1300"/>
      <c r="J45" s="1300"/>
      <c r="K45" s="1370"/>
      <c r="L45" s="1370"/>
      <c r="M45" s="1300"/>
    </row>
    <row r="46" spans="2:13" ht="11.25" customHeight="1" x14ac:dyDescent="0.2">
      <c r="B46" s="1300" t="s">
        <v>1664</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40c&amp;R&amp;8Page 40c</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4"/>
  <sheetViews>
    <sheetView showGridLines="0" zoomScaleNormal="100" workbookViewId="0"/>
  </sheetViews>
  <sheetFormatPr defaultColWidth="33.5703125" defaultRowHeight="12.75" x14ac:dyDescent="0.2"/>
  <cols>
    <col min="1" max="1" width="0.140625" style="317" customWidth="1"/>
    <col min="2" max="2" width="39.4257812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0" t="str">
        <f>'Single Audit Cover'!A7</f>
        <v>McLean County USD 5</v>
      </c>
      <c r="C1" s="2455"/>
      <c r="D1" s="2455"/>
      <c r="E1" s="2455"/>
      <c r="F1" s="2455"/>
      <c r="G1" s="2455"/>
      <c r="H1" s="2455"/>
      <c r="I1" s="2455"/>
      <c r="J1" s="2455"/>
      <c r="K1" s="2455"/>
      <c r="L1" s="2455"/>
      <c r="M1" s="2455"/>
    </row>
    <row r="2" spans="2:14" ht="15" x14ac:dyDescent="0.2">
      <c r="B2" s="2456" t="str">
        <f>'Single Audit Cover'!E7</f>
        <v>17-064-0050-26</v>
      </c>
      <c r="C2" s="2456"/>
      <c r="D2" s="2456"/>
      <c r="E2" s="2456"/>
      <c r="F2" s="2456"/>
      <c r="G2" s="2456"/>
      <c r="H2" s="2456"/>
      <c r="I2" s="2456"/>
      <c r="J2" s="2456"/>
      <c r="K2" s="2456"/>
      <c r="L2" s="2456"/>
      <c r="M2" s="2456"/>
      <c r="N2" s="1302"/>
    </row>
    <row r="3" spans="2:14" ht="15" x14ac:dyDescent="0.2">
      <c r="B3" s="2457" t="s">
        <v>1280</v>
      </c>
      <c r="C3" s="2457"/>
      <c r="D3" s="2457"/>
      <c r="E3" s="2457"/>
      <c r="F3" s="2457"/>
      <c r="G3" s="2457"/>
      <c r="H3" s="2457"/>
      <c r="I3" s="2457"/>
      <c r="J3" s="2457"/>
      <c r="K3" s="2457"/>
      <c r="L3" s="2457"/>
      <c r="M3" s="2457"/>
      <c r="N3" s="1302"/>
    </row>
    <row r="4" spans="2:14" ht="15" x14ac:dyDescent="0.2">
      <c r="B4" s="2458" t="str">
        <f>'Single Audit Cover'!A4</f>
        <v>Year Ending June 30, 2018</v>
      </c>
      <c r="C4" s="2458"/>
      <c r="D4" s="2458"/>
      <c r="E4" s="2458"/>
      <c r="F4" s="2458"/>
      <c r="G4" s="2458"/>
      <c r="H4" s="2458"/>
      <c r="I4" s="2458"/>
      <c r="J4" s="2458"/>
      <c r="K4" s="2458"/>
      <c r="L4" s="2458"/>
      <c r="M4" s="2458"/>
      <c r="N4" s="1302"/>
    </row>
    <row r="6" spans="2:14" x14ac:dyDescent="0.2">
      <c r="B6" s="1303"/>
      <c r="C6" s="1304"/>
      <c r="D6" s="1305" t="s">
        <v>1326</v>
      </c>
      <c r="E6" s="1306" t="s">
        <v>547</v>
      </c>
      <c r="F6" s="1307"/>
      <c r="G6" s="1308" t="s">
        <v>1830</v>
      </c>
      <c r="H6" s="1306"/>
      <c r="I6" s="1306"/>
      <c r="J6" s="1306"/>
      <c r="K6" s="1309"/>
      <c r="L6" s="1310"/>
      <c r="M6" s="1311"/>
    </row>
    <row r="7" spans="2:14" x14ac:dyDescent="0.2">
      <c r="B7" s="1312" t="s">
        <v>1658</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1659</v>
      </c>
      <c r="I8" s="1319" t="s">
        <v>1323</v>
      </c>
      <c r="J8" s="1318" t="s">
        <v>1942</v>
      </c>
      <c r="K8" s="1319" t="s">
        <v>1322</v>
      </c>
      <c r="L8" s="1320" t="s">
        <v>1318</v>
      </c>
      <c r="M8" s="1321" t="s">
        <v>30</v>
      </c>
    </row>
    <row r="9" spans="2:14" ht="14.25" x14ac:dyDescent="0.2">
      <c r="B9" s="1325" t="s">
        <v>1320</v>
      </c>
      <c r="C9" s="1313" t="s">
        <v>1831</v>
      </c>
      <c r="D9" s="1314" t="s">
        <v>1832</v>
      </c>
      <c r="E9" s="1322" t="s">
        <v>1659</v>
      </c>
      <c r="F9" s="1323" t="s">
        <v>1942</v>
      </c>
      <c r="G9" s="1324" t="s">
        <v>1659</v>
      </c>
      <c r="H9" s="1317" t="s">
        <v>1660</v>
      </c>
      <c r="I9" s="1319" t="s">
        <v>1942</v>
      </c>
      <c r="J9" s="1318" t="s">
        <v>1660</v>
      </c>
      <c r="K9" s="1319" t="s">
        <v>1319</v>
      </c>
      <c r="L9" s="1326" t="s">
        <v>1661</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2126</v>
      </c>
      <c r="C11" s="1338"/>
      <c r="D11" s="1339"/>
      <c r="E11" s="1340"/>
      <c r="F11" s="1340"/>
      <c r="G11" s="1340"/>
      <c r="H11" s="1340"/>
      <c r="I11" s="1340"/>
      <c r="J11" s="1340"/>
      <c r="K11" s="1340"/>
      <c r="L11" s="1340"/>
      <c r="M11" s="1340"/>
    </row>
    <row r="12" spans="2:14" ht="20.100000000000001" customHeight="1" x14ac:dyDescent="0.2">
      <c r="B12" s="1956" t="s">
        <v>2114</v>
      </c>
      <c r="C12" s="1338"/>
      <c r="D12" s="1339"/>
      <c r="E12" s="1340"/>
      <c r="F12" s="1340"/>
      <c r="G12" s="1340"/>
      <c r="H12" s="1340"/>
      <c r="I12" s="1340"/>
      <c r="J12" s="1340"/>
      <c r="K12" s="1340"/>
      <c r="L12" s="1340"/>
      <c r="M12" s="1340"/>
    </row>
    <row r="13" spans="2:14" ht="20.100000000000001" customHeight="1" x14ac:dyDescent="0.2">
      <c r="B13" s="1957" t="s">
        <v>781</v>
      </c>
      <c r="C13" s="1338">
        <v>84.367000000000004</v>
      </c>
      <c r="D13" s="1339" t="s">
        <v>2146</v>
      </c>
      <c r="E13" s="1340">
        <v>158067</v>
      </c>
      <c r="F13" s="1340">
        <v>103420</v>
      </c>
      <c r="G13" s="1340">
        <v>233642</v>
      </c>
      <c r="H13" s="1340">
        <v>0</v>
      </c>
      <c r="I13" s="1340">
        <v>27845</v>
      </c>
      <c r="J13" s="1340">
        <v>0</v>
      </c>
      <c r="K13" s="1340">
        <v>0</v>
      </c>
      <c r="L13" s="1340">
        <v>261487</v>
      </c>
      <c r="M13" s="1340">
        <v>278184</v>
      </c>
    </row>
    <row r="14" spans="2:14" ht="20.100000000000001" customHeight="1" x14ac:dyDescent="0.2">
      <c r="B14" s="1337"/>
      <c r="C14" s="1341"/>
      <c r="D14" s="1342" t="s">
        <v>2147</v>
      </c>
      <c r="E14" s="1343">
        <v>0</v>
      </c>
      <c r="F14" s="1343">
        <v>201827</v>
      </c>
      <c r="G14" s="1343">
        <v>0</v>
      </c>
      <c r="H14" s="1343">
        <v>0</v>
      </c>
      <c r="I14" s="1343">
        <v>297352</v>
      </c>
      <c r="J14" s="1343">
        <v>0</v>
      </c>
      <c r="K14" s="1343">
        <v>28203</v>
      </c>
      <c r="L14" s="1340">
        <f t="shared" ref="L14:L17" si="0">+G14+I14+K14</f>
        <v>325555</v>
      </c>
      <c r="M14" s="1343">
        <v>382376</v>
      </c>
    </row>
    <row r="15" spans="2:14" ht="20.100000000000001" customHeight="1" x14ac:dyDescent="0.2">
      <c r="B15" s="1337"/>
      <c r="C15" s="1341"/>
      <c r="D15" s="1342"/>
      <c r="E15" s="1343"/>
      <c r="F15" s="1343">
        <v>305247</v>
      </c>
      <c r="G15" s="1343"/>
      <c r="H15" s="1343"/>
      <c r="I15" s="1343">
        <v>325197</v>
      </c>
      <c r="J15" s="1343"/>
      <c r="K15" s="1343"/>
      <c r="L15" s="1340"/>
      <c r="M15" s="1343"/>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957" t="s">
        <v>2158</v>
      </c>
      <c r="C17" s="1341">
        <v>84.418999999999997</v>
      </c>
      <c r="D17" s="1342" t="s">
        <v>2148</v>
      </c>
      <c r="E17" s="1343">
        <v>190203</v>
      </c>
      <c r="F17" s="1343">
        <v>194446</v>
      </c>
      <c r="G17" s="1343">
        <v>334567</v>
      </c>
      <c r="H17" s="1343">
        <v>0</v>
      </c>
      <c r="I17" s="1343">
        <v>50082</v>
      </c>
      <c r="J17" s="1343">
        <v>0</v>
      </c>
      <c r="K17" s="1343">
        <v>0</v>
      </c>
      <c r="L17" s="1340">
        <f t="shared" si="0"/>
        <v>384649</v>
      </c>
      <c r="M17" s="1343">
        <v>392640</v>
      </c>
    </row>
    <row r="18" spans="2:14" ht="20.100000000000001" customHeight="1" x14ac:dyDescent="0.2">
      <c r="B18" s="1337"/>
      <c r="C18" s="1341"/>
      <c r="D18" s="1342" t="s">
        <v>2149</v>
      </c>
      <c r="E18" s="1343">
        <v>0</v>
      </c>
      <c r="F18" s="1343">
        <v>261819</v>
      </c>
      <c r="G18" s="1343">
        <v>0</v>
      </c>
      <c r="H18" s="1343">
        <v>0</v>
      </c>
      <c r="I18" s="1343">
        <v>341871</v>
      </c>
      <c r="J18" s="1343">
        <v>0</v>
      </c>
      <c r="K18" s="1343">
        <v>44968</v>
      </c>
      <c r="L18" s="1340">
        <f>+G18+I18+K18</f>
        <v>386839</v>
      </c>
      <c r="M18" s="1343">
        <v>392640</v>
      </c>
    </row>
    <row r="19" spans="2:14" ht="20.100000000000001" customHeight="1" x14ac:dyDescent="0.2">
      <c r="B19" s="1337"/>
      <c r="C19" s="1341"/>
      <c r="D19" s="1342"/>
      <c r="E19" s="1343"/>
      <c r="F19" s="1343">
        <v>456265</v>
      </c>
      <c r="G19" s="1343"/>
      <c r="H19" s="1343"/>
      <c r="I19" s="1343">
        <v>391953</v>
      </c>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t="s">
        <v>2150</v>
      </c>
      <c r="C21" s="1341"/>
      <c r="D21" s="1342"/>
      <c r="E21" s="1343"/>
      <c r="F21" s="1343">
        <f>+' SEFA (2)'!F15+' SEFA (2)'!F19+' SEFA (2)'!F25+' SEFA (2)'!F29+' SEFA (3)'!F15+' SEFA (3)'!F21+' SEFA (3)'!F25+' SEFA (4)'!F15+' SEFA (4)'!F19</f>
        <v>5818568</v>
      </c>
      <c r="G21" s="1343"/>
      <c r="H21" s="1343"/>
      <c r="I21" s="1343">
        <f>+' SEFA (2)'!I15+' SEFA (2)'!I19+' SEFA (2)'!I25+' SEFA (2)'!I29+' SEFA (3)'!I15+' SEFA (3)'!I21+' SEFA (3)'!I25+' SEFA (4)'!I15+' SEFA (4)'!I19</f>
        <v>5900630</v>
      </c>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t="s">
        <v>2151</v>
      </c>
      <c r="C23" s="1341"/>
      <c r="D23" s="1342"/>
      <c r="E23" s="1343"/>
      <c r="F23" s="1343">
        <f>F21+' SEFA'!F27</f>
        <v>8277482</v>
      </c>
      <c r="G23" s="1343"/>
      <c r="H23" s="1343"/>
      <c r="I23" s="1343">
        <f>I21+' SEFA'!I27</f>
        <v>8359544</v>
      </c>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t="s">
        <v>2126</v>
      </c>
      <c r="C25" s="1341"/>
      <c r="D25" s="1342"/>
      <c r="E25" s="1343"/>
      <c r="F25" s="1343"/>
      <c r="G25" s="1343"/>
      <c r="H25" s="1343"/>
      <c r="I25" s="1343"/>
      <c r="J25" s="1343"/>
      <c r="K25" s="1343"/>
      <c r="L25" s="1340"/>
      <c r="M25" s="1343"/>
    </row>
    <row r="26" spans="2:14" ht="20.100000000000001" customHeight="1" x14ac:dyDescent="0.2">
      <c r="B26" s="1956" t="s">
        <v>2152</v>
      </c>
      <c r="C26" s="1341"/>
      <c r="D26" s="1342"/>
      <c r="E26" s="1343"/>
      <c r="F26" s="1343"/>
      <c r="G26" s="1343"/>
      <c r="H26" s="1343"/>
      <c r="I26" s="1343"/>
      <c r="J26" s="1343"/>
      <c r="K26" s="1343"/>
      <c r="L26" s="1340"/>
      <c r="M26" s="1343"/>
    </row>
    <row r="27" spans="2:14" ht="20.100000000000001" customHeight="1" x14ac:dyDescent="0.2">
      <c r="B27" s="1957" t="s">
        <v>2159</v>
      </c>
      <c r="C27" s="1341">
        <v>84.126000000000005</v>
      </c>
      <c r="D27" s="1342" t="s">
        <v>2153</v>
      </c>
      <c r="E27" s="1343">
        <v>29443</v>
      </c>
      <c r="F27" s="1343">
        <v>0</v>
      </c>
      <c r="G27" s="1343">
        <v>29443</v>
      </c>
      <c r="H27" s="1343">
        <v>0</v>
      </c>
      <c r="I27" s="1343">
        <v>0</v>
      </c>
      <c r="J27" s="1343">
        <v>0</v>
      </c>
      <c r="K27" s="1343">
        <v>0</v>
      </c>
      <c r="L27" s="1340">
        <f>+G27+I27+K27</f>
        <v>29443</v>
      </c>
      <c r="M27" s="1343" t="s">
        <v>2125</v>
      </c>
    </row>
    <row r="28" spans="2:14" ht="20.100000000000001" customHeight="1" x14ac:dyDescent="0.2">
      <c r="B28" s="1337"/>
      <c r="C28" s="1341"/>
      <c r="D28" s="1342" t="s">
        <v>2154</v>
      </c>
      <c r="E28" s="1343">
        <v>0</v>
      </c>
      <c r="F28" s="1343">
        <v>45989</v>
      </c>
      <c r="G28" s="1343">
        <v>0</v>
      </c>
      <c r="H28" s="1343">
        <v>0</v>
      </c>
      <c r="I28" s="1343">
        <v>45989</v>
      </c>
      <c r="J28" s="1343">
        <v>0</v>
      </c>
      <c r="K28" s="1343">
        <v>0</v>
      </c>
      <c r="L28" s="1340">
        <f>+G28+I28+K28</f>
        <v>45989</v>
      </c>
      <c r="M28" s="1343" t="s">
        <v>2125</v>
      </c>
    </row>
    <row r="29" spans="2:14" ht="20.100000000000001" customHeight="1" x14ac:dyDescent="0.2">
      <c r="B29" s="1337"/>
      <c r="C29" s="1341"/>
      <c r="D29" s="1342"/>
      <c r="E29" s="1343"/>
      <c r="F29" s="1343">
        <v>45989</v>
      </c>
      <c r="G29" s="1343"/>
      <c r="H29" s="1343"/>
      <c r="I29" s="1343">
        <v>45989</v>
      </c>
      <c r="J29" s="1343"/>
      <c r="K29" s="1343"/>
      <c r="L29" s="1340"/>
      <c r="M29" s="1343"/>
    </row>
    <row r="30" spans="2:14" ht="12.75" customHeight="1" x14ac:dyDescent="0.2">
      <c r="B30" s="1345"/>
      <c r="C30" s="1346"/>
      <c r="D30" s="1347"/>
      <c r="E30" s="1348"/>
      <c r="F30" s="1348"/>
      <c r="G30" s="1348"/>
      <c r="H30" s="1348"/>
      <c r="I30" s="1348"/>
      <c r="J30" s="1348"/>
      <c r="K30" s="1348"/>
      <c r="L30" s="1348"/>
      <c r="M30" s="1348"/>
      <c r="N30" s="1344"/>
    </row>
    <row r="31" spans="2:14" x14ac:dyDescent="0.2">
      <c r="B31" s="1257"/>
      <c r="C31" s="1349"/>
      <c r="D31" s="1350"/>
      <c r="E31" s="1257"/>
      <c r="F31" s="1257"/>
      <c r="G31" s="1250"/>
      <c r="H31" s="1250"/>
      <c r="I31" s="1250"/>
      <c r="J31" s="1250"/>
      <c r="K31" s="1250"/>
      <c r="L31" s="1250"/>
      <c r="M31" s="1257"/>
      <c r="N31" s="1344"/>
    </row>
    <row r="32" spans="2:14" ht="13.5" customHeight="1" x14ac:dyDescent="0.2">
      <c r="B32" s="1282" t="s">
        <v>1833</v>
      </c>
      <c r="C32" s="1349"/>
      <c r="D32" s="1350"/>
      <c r="E32" s="1257"/>
      <c r="F32" s="1257"/>
      <c r="G32" s="1250"/>
      <c r="H32" s="1250"/>
      <c r="I32" s="1250"/>
      <c r="J32" s="1250"/>
      <c r="K32" s="1250"/>
      <c r="L32" s="1250"/>
      <c r="M32" s="1257"/>
      <c r="N32" s="1344"/>
    </row>
    <row r="33" spans="2:14" ht="8.25" customHeight="1" x14ac:dyDescent="0.2">
      <c r="B33" s="1282"/>
      <c r="C33" s="1349"/>
      <c r="D33" s="1350"/>
      <c r="E33" s="1257"/>
      <c r="F33" s="1257"/>
      <c r="G33" s="1250"/>
      <c r="H33" s="1250"/>
      <c r="I33" s="1250"/>
      <c r="J33" s="1250"/>
      <c r="K33" s="1250"/>
      <c r="L33" s="1250"/>
      <c r="M33" s="1257"/>
      <c r="N33" s="1344"/>
    </row>
    <row r="34" spans="2:14" x14ac:dyDescent="0.2">
      <c r="B34" s="1351" t="s">
        <v>1943</v>
      </c>
      <c r="C34" s="1352"/>
      <c r="D34" s="1353"/>
      <c r="E34" s="1354"/>
      <c r="F34" s="1354"/>
      <c r="G34" s="1354"/>
      <c r="H34" s="1354"/>
      <c r="I34" s="317"/>
      <c r="J34" s="317"/>
    </row>
    <row r="35" spans="2:14" x14ac:dyDescent="0.2">
      <c r="B35" s="1277"/>
      <c r="C35" s="1355"/>
      <c r="D35" s="1356"/>
      <c r="E35" s="1278"/>
      <c r="F35" s="1278"/>
      <c r="G35" s="317"/>
      <c r="H35" s="317"/>
      <c r="I35" s="317"/>
      <c r="J35" s="317"/>
    </row>
    <row r="36" spans="2:14" ht="13.5" customHeight="1" x14ac:dyDescent="0.2">
      <c r="B36" s="1276" t="s">
        <v>1307</v>
      </c>
      <c r="G36" s="317"/>
      <c r="H36" s="317"/>
      <c r="I36" s="317"/>
      <c r="J36" s="317"/>
    </row>
    <row r="37" spans="2:14" ht="13.5" customHeight="1" x14ac:dyDescent="0.2">
      <c r="B37" s="1359"/>
      <c r="C37" s="1360"/>
      <c r="D37" s="1361"/>
      <c r="E37" s="1297"/>
      <c r="F37" s="1297"/>
      <c r="G37" s="1297"/>
      <c r="H37" s="1297"/>
      <c r="I37" s="1297"/>
      <c r="J37" s="1297"/>
      <c r="K37" s="1362"/>
      <c r="L37" s="1362"/>
      <c r="M37" s="1297"/>
    </row>
    <row r="38" spans="2:14" ht="9.6" customHeight="1" x14ac:dyDescent="0.2">
      <c r="B38" s="1363"/>
      <c r="G38" s="317"/>
      <c r="H38" s="317"/>
      <c r="I38" s="317"/>
      <c r="J38" s="317"/>
    </row>
    <row r="39" spans="2:14" ht="11.25" customHeight="1" x14ac:dyDescent="0.2">
      <c r="B39" s="1364" t="s">
        <v>1834</v>
      </c>
      <c r="C39" s="1365"/>
      <c r="D39" s="1365"/>
      <c r="E39" s="1365"/>
      <c r="F39" s="1365"/>
      <c r="G39" s="1365"/>
      <c r="H39" s="1365"/>
      <c r="I39" s="1366"/>
      <c r="J39" s="1366"/>
      <c r="K39" s="1366"/>
      <c r="L39" s="1366"/>
      <c r="M39" s="1366"/>
    </row>
    <row r="40" spans="2:14" ht="11.25" customHeight="1" x14ac:dyDescent="0.2">
      <c r="B40" s="1367" t="s">
        <v>1662</v>
      </c>
      <c r="C40" s="1366"/>
      <c r="D40" s="1366"/>
      <c r="E40" s="1366"/>
      <c r="F40" s="1366"/>
      <c r="G40" s="1366"/>
      <c r="H40" s="1366"/>
      <c r="I40" s="1366"/>
      <c r="J40" s="1366"/>
      <c r="K40" s="1366"/>
      <c r="L40" s="1366"/>
      <c r="M40" s="1366"/>
    </row>
    <row r="41" spans="2:14" ht="3.95" customHeight="1" x14ac:dyDescent="0.2">
      <c r="B41" s="1367"/>
      <c r="C41" s="1366"/>
      <c r="D41" s="1366"/>
      <c r="E41" s="1366"/>
      <c r="F41" s="1366"/>
      <c r="G41" s="1366"/>
      <c r="H41" s="1366"/>
      <c r="I41" s="1366"/>
      <c r="J41" s="1366"/>
      <c r="K41" s="1366"/>
      <c r="L41" s="1366"/>
      <c r="M41" s="1366"/>
    </row>
    <row r="42" spans="2:14" ht="11.25" customHeight="1" x14ac:dyDescent="0.2">
      <c r="B42" s="1364" t="s">
        <v>1835</v>
      </c>
      <c r="C42" s="1366"/>
      <c r="D42" s="1366"/>
      <c r="E42" s="1366"/>
      <c r="F42" s="1366"/>
      <c r="G42" s="1366"/>
      <c r="H42" s="1366"/>
      <c r="I42" s="1366"/>
      <c r="J42" s="1366"/>
      <c r="K42" s="1366"/>
      <c r="L42" s="1366"/>
      <c r="M42" s="1366"/>
    </row>
    <row r="43" spans="2:14" ht="11.25" customHeight="1" x14ac:dyDescent="0.2">
      <c r="B43" s="1300" t="s">
        <v>1663</v>
      </c>
      <c r="C43" s="1368"/>
      <c r="D43" s="1369"/>
      <c r="E43" s="1300"/>
      <c r="F43" s="1300"/>
      <c r="G43" s="1300"/>
      <c r="H43" s="1300"/>
      <c r="I43" s="1300"/>
      <c r="J43" s="1300"/>
      <c r="K43" s="1370"/>
      <c r="L43" s="1370"/>
      <c r="M43" s="1300"/>
    </row>
    <row r="44" spans="2:14" ht="3.95" customHeight="1" x14ac:dyDescent="0.2">
      <c r="B44" s="1300"/>
      <c r="C44" s="1368"/>
      <c r="D44" s="1369"/>
      <c r="E44" s="1300"/>
      <c r="F44" s="1300"/>
      <c r="G44" s="1300"/>
      <c r="H44" s="1300"/>
      <c r="I44" s="1300"/>
      <c r="J44" s="1300"/>
      <c r="K44" s="1370"/>
      <c r="L44" s="1370"/>
      <c r="M44" s="1300"/>
    </row>
    <row r="45" spans="2:14" ht="11.25" customHeight="1" x14ac:dyDescent="0.2">
      <c r="B45" s="1371" t="s">
        <v>1836</v>
      </c>
      <c r="C45" s="1368"/>
      <c r="D45" s="1369"/>
      <c r="E45" s="1300"/>
      <c r="F45" s="1300"/>
      <c r="G45" s="1300"/>
      <c r="H45" s="1300"/>
      <c r="I45" s="1300"/>
      <c r="J45" s="1300"/>
      <c r="K45" s="1370"/>
      <c r="L45" s="1370"/>
      <c r="M45" s="1300"/>
    </row>
    <row r="46" spans="2:14" ht="3.95" customHeight="1" x14ac:dyDescent="0.2">
      <c r="B46" s="1371"/>
      <c r="C46" s="1368"/>
      <c r="D46" s="1369"/>
      <c r="E46" s="1300"/>
      <c r="F46" s="1300"/>
      <c r="G46" s="1300"/>
      <c r="H46" s="1300"/>
      <c r="I46" s="1300"/>
      <c r="J46" s="1300"/>
      <c r="K46" s="1370"/>
      <c r="L46" s="1370"/>
      <c r="M46" s="1300"/>
    </row>
    <row r="47" spans="2:14" ht="11.25" customHeight="1" x14ac:dyDescent="0.2">
      <c r="B47" s="1372" t="s">
        <v>1837</v>
      </c>
      <c r="C47" s="1368"/>
      <c r="D47" s="1369"/>
      <c r="E47" s="1300"/>
      <c r="F47" s="1300"/>
      <c r="G47" s="1300"/>
      <c r="H47" s="1300"/>
      <c r="I47" s="1300"/>
      <c r="J47" s="1300"/>
      <c r="K47" s="1370"/>
      <c r="L47" s="1370"/>
      <c r="M47" s="1300"/>
    </row>
    <row r="48" spans="2:14" ht="11.25" customHeight="1" x14ac:dyDescent="0.2">
      <c r="B48" s="1300" t="s">
        <v>1664</v>
      </c>
      <c r="G48" s="317"/>
      <c r="H48" s="317"/>
      <c r="I48" s="317"/>
      <c r="J48" s="317"/>
    </row>
    <row r="49" spans="2:13" ht="11.1" customHeight="1" x14ac:dyDescent="0.2">
      <c r="B49" s="1300"/>
      <c r="G49" s="317"/>
      <c r="H49" s="317"/>
      <c r="I49" s="317"/>
      <c r="J49" s="317"/>
    </row>
    <row r="50" spans="2:13" ht="11.1" customHeight="1" x14ac:dyDescent="0.2">
      <c r="B50" s="1300"/>
      <c r="G50" s="317"/>
      <c r="H50" s="317"/>
      <c r="I50" s="317"/>
      <c r="J50" s="317"/>
    </row>
    <row r="51" spans="2:13" ht="13.5" customHeight="1" x14ac:dyDescent="0.2">
      <c r="M51" s="1373"/>
    </row>
    <row r="52" spans="2:13" ht="13.5" customHeight="1" x14ac:dyDescent="0.2">
      <c r="M52" s="1373"/>
    </row>
    <row r="53" spans="2:13" ht="13.5" customHeight="1" x14ac:dyDescent="0.2">
      <c r="M53" s="1373"/>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8" firstPageNumber="38" orientation="landscape" useFirstPageNumber="1" r:id="rId1"/>
  <headerFooter alignWithMargins="0">
    <oddHeader>&amp;L&amp;8Page 40d&amp;R&amp;8Page 40d</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heetViews>
  <sheetFormatPr defaultColWidth="33.5703125" defaultRowHeight="12.75" x14ac:dyDescent="0.2"/>
  <cols>
    <col min="1" max="1" width="0.140625" style="317" customWidth="1"/>
    <col min="2" max="2" width="44.570312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0" t="str">
        <f>'Single Audit Cover'!A7</f>
        <v>McLean County USD 5</v>
      </c>
      <c r="C1" s="2455"/>
      <c r="D1" s="2455"/>
      <c r="E1" s="2455"/>
      <c r="F1" s="2455"/>
      <c r="G1" s="2455"/>
      <c r="H1" s="2455"/>
      <c r="I1" s="2455"/>
      <c r="J1" s="2455"/>
      <c r="K1" s="2455"/>
      <c r="L1" s="2455"/>
      <c r="M1" s="2455"/>
    </row>
    <row r="2" spans="2:14" ht="15" x14ac:dyDescent="0.2">
      <c r="B2" s="2456" t="str">
        <f>'Single Audit Cover'!E7</f>
        <v>17-064-0050-26</v>
      </c>
      <c r="C2" s="2456"/>
      <c r="D2" s="2456"/>
      <c r="E2" s="2456"/>
      <c r="F2" s="2456"/>
      <c r="G2" s="2456"/>
      <c r="H2" s="2456"/>
      <c r="I2" s="2456"/>
      <c r="J2" s="2456"/>
      <c r="K2" s="2456"/>
      <c r="L2" s="2456"/>
      <c r="M2" s="2456"/>
      <c r="N2" s="1302"/>
    </row>
    <row r="3" spans="2:14" ht="15" x14ac:dyDescent="0.2">
      <c r="B3" s="2457" t="s">
        <v>1280</v>
      </c>
      <c r="C3" s="2457"/>
      <c r="D3" s="2457"/>
      <c r="E3" s="2457"/>
      <c r="F3" s="2457"/>
      <c r="G3" s="2457"/>
      <c r="H3" s="2457"/>
      <c r="I3" s="2457"/>
      <c r="J3" s="2457"/>
      <c r="K3" s="2457"/>
      <c r="L3" s="2457"/>
      <c r="M3" s="2457"/>
      <c r="N3" s="1302"/>
    </row>
    <row r="4" spans="2:14" ht="15" x14ac:dyDescent="0.2">
      <c r="B4" s="2458" t="str">
        <f>'Single Audit Cover'!A4</f>
        <v>Year Ending June 30, 2018</v>
      </c>
      <c r="C4" s="2458"/>
      <c r="D4" s="2458"/>
      <c r="E4" s="2458"/>
      <c r="F4" s="2458"/>
      <c r="G4" s="2458"/>
      <c r="H4" s="2458"/>
      <c r="I4" s="2458"/>
      <c r="J4" s="2458"/>
      <c r="K4" s="2458"/>
      <c r="L4" s="2458"/>
      <c r="M4" s="2458"/>
      <c r="N4" s="1302"/>
    </row>
    <row r="6" spans="2:14" x14ac:dyDescent="0.2">
      <c r="B6" s="1303"/>
      <c r="C6" s="1304"/>
      <c r="D6" s="1305" t="s">
        <v>1326</v>
      </c>
      <c r="E6" s="1306" t="s">
        <v>547</v>
      </c>
      <c r="F6" s="1307"/>
      <c r="G6" s="1308" t="s">
        <v>1830</v>
      </c>
      <c r="H6" s="1306"/>
      <c r="I6" s="1306"/>
      <c r="J6" s="1306"/>
      <c r="K6" s="1309"/>
      <c r="L6" s="1310"/>
      <c r="M6" s="1311"/>
    </row>
    <row r="7" spans="2:14" x14ac:dyDescent="0.2">
      <c r="B7" s="1312" t="s">
        <v>1658</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1659</v>
      </c>
      <c r="I8" s="1319" t="s">
        <v>1323</v>
      </c>
      <c r="J8" s="1318" t="s">
        <v>1942</v>
      </c>
      <c r="K8" s="1319" t="s">
        <v>1322</v>
      </c>
      <c r="L8" s="1320" t="s">
        <v>1318</v>
      </c>
      <c r="M8" s="1321" t="s">
        <v>30</v>
      </c>
    </row>
    <row r="9" spans="2:14" ht="14.25" x14ac:dyDescent="0.2">
      <c r="B9" s="1325" t="s">
        <v>1320</v>
      </c>
      <c r="C9" s="1313" t="s">
        <v>1831</v>
      </c>
      <c r="D9" s="1314" t="s">
        <v>1832</v>
      </c>
      <c r="E9" s="1322" t="s">
        <v>1659</v>
      </c>
      <c r="F9" s="1323" t="s">
        <v>1942</v>
      </c>
      <c r="G9" s="1324" t="s">
        <v>1659</v>
      </c>
      <c r="H9" s="1317" t="s">
        <v>1660</v>
      </c>
      <c r="I9" s="1319" t="s">
        <v>1942</v>
      </c>
      <c r="J9" s="1318" t="s">
        <v>1660</v>
      </c>
      <c r="K9" s="1319" t="s">
        <v>1319</v>
      </c>
      <c r="L9" s="1326" t="s">
        <v>1661</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2126</v>
      </c>
      <c r="C11" s="1338"/>
      <c r="D11" s="1339"/>
      <c r="E11" s="1340"/>
      <c r="F11" s="1340"/>
      <c r="G11" s="1340"/>
      <c r="H11" s="1340"/>
      <c r="I11" s="1340"/>
      <c r="J11" s="1340"/>
      <c r="K11" s="1340"/>
      <c r="L11" s="1340"/>
      <c r="M11" s="1340"/>
    </row>
    <row r="12" spans="2:14" ht="20.100000000000001" customHeight="1" x14ac:dyDescent="0.2">
      <c r="B12" s="1956" t="s">
        <v>2161</v>
      </c>
      <c r="C12" s="1341"/>
      <c r="D12" s="1342"/>
      <c r="E12" s="1343"/>
      <c r="F12" s="1343"/>
      <c r="G12" s="1343"/>
      <c r="H12" s="1343"/>
      <c r="I12" s="1343"/>
      <c r="J12" s="1343"/>
      <c r="K12" s="1343"/>
      <c r="L12" s="1340"/>
      <c r="M12" s="1343"/>
    </row>
    <row r="13" spans="2:14" ht="20.100000000000001" customHeight="1" x14ac:dyDescent="0.2">
      <c r="B13" s="1957" t="s">
        <v>2169</v>
      </c>
      <c r="C13" s="1341">
        <v>84.411000000000001</v>
      </c>
      <c r="D13" s="1342" t="s">
        <v>2167</v>
      </c>
      <c r="E13" s="1343">
        <v>59849</v>
      </c>
      <c r="F13" s="1343">
        <v>0</v>
      </c>
      <c r="G13" s="1343">
        <v>59849</v>
      </c>
      <c r="H13" s="1343">
        <v>0</v>
      </c>
      <c r="I13" s="1343">
        <v>0</v>
      </c>
      <c r="J13" s="1343">
        <v>0</v>
      </c>
      <c r="K13" s="1343">
        <v>0</v>
      </c>
      <c r="L13" s="1340">
        <f t="shared" ref="L13:L22" si="0">+G13+I13+K13</f>
        <v>59849</v>
      </c>
      <c r="M13" s="1343" t="s">
        <v>2125</v>
      </c>
    </row>
    <row r="14" spans="2:14" ht="20.100000000000001" customHeight="1" x14ac:dyDescent="0.2">
      <c r="B14" s="1337"/>
      <c r="C14" s="1341"/>
      <c r="D14" s="1342"/>
      <c r="E14" s="1343"/>
      <c r="F14" s="1343"/>
      <c r="G14" s="1343"/>
      <c r="H14" s="1343"/>
      <c r="I14" s="1343"/>
      <c r="J14" s="1343"/>
      <c r="K14" s="1343"/>
      <c r="L14" s="1340"/>
      <c r="M14" s="1343"/>
    </row>
    <row r="15" spans="2:14" ht="20.100000000000001" customHeight="1" x14ac:dyDescent="0.2">
      <c r="B15" s="1337" t="s">
        <v>2162</v>
      </c>
      <c r="C15" s="1341"/>
      <c r="D15" s="1342"/>
      <c r="E15" s="1343"/>
      <c r="F15" s="1343"/>
      <c r="G15" s="1343"/>
      <c r="H15" s="1343"/>
      <c r="I15" s="1343"/>
      <c r="J15" s="1343"/>
      <c r="K15" s="1343"/>
      <c r="L15" s="1340"/>
      <c r="M15" s="1343"/>
    </row>
    <row r="16" spans="2:14" ht="20.100000000000001" customHeight="1" x14ac:dyDescent="0.2">
      <c r="B16" s="1956" t="s">
        <v>2163</v>
      </c>
      <c r="C16" s="1341"/>
      <c r="D16" s="1342"/>
      <c r="E16" s="1343"/>
      <c r="F16" s="1343"/>
      <c r="G16" s="1343"/>
      <c r="H16" s="1343"/>
      <c r="I16" s="1343"/>
      <c r="J16" s="1343"/>
      <c r="K16" s="1343"/>
      <c r="L16" s="1340"/>
      <c r="M16" s="1343"/>
    </row>
    <row r="17" spans="2:14" ht="20.100000000000001" customHeight="1" x14ac:dyDescent="0.2">
      <c r="B17" s="1957" t="s">
        <v>2164</v>
      </c>
      <c r="C17" s="1341">
        <v>84.363</v>
      </c>
      <c r="D17" s="1342" t="s">
        <v>2168</v>
      </c>
      <c r="E17" s="1343">
        <v>0</v>
      </c>
      <c r="F17" s="1958">
        <v>71378</v>
      </c>
      <c r="G17" s="1343">
        <v>0</v>
      </c>
      <c r="H17" s="1343">
        <v>0</v>
      </c>
      <c r="I17" s="1343">
        <v>71378</v>
      </c>
      <c r="J17" s="1343">
        <v>0</v>
      </c>
      <c r="K17" s="1343">
        <v>0</v>
      </c>
      <c r="L17" s="1340">
        <f t="shared" si="0"/>
        <v>71378</v>
      </c>
      <c r="M17" s="1343">
        <v>83629</v>
      </c>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t="s">
        <v>2165</v>
      </c>
      <c r="C19" s="1341"/>
      <c r="D19" s="1342"/>
      <c r="E19" s="1343"/>
      <c r="F19" s="1343"/>
      <c r="G19" s="1343"/>
      <c r="H19" s="1343"/>
      <c r="I19" s="1343"/>
      <c r="J19" s="1343"/>
      <c r="K19" s="1343"/>
      <c r="L19" s="1340"/>
      <c r="M19" s="1343"/>
    </row>
    <row r="20" spans="2:14" ht="20.100000000000001" customHeight="1" x14ac:dyDescent="0.2">
      <c r="B20" s="1956" t="s">
        <v>2155</v>
      </c>
      <c r="C20" s="1341"/>
      <c r="D20" s="1342"/>
      <c r="E20" s="1343"/>
      <c r="F20" s="1343"/>
      <c r="G20" s="1343"/>
      <c r="H20" s="1343"/>
      <c r="I20" s="1343"/>
      <c r="J20" s="1343"/>
      <c r="K20" s="1343"/>
      <c r="L20" s="1340"/>
      <c r="M20" s="1343"/>
    </row>
    <row r="21" spans="2:14" ht="20.100000000000001" customHeight="1" x14ac:dyDescent="0.2">
      <c r="B21" s="1957" t="s">
        <v>2160</v>
      </c>
      <c r="C21" s="1341">
        <v>93.778000000000006</v>
      </c>
      <c r="D21" s="1342">
        <v>2017</v>
      </c>
      <c r="E21" s="1343">
        <v>146493</v>
      </c>
      <c r="F21" s="1343">
        <v>0</v>
      </c>
      <c r="G21" s="1343">
        <v>146493</v>
      </c>
      <c r="H21" s="1343">
        <v>0</v>
      </c>
      <c r="I21" s="1343">
        <v>0</v>
      </c>
      <c r="J21" s="1343">
        <v>0</v>
      </c>
      <c r="K21" s="1343">
        <v>0</v>
      </c>
      <c r="L21" s="1340">
        <f t="shared" si="0"/>
        <v>146493</v>
      </c>
      <c r="M21" s="1343" t="s">
        <v>2125</v>
      </c>
    </row>
    <row r="22" spans="2:14" ht="20.100000000000001" customHeight="1" x14ac:dyDescent="0.2">
      <c r="B22" s="1337"/>
      <c r="C22" s="1341"/>
      <c r="D22" s="1342">
        <v>2018</v>
      </c>
      <c r="E22" s="1343">
        <v>0</v>
      </c>
      <c r="F22" s="1343">
        <v>216707</v>
      </c>
      <c r="G22" s="1343">
        <v>0</v>
      </c>
      <c r="H22" s="1343">
        <v>0</v>
      </c>
      <c r="I22" s="1343">
        <v>216707</v>
      </c>
      <c r="J22" s="1343">
        <v>0</v>
      </c>
      <c r="K22" s="1343">
        <v>0</v>
      </c>
      <c r="L22" s="1340">
        <f t="shared" si="0"/>
        <v>216707</v>
      </c>
      <c r="M22" s="1343" t="s">
        <v>2125</v>
      </c>
    </row>
    <row r="23" spans="2:14" ht="20.100000000000001" customHeight="1" x14ac:dyDescent="0.2">
      <c r="B23" s="1337"/>
      <c r="C23" s="1341"/>
      <c r="D23" s="1342"/>
      <c r="E23" s="1343"/>
      <c r="F23" s="1343">
        <v>216707</v>
      </c>
      <c r="G23" s="1343"/>
      <c r="H23" s="1343"/>
      <c r="I23" s="1343">
        <v>216707</v>
      </c>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t="s">
        <v>2223</v>
      </c>
      <c r="C25" s="1341"/>
      <c r="D25" s="1342"/>
      <c r="E25" s="1343"/>
      <c r="F25" s="1343">
        <f>+F23</f>
        <v>216707</v>
      </c>
      <c r="G25" s="1343"/>
      <c r="H25" s="1343"/>
      <c r="I25" s="1343">
        <f>+I23</f>
        <v>216707</v>
      </c>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t="s">
        <v>2166</v>
      </c>
      <c r="C27" s="1341"/>
      <c r="D27" s="1342"/>
      <c r="E27" s="1343"/>
      <c r="F27" s="1343">
        <f>F23+F17+F13+' SEFA (4)'!F29+' SEFA (4)'!F23</f>
        <v>8611556</v>
      </c>
      <c r="G27" s="1343"/>
      <c r="H27" s="1343"/>
      <c r="I27" s="1343">
        <f>I23+I17+I13+' SEFA (4)'!I29+' SEFA (4)'!I23</f>
        <v>8693618</v>
      </c>
      <c r="J27" s="1343"/>
      <c r="K27" s="1343"/>
      <c r="L27" s="1340"/>
      <c r="M27" s="1343"/>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1833</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1943</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1834</v>
      </c>
      <c r="C37" s="1365"/>
      <c r="D37" s="1365"/>
      <c r="E37" s="1365"/>
      <c r="F37" s="1365"/>
      <c r="G37" s="1365"/>
      <c r="H37" s="1365"/>
      <c r="I37" s="1366"/>
      <c r="J37" s="1366"/>
      <c r="K37" s="1366"/>
      <c r="L37" s="1366"/>
      <c r="M37" s="1366"/>
    </row>
    <row r="38" spans="2:13" ht="11.25" customHeight="1" x14ac:dyDescent="0.2">
      <c r="B38" s="1367" t="s">
        <v>1662</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1835</v>
      </c>
      <c r="C40" s="1366"/>
      <c r="D40" s="1366"/>
      <c r="E40" s="1366"/>
      <c r="F40" s="1366"/>
      <c r="G40" s="1366"/>
      <c r="H40" s="1366"/>
      <c r="I40" s="1366"/>
      <c r="J40" s="1366"/>
      <c r="K40" s="1366"/>
      <c r="L40" s="1366"/>
      <c r="M40" s="1366"/>
    </row>
    <row r="41" spans="2:13" ht="11.25" customHeight="1" x14ac:dyDescent="0.2">
      <c r="B41" s="1300" t="s">
        <v>1663</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1836</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1837</v>
      </c>
      <c r="C45" s="1368"/>
      <c r="D45" s="1369"/>
      <c r="E45" s="1300"/>
      <c r="F45" s="1300"/>
      <c r="G45" s="1300"/>
      <c r="H45" s="1300"/>
      <c r="I45" s="1300"/>
      <c r="J45" s="1300"/>
      <c r="K45" s="1370"/>
      <c r="L45" s="1370"/>
      <c r="M45" s="1300"/>
    </row>
    <row r="46" spans="2:13" ht="11.25" customHeight="1" x14ac:dyDescent="0.2">
      <c r="B46" s="1300" t="s">
        <v>1664</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8" firstPageNumber="38" orientation="landscape" useFirstPageNumber="1" r:id="rId1"/>
  <headerFooter alignWithMargins="0">
    <oddHeader>&amp;L&amp;8Page 40e&amp;R&amp;8Page 40e</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McLean County USD 5</v>
      </c>
      <c r="B1" s="2460"/>
      <c r="C1" s="2460"/>
      <c r="D1" s="2460"/>
      <c r="E1" s="2460"/>
      <c r="F1" s="2460"/>
    </row>
    <row r="2" spans="1:7" ht="13.5" customHeight="1" x14ac:dyDescent="0.2">
      <c r="A2" s="2456" t="str">
        <f>'Single Audit Cover'!E7</f>
        <v>17-064-0050-26</v>
      </c>
      <c r="B2" s="2456"/>
      <c r="C2" s="2456"/>
      <c r="D2" s="2456"/>
      <c r="E2" s="2456"/>
      <c r="F2" s="2456"/>
      <c r="G2" s="1275"/>
    </row>
    <row r="3" spans="1:7" ht="15.75" customHeight="1" x14ac:dyDescent="0.2">
      <c r="A3" s="2461" t="s">
        <v>1332</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1827</v>
      </c>
      <c r="C6" s="317"/>
      <c r="D6" s="317"/>
    </row>
    <row r="7" spans="1:7" ht="60.95" customHeight="1" x14ac:dyDescent="0.2">
      <c r="A7" s="2459" t="s">
        <v>2190</v>
      </c>
      <c r="B7" s="2459"/>
      <c r="C7" s="2459"/>
      <c r="D7" s="2459"/>
      <c r="E7" s="2459"/>
      <c r="F7" s="2459"/>
    </row>
    <row r="8" spans="1:7" ht="12" customHeight="1" x14ac:dyDescent="0.2">
      <c r="A8" s="1276"/>
      <c r="B8" s="1282"/>
      <c r="C8" s="1282"/>
      <c r="D8" s="1282"/>
    </row>
    <row r="9" spans="1:7" ht="15" customHeight="1" x14ac:dyDescent="0.2">
      <c r="A9" s="1277" t="s">
        <v>1828</v>
      </c>
      <c r="B9" s="1280"/>
      <c r="C9" s="1280"/>
      <c r="D9" s="1280"/>
      <c r="E9" s="1278"/>
      <c r="F9" s="1278"/>
      <c r="G9" s="1278"/>
    </row>
    <row r="10" spans="1:7" ht="15" customHeight="1" x14ac:dyDescent="0.2">
      <c r="A10" s="1279" t="s">
        <v>1624</v>
      </c>
      <c r="B10" s="1280"/>
      <c r="C10" s="1281" t="s">
        <v>2069</v>
      </c>
      <c r="D10" s="1280" t="s">
        <v>1625</v>
      </c>
      <c r="E10" s="1281"/>
      <c r="F10" s="1280" t="s">
        <v>101</v>
      </c>
      <c r="G10" s="1278"/>
    </row>
    <row r="11" spans="1:7" ht="12" customHeight="1" x14ac:dyDescent="0.2">
      <c r="A11" s="1279"/>
      <c r="B11" s="1280"/>
      <c r="C11" s="1927"/>
      <c r="D11" s="1280"/>
      <c r="E11" s="1927"/>
      <c r="F11" s="1280"/>
      <c r="G11" s="1278"/>
    </row>
    <row r="12" spans="1:7" x14ac:dyDescent="0.2">
      <c r="A12" s="1276" t="s">
        <v>1665</v>
      </c>
      <c r="C12" s="1260"/>
      <c r="D12" s="1260"/>
    </row>
    <row r="13" spans="1:7" ht="15" customHeight="1" x14ac:dyDescent="0.2">
      <c r="A13" s="2459" t="s">
        <v>2191</v>
      </c>
      <c r="B13" s="2459"/>
      <c r="C13" s="2459"/>
      <c r="D13" s="2459"/>
      <c r="E13" s="2459"/>
      <c r="F13" s="2459"/>
    </row>
    <row r="14" spans="1:7" ht="9.75" customHeight="1" x14ac:dyDescent="0.2">
      <c r="C14" s="1260"/>
      <c r="D14" s="1260"/>
    </row>
    <row r="15" spans="1:7" ht="13.5" customHeight="1" x14ac:dyDescent="0.2">
      <c r="C15" s="1871" t="s">
        <v>1331</v>
      </c>
      <c r="D15" s="2464" t="s">
        <v>1330</v>
      </c>
      <c r="E15" s="2464"/>
      <c r="F15" s="2464"/>
    </row>
    <row r="16" spans="1:7" ht="13.5" customHeight="1" x14ac:dyDescent="0.2">
      <c r="A16" s="1282"/>
      <c r="B16" s="1276" t="s">
        <v>1329</v>
      </c>
      <c r="C16" s="1871" t="s">
        <v>1328</v>
      </c>
      <c r="D16" s="2465" t="s">
        <v>1666</v>
      </c>
      <c r="E16" s="2465"/>
      <c r="F16" s="2465"/>
    </row>
    <row r="17" spans="1:6" ht="20.45" customHeight="1" x14ac:dyDescent="0.2">
      <c r="A17" s="1283"/>
      <c r="B17" s="1284" t="s">
        <v>2177</v>
      </c>
      <c r="C17" s="1285"/>
      <c r="D17" s="2463"/>
      <c r="E17" s="2463"/>
      <c r="F17" s="2463"/>
    </row>
    <row r="18" spans="1:6" ht="20.65" customHeight="1" x14ac:dyDescent="0.2">
      <c r="A18" s="1283"/>
      <c r="B18" s="1284"/>
      <c r="C18" s="1285"/>
      <c r="D18" s="2463"/>
      <c r="E18" s="2463"/>
      <c r="F18" s="2463"/>
    </row>
    <row r="19" spans="1:6" ht="20.65" customHeight="1" x14ac:dyDescent="0.2">
      <c r="A19" s="1283"/>
      <c r="B19" s="1284"/>
      <c r="C19" s="1285"/>
      <c r="D19" s="2463"/>
      <c r="E19" s="2463"/>
      <c r="F19" s="2463"/>
    </row>
    <row r="20" spans="1:6" ht="20.65" customHeight="1" x14ac:dyDescent="0.2">
      <c r="A20" s="1283"/>
      <c r="B20" s="1284"/>
      <c r="C20" s="1285"/>
      <c r="D20" s="2463"/>
      <c r="E20" s="2463"/>
      <c r="F20" s="2463"/>
    </row>
    <row r="21" spans="1:6" ht="20.65" customHeight="1" x14ac:dyDescent="0.2">
      <c r="A21" s="1283"/>
      <c r="B21" s="1284"/>
      <c r="C21" s="1285"/>
      <c r="D21" s="2463"/>
      <c r="E21" s="2463"/>
      <c r="F21" s="2463"/>
    </row>
    <row r="22" spans="1:6" ht="20.65" customHeight="1" x14ac:dyDescent="0.2">
      <c r="A22" s="1283"/>
      <c r="B22" s="1284"/>
      <c r="C22" s="1285"/>
      <c r="D22" s="2463"/>
      <c r="E22" s="2463"/>
      <c r="F22" s="2463"/>
    </row>
    <row r="23" spans="1:6" ht="20.65" customHeight="1" x14ac:dyDescent="0.2">
      <c r="A23" s="1283"/>
      <c r="B23" s="1284"/>
      <c r="C23" s="1285"/>
      <c r="D23" s="2463"/>
      <c r="E23" s="2463"/>
      <c r="F23" s="2463"/>
    </row>
    <row r="24" spans="1:6" ht="20.65" customHeight="1" x14ac:dyDescent="0.2">
      <c r="A24" s="1283"/>
      <c r="B24" s="1284"/>
      <c r="C24" s="1285"/>
      <c r="D24" s="2463"/>
      <c r="E24" s="2463"/>
      <c r="F24" s="2463"/>
    </row>
    <row r="25" spans="1:6" ht="20.65" customHeight="1" x14ac:dyDescent="0.2">
      <c r="A25" s="1283"/>
      <c r="B25" s="1284"/>
      <c r="C25" s="1285"/>
      <c r="D25" s="2463"/>
      <c r="E25" s="2463"/>
      <c r="F25" s="2463"/>
    </row>
    <row r="26" spans="1:6" ht="20.65" customHeight="1" x14ac:dyDescent="0.2">
      <c r="A26" s="1283"/>
      <c r="B26" s="1284"/>
      <c r="C26" s="1285"/>
      <c r="D26" s="2463"/>
      <c r="E26" s="2463"/>
      <c r="F26" s="2463"/>
    </row>
    <row r="27" spans="1:6" ht="20.65" customHeight="1" x14ac:dyDescent="0.2">
      <c r="A27" s="1283"/>
      <c r="B27" s="1284"/>
      <c r="C27" s="1285"/>
      <c r="D27" s="2463"/>
      <c r="E27" s="2463"/>
      <c r="F27" s="2463"/>
    </row>
    <row r="28" spans="1:6" ht="20.65" customHeight="1" x14ac:dyDescent="0.2">
      <c r="A28" s="1283"/>
      <c r="B28" s="1284"/>
      <c r="C28" s="1285"/>
      <c r="D28" s="2463"/>
      <c r="E28" s="2463"/>
      <c r="F28" s="2463"/>
    </row>
    <row r="29" spans="1:6" ht="20.65" customHeight="1" x14ac:dyDescent="0.2">
      <c r="A29" s="1283"/>
      <c r="B29" s="1284"/>
      <c r="C29" s="1285"/>
      <c r="D29" s="2463"/>
      <c r="E29" s="2463"/>
      <c r="F29" s="2463"/>
    </row>
    <row r="30" spans="1:6" ht="12" customHeight="1" x14ac:dyDescent="0.2">
      <c r="A30" s="328"/>
      <c r="B30" s="328"/>
      <c r="C30" s="1478"/>
      <c r="D30" s="1928"/>
      <c r="E30" s="1286"/>
    </row>
    <row r="31" spans="1:6" ht="12" customHeight="1" x14ac:dyDescent="0.2">
      <c r="A31" s="1287" t="s">
        <v>1626</v>
      </c>
      <c r="B31" s="328"/>
      <c r="C31" s="1478"/>
      <c r="D31" s="1928"/>
      <c r="E31" s="1286"/>
    </row>
    <row r="32" spans="1:6" ht="30" customHeight="1" x14ac:dyDescent="0.2">
      <c r="A32" s="2467" t="s">
        <v>2193</v>
      </c>
      <c r="B32" s="2467"/>
      <c r="C32" s="2467"/>
      <c r="D32" s="2467"/>
      <c r="E32" s="2467"/>
      <c r="F32" s="2467"/>
    </row>
    <row r="33" spans="1:6" ht="13.5" customHeight="1" x14ac:dyDescent="0.2">
      <c r="A33" s="328" t="s">
        <v>1505</v>
      </c>
      <c r="B33" s="328"/>
      <c r="C33" s="1288">
        <f>' SEFA'!F21+' SEFA'!F23</f>
        <v>377490</v>
      </c>
      <c r="D33" s="1928"/>
      <c r="E33" s="1286"/>
    </row>
    <row r="34" spans="1:6" ht="13.5" customHeight="1" x14ac:dyDescent="0.2">
      <c r="A34" s="328" t="s">
        <v>2192</v>
      </c>
      <c r="B34" s="328"/>
      <c r="C34" s="1289">
        <v>0</v>
      </c>
      <c r="D34" s="1928" t="s">
        <v>1667</v>
      </c>
      <c r="E34" s="2468">
        <f>+C33+C34</f>
        <v>377490</v>
      </c>
      <c r="F34" s="2469"/>
    </row>
    <row r="35" spans="1:6" ht="12" customHeight="1" x14ac:dyDescent="0.2">
      <c r="A35" s="328"/>
      <c r="B35" s="328"/>
      <c r="C35" s="1929"/>
      <c r="D35" s="1928"/>
      <c r="E35" s="1290"/>
      <c r="F35" s="1291"/>
    </row>
    <row r="36" spans="1:6" ht="13.5" customHeight="1" x14ac:dyDescent="0.2">
      <c r="A36" s="1287" t="s">
        <v>1627</v>
      </c>
      <c r="B36" s="328"/>
      <c r="C36" s="1478"/>
      <c r="D36" s="1928"/>
      <c r="E36" s="1286"/>
    </row>
    <row r="37" spans="1:6" ht="14.25" customHeight="1" x14ac:dyDescent="0.2">
      <c r="A37" s="328" t="s">
        <v>1559</v>
      </c>
      <c r="B37" s="328"/>
      <c r="C37" s="1930"/>
      <c r="D37" s="1928"/>
      <c r="E37" s="1286"/>
    </row>
    <row r="38" spans="1:6" ht="14.25" customHeight="1" x14ac:dyDescent="0.2">
      <c r="A38" s="328"/>
      <c r="B38" s="328" t="s">
        <v>1506</v>
      </c>
      <c r="C38" s="1292">
        <v>0</v>
      </c>
      <c r="D38" s="1928"/>
      <c r="E38" s="1286"/>
    </row>
    <row r="39" spans="1:6" ht="14.25" customHeight="1" x14ac:dyDescent="0.2">
      <c r="A39" s="328"/>
      <c r="B39" s="328" t="s">
        <v>1507</v>
      </c>
      <c r="C39" s="1292">
        <v>0</v>
      </c>
      <c r="D39" s="1928"/>
      <c r="E39" s="1286"/>
    </row>
    <row r="40" spans="1:6" ht="14.25" customHeight="1" x14ac:dyDescent="0.2">
      <c r="A40" s="328"/>
      <c r="B40" s="328" t="s">
        <v>1508</v>
      </c>
      <c r="C40" s="1292">
        <v>0</v>
      </c>
      <c r="D40" s="1928"/>
      <c r="E40" s="1286"/>
    </row>
    <row r="41" spans="1:6" ht="14.25" customHeight="1" x14ac:dyDescent="0.2">
      <c r="A41" s="328"/>
      <c r="B41" s="328" t="s">
        <v>1509</v>
      </c>
      <c r="C41" s="1292">
        <v>0</v>
      </c>
      <c r="D41" s="1928"/>
      <c r="E41" s="1286"/>
    </row>
    <row r="42" spans="1:6" ht="14.25" customHeight="1" x14ac:dyDescent="0.2">
      <c r="A42" s="328" t="s">
        <v>1510</v>
      </c>
      <c r="B42" s="328"/>
      <c r="C42" s="1926">
        <v>0</v>
      </c>
      <c r="D42" s="1928"/>
      <c r="E42" s="1286"/>
    </row>
    <row r="43" spans="1:6" ht="14.25" customHeight="1" x14ac:dyDescent="0.2">
      <c r="A43" s="328" t="s">
        <v>1511</v>
      </c>
      <c r="B43" s="328"/>
      <c r="C43" s="1293" t="s">
        <v>400</v>
      </c>
      <c r="D43" s="1928"/>
      <c r="E43" s="1286"/>
    </row>
    <row r="44" spans="1:6" ht="14.25" customHeight="1" x14ac:dyDescent="0.2">
      <c r="A44" s="328"/>
      <c r="B44" s="328"/>
      <c r="C44" s="1930" t="s">
        <v>1512</v>
      </c>
      <c r="D44" s="1928"/>
      <c r="E44" s="1286"/>
    </row>
    <row r="45" spans="1:6" ht="13.5" customHeight="1" x14ac:dyDescent="0.2">
      <c r="B45" s="322"/>
      <c r="C45" s="1294"/>
      <c r="D45" s="1294"/>
    </row>
    <row r="46" spans="1:6" x14ac:dyDescent="0.2">
      <c r="A46" s="1295" t="s">
        <v>1829</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0" t="s">
        <v>1668</v>
      </c>
      <c r="C49" s="2470"/>
      <c r="D49" s="2470"/>
      <c r="E49" s="1399"/>
    </row>
    <row r="50" spans="1:5" s="1300" customFormat="1" ht="3.75" customHeight="1" x14ac:dyDescent="0.2">
      <c r="A50" s="1299"/>
      <c r="B50" s="1870"/>
      <c r="C50" s="1870"/>
      <c r="D50" s="1870"/>
      <c r="E50" s="1399"/>
    </row>
    <row r="51" spans="1:5" s="1300" customFormat="1" ht="20.25" customHeight="1" x14ac:dyDescent="0.2">
      <c r="A51" s="1301">
        <v>6</v>
      </c>
      <c r="B51" s="2466" t="s">
        <v>1628</v>
      </c>
      <c r="C51" s="2466"/>
      <c r="D51" s="2466"/>
    </row>
    <row r="52" spans="1:5" ht="14.25" customHeight="1" x14ac:dyDescent="0.2">
      <c r="A52" s="1301"/>
      <c r="B52" s="2466"/>
      <c r="C52" s="2466"/>
      <c r="D52" s="246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McLean County USD 5</v>
      </c>
      <c r="C1" s="2476"/>
      <c r="D1" s="2476"/>
      <c r="E1" s="2476"/>
      <c r="F1" s="2476"/>
      <c r="G1" s="2476"/>
      <c r="H1" s="2476"/>
      <c r="I1" s="2476"/>
      <c r="J1" s="1422"/>
    </row>
    <row r="2" spans="2:10" s="317" customFormat="1" ht="12.75" customHeight="1" x14ac:dyDescent="0.2">
      <c r="B2" s="2477" t="str">
        <f>'Single Audit Cover'!E7</f>
        <v>17-064-0050-26</v>
      </c>
      <c r="C2" s="2478"/>
      <c r="D2" s="2478"/>
      <c r="E2" s="2478"/>
      <c r="F2" s="2478"/>
      <c r="G2" s="2478"/>
      <c r="H2" s="2478"/>
      <c r="I2" s="2478"/>
      <c r="J2" s="1422"/>
    </row>
    <row r="3" spans="2:10" s="317" customFormat="1" ht="12.75" customHeight="1" x14ac:dyDescent="0.2">
      <c r="B3" s="2479" t="s">
        <v>1343</v>
      </c>
      <c r="C3" s="2480"/>
      <c r="D3" s="2480"/>
      <c r="E3" s="2480"/>
      <c r="F3" s="2480"/>
      <c r="G3" s="2480"/>
      <c r="H3" s="2480"/>
      <c r="I3" s="2480"/>
      <c r="J3" s="1423"/>
    </row>
    <row r="4" spans="2:10" s="317" customFormat="1" ht="12.75" customHeight="1" x14ac:dyDescent="0.2">
      <c r="B4" s="2479" t="str">
        <f>'Single Audit Cover'!A4</f>
        <v>Year Ending June 30, 2018</v>
      </c>
      <c r="C4" s="2480"/>
      <c r="D4" s="2480"/>
      <c r="E4" s="2480"/>
      <c r="F4" s="2480"/>
      <c r="G4" s="2480"/>
      <c r="H4" s="2480"/>
      <c r="I4" s="2480"/>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9" t="s">
        <v>2187</v>
      </c>
      <c r="C7" s="2480"/>
      <c r="D7" s="2480"/>
      <c r="E7" s="2480"/>
      <c r="F7" s="2480"/>
      <c r="G7" s="2480"/>
      <c r="H7" s="2480"/>
      <c r="I7" s="2480"/>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1342</v>
      </c>
      <c r="C10" s="1431"/>
      <c r="D10" s="1431"/>
      <c r="E10" s="1258"/>
    </row>
    <row r="11" spans="2:10" s="317" customFormat="1" ht="13.5" customHeight="1" x14ac:dyDescent="0.2">
      <c r="B11" s="1349" t="s">
        <v>2188</v>
      </c>
      <c r="C11" s="2481" t="s">
        <v>2172</v>
      </c>
      <c r="D11" s="2481"/>
      <c r="E11" s="1432"/>
      <c r="F11" s="1432"/>
      <c r="G11" s="1432"/>
    </row>
    <row r="12" spans="2:10" s="317" customFormat="1" ht="11.45" customHeight="1" x14ac:dyDescent="0.2">
      <c r="B12" s="1357"/>
      <c r="C12" s="1433" t="s">
        <v>1513</v>
      </c>
      <c r="D12" s="1434"/>
      <c r="E12" s="1258"/>
    </row>
    <row r="13" spans="2:10" s="317" customFormat="1" ht="12.75" customHeight="1" x14ac:dyDescent="0.2">
      <c r="B13" s="1435"/>
      <c r="C13" s="1387"/>
      <c r="D13" s="1387"/>
      <c r="E13" s="1258"/>
    </row>
    <row r="14" spans="2:10" s="317" customFormat="1" ht="12.75" customHeight="1" x14ac:dyDescent="0.2">
      <c r="B14" s="1368" t="s">
        <v>1341</v>
      </c>
      <c r="C14" s="1282"/>
      <c r="E14" s="1258"/>
    </row>
    <row r="15" spans="2:10" s="317" customFormat="1" ht="13.5" customHeight="1" x14ac:dyDescent="0.2">
      <c r="B15" s="1436" t="s">
        <v>1338</v>
      </c>
      <c r="C15" s="1437"/>
      <c r="D15" s="1398"/>
      <c r="E15" s="1438"/>
      <c r="F15" s="1300" t="s">
        <v>939</v>
      </c>
      <c r="G15" s="1438" t="s">
        <v>2069</v>
      </c>
      <c r="H15" s="1300" t="s">
        <v>1336</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1337</v>
      </c>
      <c r="C17" s="1437"/>
      <c r="D17" s="1398"/>
      <c r="E17" s="1439"/>
      <c r="F17" s="1257"/>
      <c r="G17" s="1439"/>
      <c r="H17" s="1300"/>
      <c r="I17" s="1300"/>
    </row>
    <row r="18" spans="2:9" s="317" customFormat="1" ht="12.75" customHeight="1" x14ac:dyDescent="0.2">
      <c r="B18" s="1436" t="s">
        <v>1514</v>
      </c>
      <c r="C18" s="1437"/>
      <c r="D18" s="1398"/>
      <c r="E18" s="1438"/>
      <c r="F18" s="1300" t="s">
        <v>939</v>
      </c>
      <c r="G18" s="1438" t="s">
        <v>2069</v>
      </c>
      <c r="H18" s="1300" t="s">
        <v>1336</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1669</v>
      </c>
      <c r="C20" s="1437"/>
      <c r="D20" s="1398"/>
      <c r="E20" s="1438"/>
      <c r="F20" s="1300" t="s">
        <v>939</v>
      </c>
      <c r="G20" s="1438" t="s">
        <v>2069</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1340</v>
      </c>
      <c r="C22" s="1440"/>
      <c r="D22" s="1431"/>
      <c r="E22" s="1383"/>
      <c r="F22" s="1300"/>
      <c r="G22" s="322"/>
      <c r="H22" s="1300"/>
      <c r="I22" s="1300"/>
    </row>
    <row r="23" spans="2:9" s="317" customFormat="1" ht="12.75" customHeight="1" x14ac:dyDescent="0.2">
      <c r="B23" s="1368" t="s">
        <v>1339</v>
      </c>
      <c r="C23" s="1282"/>
      <c r="E23" s="1383"/>
      <c r="F23" s="1300"/>
      <c r="G23" s="322"/>
      <c r="H23" s="1300"/>
      <c r="I23" s="1300"/>
    </row>
    <row r="24" spans="2:9" s="317" customFormat="1" ht="13.5" customHeight="1" x14ac:dyDescent="0.2">
      <c r="B24" s="1436" t="s">
        <v>1338</v>
      </c>
      <c r="C24" s="1437"/>
      <c r="D24" s="1398"/>
      <c r="E24" s="1438"/>
      <c r="F24" s="1300" t="s">
        <v>939</v>
      </c>
      <c r="G24" s="1438" t="s">
        <v>2069</v>
      </c>
      <c r="H24" s="1300" t="s">
        <v>1336</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1337</v>
      </c>
      <c r="C26" s="1437"/>
      <c r="D26" s="1398"/>
      <c r="E26" s="1439"/>
      <c r="F26" s="1257"/>
      <c r="G26" s="1439"/>
      <c r="H26" s="1300"/>
      <c r="I26" s="1300"/>
    </row>
    <row r="27" spans="2:9" s="317" customFormat="1" ht="12.75" customHeight="1" x14ac:dyDescent="0.2">
      <c r="B27" s="1436" t="s">
        <v>1514</v>
      </c>
      <c r="C27" s="1437"/>
      <c r="D27" s="1398"/>
      <c r="E27" s="1438" t="s">
        <v>2069</v>
      </c>
      <c r="F27" s="1300" t="s">
        <v>939</v>
      </c>
      <c r="G27" s="1438"/>
      <c r="H27" s="1300" t="s">
        <v>1336</v>
      </c>
      <c r="I27" s="1300"/>
    </row>
    <row r="28" spans="2:9" s="317" customFormat="1" ht="12.75" customHeight="1" x14ac:dyDescent="0.2">
      <c r="B28" s="1368"/>
      <c r="C28" s="1282"/>
      <c r="E28" s="1258"/>
    </row>
    <row r="29" spans="2:9" s="317" customFormat="1" ht="12.75" customHeight="1" x14ac:dyDescent="0.2">
      <c r="B29" s="1368" t="s">
        <v>2189</v>
      </c>
      <c r="C29" s="1282"/>
      <c r="D29" s="2482" t="s">
        <v>2173</v>
      </c>
      <c r="E29" s="2482"/>
      <c r="F29" s="2482"/>
      <c r="G29" s="2482"/>
      <c r="H29" s="2482"/>
      <c r="I29" s="2482"/>
    </row>
    <row r="30" spans="2:9" s="317" customFormat="1" x14ac:dyDescent="0.2">
      <c r="B30" s="1368"/>
      <c r="C30" s="322"/>
      <c r="D30" s="1433" t="s">
        <v>1844</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1629</v>
      </c>
      <c r="C33" s="1282"/>
      <c r="E33" s="1438" t="s">
        <v>2069</v>
      </c>
      <c r="F33" s="1300" t="s">
        <v>939</v>
      </c>
      <c r="G33" s="1438"/>
      <c r="H33" s="1300" t="s">
        <v>101</v>
      </c>
    </row>
    <row r="35" spans="2:9" x14ac:dyDescent="0.2">
      <c r="B35" s="1441" t="s">
        <v>1845</v>
      </c>
      <c r="C35" s="1442"/>
      <c r="D35" s="1267"/>
    </row>
    <row r="36" spans="2:9" ht="6" customHeight="1" x14ac:dyDescent="0.2">
      <c r="B36" s="1441"/>
      <c r="C36" s="1442"/>
      <c r="D36" s="1267"/>
    </row>
    <row r="37" spans="2:9" ht="17.25" customHeight="1" x14ac:dyDescent="0.2">
      <c r="B37" s="1443" t="s">
        <v>1846</v>
      </c>
      <c r="C37" s="2483" t="s">
        <v>1847</v>
      </c>
      <c r="D37" s="2484"/>
      <c r="E37" s="2484"/>
      <c r="F37" s="2485"/>
      <c r="G37" s="2483" t="s">
        <v>1670</v>
      </c>
      <c r="H37" s="2484"/>
      <c r="I37" s="2485"/>
    </row>
    <row r="38" spans="2:9" ht="16.5" customHeight="1" x14ac:dyDescent="0.2">
      <c r="B38" s="1444" t="s">
        <v>2174</v>
      </c>
      <c r="C38" s="2471" t="s">
        <v>2176</v>
      </c>
      <c r="D38" s="2472"/>
      <c r="E38" s="2472"/>
      <c r="F38" s="2473"/>
      <c r="G38" s="2486">
        <f>' SEFA (3)'!I17</f>
        <v>3367407</v>
      </c>
      <c r="H38" s="2487"/>
      <c r="I38" s="2488"/>
    </row>
    <row r="39" spans="2:9" ht="16.5" customHeight="1" x14ac:dyDescent="0.2">
      <c r="B39" s="1444" t="s">
        <v>2175</v>
      </c>
      <c r="C39" s="2471" t="s">
        <v>2222</v>
      </c>
      <c r="D39" s="2472"/>
      <c r="E39" s="2472"/>
      <c r="F39" s="2473"/>
      <c r="G39" s="2474">
        <f>' SEFA'!I27</f>
        <v>2458914</v>
      </c>
      <c r="H39" s="2474"/>
      <c r="I39" s="2474"/>
    </row>
    <row r="40" spans="2:9" ht="16.5" customHeight="1" x14ac:dyDescent="0.2">
      <c r="B40" s="1444"/>
      <c r="C40" s="2471"/>
      <c r="D40" s="2472"/>
      <c r="E40" s="2472"/>
      <c r="F40" s="2473"/>
      <c r="G40" s="2474"/>
      <c r="H40" s="2474"/>
      <c r="I40" s="2474"/>
    </row>
    <row r="41" spans="2:9" ht="16.5" customHeight="1" x14ac:dyDescent="0.2">
      <c r="B41" s="1444"/>
      <c r="C41" s="2471"/>
      <c r="D41" s="2472"/>
      <c r="E41" s="2472"/>
      <c r="F41" s="2473"/>
      <c r="G41" s="2474"/>
      <c r="H41" s="2474"/>
      <c r="I41" s="2474"/>
    </row>
    <row r="42" spans="2:9" ht="16.5" customHeight="1" x14ac:dyDescent="0.2">
      <c r="B42" s="1444"/>
      <c r="C42" s="2471"/>
      <c r="D42" s="2472"/>
      <c r="E42" s="2472"/>
      <c r="F42" s="2473"/>
      <c r="G42" s="2474"/>
      <c r="H42" s="2474"/>
      <c r="I42" s="2474"/>
    </row>
    <row r="43" spans="2:9" ht="16.5" customHeight="1" x14ac:dyDescent="0.2">
      <c r="B43" s="1444"/>
      <c r="C43" s="2489" t="s">
        <v>1671</v>
      </c>
      <c r="D43" s="2490"/>
      <c r="E43" s="2490"/>
      <c r="F43" s="2491"/>
      <c r="G43" s="2492">
        <f>SUM(G38:I42)</f>
        <v>5826321</v>
      </c>
      <c r="H43" s="2492"/>
      <c r="I43" s="2492"/>
    </row>
    <row r="44" spans="2:9" ht="12.75" customHeight="1" x14ac:dyDescent="0.2"/>
    <row r="45" spans="2:9" ht="12.75" customHeight="1" x14ac:dyDescent="0.2">
      <c r="B45" s="1435" t="s">
        <v>1944</v>
      </c>
      <c r="D45" s="2493">
        <f>' SEFA (5)'!I27</f>
        <v>8693618</v>
      </c>
      <c r="E45" s="2494"/>
    </row>
    <row r="46" spans="2:9" ht="5.25" customHeight="1" x14ac:dyDescent="0.2">
      <c r="B46" s="1445"/>
      <c r="D46" s="1446"/>
      <c r="E46" s="1447"/>
    </row>
    <row r="47" spans="2:9" ht="12.75" customHeight="1" x14ac:dyDescent="0.2">
      <c r="B47" s="1300" t="s">
        <v>1672</v>
      </c>
      <c r="C47" s="1300"/>
      <c r="D47" s="1448">
        <f>+G43/D45</f>
        <v>0.67018369107085218</v>
      </c>
      <c r="E47" s="1449"/>
      <c r="F47" s="1450"/>
      <c r="I47" s="1451"/>
    </row>
    <row r="48" spans="2:9" ht="9.9499999999999993" customHeight="1" x14ac:dyDescent="0.2"/>
    <row r="49" spans="1:9" x14ac:dyDescent="0.2">
      <c r="B49" s="1368" t="s">
        <v>1334</v>
      </c>
      <c r="C49" s="1282"/>
      <c r="D49" s="1282"/>
      <c r="E49" s="2495">
        <v>750000</v>
      </c>
      <c r="F49" s="2495"/>
      <c r="G49" s="2495"/>
      <c r="H49" s="322"/>
    </row>
    <row r="51" spans="1:9" ht="13.5" customHeight="1" x14ac:dyDescent="0.2">
      <c r="B51" s="1368" t="s">
        <v>1333</v>
      </c>
      <c r="C51" s="1282"/>
      <c r="E51" s="1438"/>
      <c r="F51" s="1300" t="s">
        <v>939</v>
      </c>
      <c r="G51" s="1438" t="s">
        <v>2069</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1848</v>
      </c>
      <c r="C54" s="1460"/>
      <c r="D54" s="1460"/>
    </row>
    <row r="55" spans="1:9" s="1461" customFormat="1" ht="12.75" customHeight="1" x14ac:dyDescent="0.2">
      <c r="A55" s="1458"/>
      <c r="B55" s="1462" t="s">
        <v>1673</v>
      </c>
      <c r="C55" s="1458"/>
      <c r="D55" s="1458"/>
    </row>
    <row r="56" spans="1:9" s="1461" customFormat="1" ht="12.75" customHeight="1" x14ac:dyDescent="0.2">
      <c r="A56" s="1458"/>
      <c r="B56" s="1462" t="s">
        <v>1674</v>
      </c>
      <c r="C56" s="1458"/>
      <c r="D56" s="1458"/>
    </row>
    <row r="57" spans="1:9" s="1461" customFormat="1" ht="3.95" customHeight="1" x14ac:dyDescent="0.2">
      <c r="A57" s="1458"/>
      <c r="B57" s="1462"/>
      <c r="C57" s="1458"/>
      <c r="D57" s="1458"/>
    </row>
    <row r="58" spans="1:9" s="1461" customFormat="1" ht="13.5" customHeight="1" x14ac:dyDescent="0.2">
      <c r="A58" s="1458"/>
      <c r="B58" s="1463" t="s">
        <v>1849</v>
      </c>
      <c r="C58" s="1464"/>
      <c r="D58" s="1464"/>
    </row>
    <row r="59" spans="1:9" s="1461" customFormat="1" ht="3.95" customHeight="1" x14ac:dyDescent="0.2">
      <c r="A59" s="1458"/>
      <c r="B59" s="1463"/>
      <c r="C59" s="1464"/>
      <c r="D59" s="1464"/>
    </row>
    <row r="60" spans="1:9" s="1461" customFormat="1" ht="13.5" customHeight="1" x14ac:dyDescent="0.2">
      <c r="A60" s="1458"/>
      <c r="B60" s="1463" t="s">
        <v>1850</v>
      </c>
      <c r="C60" s="1464"/>
      <c r="D60" s="1464"/>
    </row>
    <row r="61" spans="1:9" s="1461" customFormat="1" ht="3.95" customHeight="1" x14ac:dyDescent="0.2">
      <c r="A61" s="1458"/>
      <c r="B61" s="1463"/>
      <c r="C61" s="1464"/>
      <c r="D61" s="1464"/>
    </row>
    <row r="62" spans="1:9" s="1461" customFormat="1" ht="12.75" customHeight="1" x14ac:dyDescent="0.2">
      <c r="A62" s="1458"/>
      <c r="B62" s="1463" t="s">
        <v>1851</v>
      </c>
      <c r="C62" s="1464"/>
      <c r="D62" s="1464"/>
    </row>
    <row r="63" spans="1:9" s="1461" customFormat="1" ht="13.5" customHeight="1" x14ac:dyDescent="0.2">
      <c r="A63" s="1458"/>
      <c r="B63" s="1462" t="s">
        <v>1675</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McLean County USD 5</v>
      </c>
      <c r="C1" s="2475"/>
      <c r="D1" s="2475"/>
      <c r="E1" s="2475"/>
      <c r="F1" s="2475"/>
      <c r="G1" s="2475"/>
      <c r="H1" s="2475"/>
      <c r="I1" s="2475"/>
      <c r="J1" s="2475"/>
      <c r="K1" s="2475"/>
      <c r="L1" s="1374"/>
      <c r="M1" s="1374"/>
    </row>
    <row r="2" spans="1:13" ht="12" customHeight="1" x14ac:dyDescent="0.2">
      <c r="B2" s="2477" t="str">
        <f>'Single Audit Cover'!E7</f>
        <v>17-064-0050-26</v>
      </c>
      <c r="C2" s="2477"/>
      <c r="D2" s="2477"/>
      <c r="E2" s="2477"/>
      <c r="F2" s="2477"/>
      <c r="G2" s="2477"/>
      <c r="H2" s="2477"/>
      <c r="I2" s="2477"/>
      <c r="J2" s="2477"/>
      <c r="K2" s="2477"/>
      <c r="L2" s="1375"/>
      <c r="M2" s="1376"/>
    </row>
    <row r="3" spans="1:13" ht="10.35" customHeight="1" x14ac:dyDescent="0.2">
      <c r="B3" s="2498" t="s">
        <v>1343</v>
      </c>
      <c r="C3" s="2498"/>
      <c r="D3" s="2498"/>
      <c r="E3" s="2498"/>
      <c r="F3" s="2498"/>
      <c r="G3" s="2498"/>
      <c r="H3" s="2498"/>
      <c r="I3" s="2498"/>
      <c r="J3" s="2498"/>
      <c r="K3" s="2498"/>
      <c r="L3" s="1377"/>
      <c r="M3" s="1377"/>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9" t="s">
        <v>1359</v>
      </c>
      <c r="C7" s="2499"/>
      <c r="D7" s="2500"/>
      <c r="E7" s="2500"/>
      <c r="F7" s="2500"/>
      <c r="G7" s="2500"/>
      <c r="H7" s="2500"/>
      <c r="I7" s="2500"/>
      <c r="J7" s="2500"/>
      <c r="K7" s="250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1838</v>
      </c>
      <c r="C10" s="1385" t="s">
        <v>1945</v>
      </c>
      <c r="D10" s="1386" t="s">
        <v>2177</v>
      </c>
      <c r="E10" s="322"/>
      <c r="F10" s="1387" t="s">
        <v>1358</v>
      </c>
      <c r="G10" s="1388"/>
      <c r="H10" s="1389" t="s">
        <v>1357</v>
      </c>
      <c r="I10" s="1388"/>
      <c r="J10" s="1390" t="s">
        <v>1356</v>
      </c>
      <c r="K10" s="322"/>
      <c r="L10" s="1381"/>
    </row>
    <row r="11" spans="1:13" ht="13.5" customHeight="1" x14ac:dyDescent="0.2">
      <c r="B11" s="322"/>
      <c r="C11" s="322"/>
      <c r="D11" s="322"/>
      <c r="E11" s="322"/>
      <c r="F11" s="322"/>
      <c r="G11" s="1383"/>
      <c r="H11" s="322"/>
      <c r="I11" s="1391" t="s">
        <v>1355</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1354</v>
      </c>
      <c r="C13" s="1393"/>
      <c r="D13" s="1394"/>
      <c r="E13" s="1394"/>
      <c r="F13" s="1394"/>
      <c r="G13" s="1395"/>
      <c r="H13" s="1394"/>
      <c r="I13" s="1395"/>
      <c r="J13" s="1394"/>
      <c r="K13" s="1394"/>
      <c r="L13" s="1396"/>
    </row>
    <row r="14" spans="1:13" ht="45.75" customHeight="1" x14ac:dyDescent="0.2">
      <c r="B14" s="2497"/>
      <c r="C14" s="2497"/>
      <c r="D14" s="2497"/>
      <c r="E14" s="2497"/>
      <c r="F14" s="2497"/>
      <c r="G14" s="2497"/>
      <c r="H14" s="2497"/>
      <c r="I14" s="2497"/>
      <c r="J14" s="2497"/>
      <c r="K14" s="249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1353</v>
      </c>
      <c r="C16" s="1393"/>
      <c r="D16" s="1394"/>
      <c r="E16" s="1394"/>
      <c r="F16" s="1394"/>
      <c r="G16" s="1395"/>
      <c r="H16" s="1394"/>
      <c r="I16" s="1395"/>
      <c r="J16" s="1394"/>
      <c r="K16" s="1394"/>
      <c r="L16" s="1396"/>
    </row>
    <row r="17" spans="2:12" ht="45.75" customHeight="1" x14ac:dyDescent="0.2">
      <c r="B17" s="2497"/>
      <c r="C17" s="2497"/>
      <c r="D17" s="2497"/>
      <c r="E17" s="2497"/>
      <c r="F17" s="2497"/>
      <c r="G17" s="2497"/>
      <c r="H17" s="2497"/>
      <c r="I17" s="2497"/>
      <c r="J17" s="2497"/>
      <c r="K17" s="2497"/>
      <c r="L17" s="1381"/>
    </row>
    <row r="18" spans="2:12" ht="4.5" customHeight="1" x14ac:dyDescent="0.2">
      <c r="B18" s="1398"/>
      <c r="C18" s="1398"/>
      <c r="L18" s="1381"/>
    </row>
    <row r="19" spans="2:12" s="1282" customFormat="1" ht="13.5" customHeight="1" x14ac:dyDescent="0.2">
      <c r="B19" s="1393" t="s">
        <v>1839</v>
      </c>
      <c r="C19" s="1393"/>
      <c r="D19" s="1394"/>
      <c r="E19" s="1394"/>
      <c r="F19" s="1394"/>
      <c r="G19" s="1395"/>
      <c r="H19" s="1394"/>
      <c r="I19" s="1395"/>
      <c r="J19" s="1394"/>
      <c r="K19" s="1394"/>
      <c r="L19" s="1396"/>
    </row>
    <row r="20" spans="2:12" ht="45.75" customHeight="1" x14ac:dyDescent="0.2">
      <c r="B20" s="2501"/>
      <c r="C20" s="2501"/>
      <c r="D20" s="2497"/>
      <c r="E20" s="2497"/>
      <c r="F20" s="2497"/>
      <c r="G20" s="2497"/>
      <c r="H20" s="2497"/>
      <c r="I20" s="2497"/>
      <c r="J20" s="2497"/>
      <c r="K20" s="2497"/>
      <c r="L20" s="1381"/>
    </row>
    <row r="21" spans="2:12" ht="4.5" customHeight="1" x14ac:dyDescent="0.2">
      <c r="B21" s="1400"/>
      <c r="C21" s="1400"/>
      <c r="L21" s="1381"/>
    </row>
    <row r="22" spans="2:12" ht="13.5" customHeight="1" x14ac:dyDescent="0.2">
      <c r="B22" s="1393" t="s">
        <v>1352</v>
      </c>
      <c r="C22" s="1393"/>
      <c r="D22" s="1379"/>
      <c r="E22" s="1379"/>
      <c r="F22" s="1379"/>
      <c r="G22" s="1380"/>
      <c r="H22" s="1379"/>
      <c r="I22" s="1380"/>
      <c r="J22" s="1379"/>
      <c r="K22" s="1379"/>
      <c r="L22" s="1381"/>
    </row>
    <row r="23" spans="2:12" ht="45" customHeight="1" x14ac:dyDescent="0.2">
      <c r="B23" s="2497"/>
      <c r="C23" s="2497"/>
      <c r="D23" s="2497"/>
      <c r="E23" s="2497"/>
      <c r="F23" s="2497"/>
      <c r="G23" s="2497"/>
      <c r="H23" s="2497"/>
      <c r="I23" s="2497"/>
      <c r="J23" s="2497"/>
      <c r="K23" s="2497"/>
      <c r="L23" s="1381"/>
    </row>
    <row r="24" spans="2:12" ht="4.5" customHeight="1" x14ac:dyDescent="0.2">
      <c r="B24" s="1398"/>
      <c r="C24" s="1398"/>
      <c r="L24" s="1381"/>
    </row>
    <row r="25" spans="2:12" ht="13.5" customHeight="1" x14ac:dyDescent="0.2">
      <c r="B25" s="1393" t="s">
        <v>1351</v>
      </c>
      <c r="C25" s="1393"/>
      <c r="D25" s="1379"/>
      <c r="E25" s="1379"/>
      <c r="F25" s="1379"/>
      <c r="G25" s="1380"/>
      <c r="H25" s="1379"/>
      <c r="I25" s="1380"/>
      <c r="J25" s="1379"/>
      <c r="K25" s="1379"/>
      <c r="L25" s="1381"/>
    </row>
    <row r="26" spans="2:12" ht="45.75" customHeight="1" x14ac:dyDescent="0.2">
      <c r="B26" s="2497"/>
      <c r="C26" s="2497"/>
      <c r="D26" s="2497"/>
      <c r="E26" s="2497"/>
      <c r="F26" s="2497"/>
      <c r="G26" s="2497"/>
      <c r="H26" s="2497"/>
      <c r="I26" s="2497"/>
      <c r="J26" s="2497"/>
      <c r="K26" s="2497"/>
      <c r="L26" s="1381"/>
    </row>
    <row r="27" spans="2:12" ht="4.5" customHeight="1" x14ac:dyDescent="0.2">
      <c r="B27" s="1398"/>
      <c r="C27" s="1398"/>
      <c r="L27" s="1381"/>
    </row>
    <row r="28" spans="2:12" ht="13.5" customHeight="1" x14ac:dyDescent="0.2">
      <c r="B28" s="1401" t="s">
        <v>1350</v>
      </c>
      <c r="C28" s="1401"/>
      <c r="D28" s="1379"/>
      <c r="E28" s="1379"/>
      <c r="F28" s="1379"/>
      <c r="G28" s="1380"/>
      <c r="H28" s="1379"/>
      <c r="I28" s="1380"/>
      <c r="J28" s="1379"/>
      <c r="K28" s="1379"/>
      <c r="L28" s="1381"/>
    </row>
    <row r="29" spans="2:12" ht="45.75" customHeight="1" x14ac:dyDescent="0.2">
      <c r="B29" s="2496"/>
      <c r="C29" s="2496"/>
      <c r="D29" s="2497"/>
      <c r="E29" s="2497"/>
      <c r="F29" s="2497"/>
      <c r="G29" s="2497"/>
      <c r="H29" s="2497"/>
      <c r="I29" s="2497"/>
      <c r="J29" s="2497"/>
      <c r="K29" s="249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1840</v>
      </c>
      <c r="C31" s="1403"/>
      <c r="D31" s="1378"/>
      <c r="E31" s="1379"/>
      <c r="F31" s="1379"/>
      <c r="G31" s="1380"/>
      <c r="H31" s="1379"/>
      <c r="I31" s="1380"/>
      <c r="J31" s="1379"/>
      <c r="K31" s="1379"/>
      <c r="L31" s="1381"/>
    </row>
    <row r="32" spans="2:12" s="322" customFormat="1" ht="44.25" customHeight="1" x14ac:dyDescent="0.2">
      <c r="B32" s="2496"/>
      <c r="C32" s="2496"/>
      <c r="D32" s="2497"/>
      <c r="E32" s="2497"/>
      <c r="F32" s="2497"/>
      <c r="G32" s="2497"/>
      <c r="H32" s="2497"/>
      <c r="I32" s="2497"/>
      <c r="J32" s="2497"/>
      <c r="K32" s="249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1841</v>
      </c>
      <c r="C35" s="1419"/>
      <c r="D35" s="322"/>
      <c r="E35" s="322"/>
      <c r="F35" s="322"/>
      <c r="L35" s="1381"/>
    </row>
    <row r="36" spans="1:13" ht="9.6" customHeight="1" x14ac:dyDescent="0.2">
      <c r="B36" s="1300" t="s">
        <v>1946</v>
      </c>
      <c r="C36" s="1300"/>
      <c r="L36" s="1381"/>
    </row>
    <row r="37" spans="1:13" ht="9.6" customHeight="1" x14ac:dyDescent="0.2">
      <c r="B37" s="1300" t="s">
        <v>1947</v>
      </c>
      <c r="C37" s="1300"/>
    </row>
    <row r="38" spans="1:13" ht="11.85" customHeight="1" x14ac:dyDescent="0.2">
      <c r="B38" s="1420" t="s">
        <v>1842</v>
      </c>
      <c r="C38" s="1420"/>
    </row>
    <row r="39" spans="1:13" ht="9.6" customHeight="1" x14ac:dyDescent="0.2">
      <c r="B39" s="1300" t="s">
        <v>1344</v>
      </c>
      <c r="C39" s="1300"/>
      <c r="M39" s="1421"/>
    </row>
    <row r="40" spans="1:13" ht="12.6" customHeight="1" x14ac:dyDescent="0.2">
      <c r="B40" s="1420" t="s">
        <v>1843</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L52"/>
  <sheetViews>
    <sheetView showGridLines="0" topLeftCell="A28"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McLean County USD 5</v>
      </c>
      <c r="C1" s="2502"/>
      <c r="D1" s="2502"/>
      <c r="E1" s="2502"/>
      <c r="F1" s="2502"/>
      <c r="G1" s="2502"/>
      <c r="H1" s="2502"/>
      <c r="I1" s="2502"/>
      <c r="J1" s="2502"/>
      <c r="K1" s="2502"/>
      <c r="L1" s="1465"/>
    </row>
    <row r="2" spans="1:12" ht="12.75" customHeight="1" x14ac:dyDescent="0.2">
      <c r="B2" s="2503" t="str">
        <f>'Single Audit Cover'!E7</f>
        <v>17-064-0050-26</v>
      </c>
      <c r="C2" s="2503"/>
      <c r="D2" s="2503"/>
      <c r="E2" s="2503"/>
      <c r="F2" s="2503"/>
      <c r="G2" s="2503"/>
      <c r="H2" s="2503"/>
      <c r="I2" s="2503"/>
      <c r="J2" s="2503"/>
      <c r="K2" s="2503"/>
      <c r="L2" s="1466"/>
    </row>
    <row r="3" spans="1:12" ht="12.75" customHeight="1" x14ac:dyDescent="0.2">
      <c r="B3" s="2498" t="s">
        <v>1343</v>
      </c>
      <c r="C3" s="2498"/>
      <c r="D3" s="2498"/>
      <c r="E3" s="2498"/>
      <c r="F3" s="2498"/>
      <c r="G3" s="2498"/>
      <c r="H3" s="2498"/>
      <c r="I3" s="2498"/>
      <c r="J3" s="2498"/>
      <c r="K3" s="2498"/>
      <c r="L3" s="1377"/>
    </row>
    <row r="4" spans="1:12" ht="12.75" customHeight="1" x14ac:dyDescent="0.2">
      <c r="B4" s="2498" t="str">
        <f>'Single Audit Cover'!A4</f>
        <v>Year Ending June 30, 2018</v>
      </c>
      <c r="C4" s="2498"/>
      <c r="D4" s="2498"/>
      <c r="E4" s="2498"/>
      <c r="F4" s="2498"/>
      <c r="G4" s="2498"/>
      <c r="H4" s="2498"/>
      <c r="I4" s="2498"/>
      <c r="J4" s="2498"/>
      <c r="K4" s="2498"/>
      <c r="L4" s="1377"/>
    </row>
    <row r="5" spans="1:12" ht="5.25" customHeight="1" x14ac:dyDescent="0.2">
      <c r="B5" s="1260" t="s">
        <v>1230</v>
      </c>
      <c r="C5" s="1260"/>
      <c r="L5" s="322"/>
    </row>
    <row r="6" spans="1:12" ht="30.75" customHeight="1" x14ac:dyDescent="0.2">
      <c r="A6" s="322"/>
      <c r="B6" s="2504" t="s">
        <v>1371</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1852</v>
      </c>
      <c r="C8" s="1467" t="s">
        <v>1945</v>
      </c>
      <c r="D8" s="1468">
        <v>1</v>
      </c>
      <c r="E8" s="322"/>
      <c r="F8" s="1384" t="s">
        <v>1358</v>
      </c>
      <c r="G8" s="1469" t="s">
        <v>2069</v>
      </c>
      <c r="H8" s="1470" t="s">
        <v>1370</v>
      </c>
      <c r="I8" s="1469"/>
      <c r="J8" s="1471" t="s">
        <v>1369</v>
      </c>
      <c r="L8" s="322"/>
    </row>
    <row r="9" spans="1:12" ht="13.5" customHeight="1" x14ac:dyDescent="0.2">
      <c r="D9" s="322"/>
      <c r="E9" s="322"/>
      <c r="F9" s="322"/>
      <c r="G9" s="1383"/>
      <c r="H9" s="322"/>
      <c r="I9" s="1472" t="s">
        <v>1355</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1368</v>
      </c>
      <c r="C12" s="1384"/>
      <c r="D12" s="304"/>
      <c r="E12" s="322"/>
      <c r="F12" s="2482" t="s">
        <v>2178</v>
      </c>
      <c r="G12" s="2482"/>
      <c r="H12" s="2482"/>
      <c r="I12" s="2482"/>
      <c r="J12" s="2482"/>
      <c r="K12" s="2482"/>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1367</v>
      </c>
      <c r="C14" s="1387"/>
      <c r="D14" s="2505" t="s">
        <v>2179</v>
      </c>
      <c r="E14" s="2505"/>
      <c r="F14" s="2505"/>
      <c r="H14" s="1475" t="s">
        <v>1366</v>
      </c>
      <c r="I14" s="2506">
        <v>84.027000000000001</v>
      </c>
      <c r="J14" s="2506"/>
      <c r="K14" s="250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1365</v>
      </c>
      <c r="C16" s="1387"/>
      <c r="D16" s="2506" t="s">
        <v>2180</v>
      </c>
      <c r="E16" s="2506"/>
      <c r="F16" s="2506"/>
      <c r="G16" s="2506"/>
      <c r="H16" s="2506"/>
      <c r="I16" s="2506"/>
      <c r="J16" s="2506"/>
      <c r="K16" s="2506"/>
      <c r="L16" s="322"/>
    </row>
    <row r="17" spans="2:12" ht="13.5" customHeight="1" x14ac:dyDescent="0.2">
      <c r="B17" s="1387" t="s">
        <v>1364</v>
      </c>
      <c r="C17" s="1387"/>
      <c r="D17" s="2507" t="s">
        <v>2181</v>
      </c>
      <c r="E17" s="2507"/>
      <c r="F17" s="2507"/>
      <c r="G17" s="2507"/>
      <c r="H17" s="2507"/>
      <c r="I17" s="2507"/>
      <c r="J17" s="2507"/>
      <c r="K17" s="250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1363</v>
      </c>
      <c r="C19" s="1477"/>
      <c r="D19" s="328"/>
      <c r="E19" s="328"/>
      <c r="F19" s="328"/>
      <c r="G19" s="1478"/>
      <c r="H19" s="328"/>
      <c r="I19" s="1478"/>
      <c r="J19" s="322"/>
      <c r="K19" s="322"/>
      <c r="L19" s="322"/>
    </row>
    <row r="20" spans="2:12" ht="35.25" customHeight="1" x14ac:dyDescent="0.2">
      <c r="B20" s="2497" t="s">
        <v>2194</v>
      </c>
      <c r="C20" s="2497"/>
      <c r="D20" s="2497"/>
      <c r="E20" s="2497"/>
      <c r="F20" s="2497"/>
      <c r="G20" s="2497"/>
      <c r="H20" s="2497"/>
      <c r="I20" s="2497"/>
      <c r="J20" s="2497"/>
      <c r="K20" s="2497"/>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1853</v>
      </c>
      <c r="C22" s="1477"/>
      <c r="D22" s="322"/>
      <c r="E22" s="322"/>
      <c r="F22" s="322"/>
      <c r="G22" s="1383"/>
      <c r="H22" s="322"/>
      <c r="I22" s="1383"/>
      <c r="J22" s="322"/>
      <c r="K22" s="322"/>
      <c r="L22" s="322"/>
    </row>
    <row r="23" spans="2:12" ht="37.5" customHeight="1" x14ac:dyDescent="0.2">
      <c r="B23" s="2497" t="s">
        <v>2195</v>
      </c>
      <c r="C23" s="2497"/>
      <c r="D23" s="2497"/>
      <c r="E23" s="2497"/>
      <c r="F23" s="2497"/>
      <c r="G23" s="2497"/>
      <c r="H23" s="2497"/>
      <c r="I23" s="2497"/>
      <c r="J23" s="2497"/>
      <c r="K23" s="2497"/>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1854</v>
      </c>
      <c r="C25" s="1477"/>
      <c r="D25" s="322"/>
      <c r="E25" s="322"/>
      <c r="F25" s="322"/>
      <c r="G25" s="1383"/>
      <c r="H25" s="322"/>
      <c r="I25" s="1383"/>
      <c r="J25" s="322"/>
      <c r="K25" s="322"/>
      <c r="L25" s="322"/>
    </row>
    <row r="26" spans="2:12" ht="37.5" customHeight="1" x14ac:dyDescent="0.2">
      <c r="B26" s="2508">
        <v>1062.26</v>
      </c>
      <c r="C26" s="2497"/>
      <c r="D26" s="2497"/>
      <c r="E26" s="2497"/>
      <c r="F26" s="2497"/>
      <c r="G26" s="2497"/>
      <c r="H26" s="2497"/>
      <c r="I26" s="2497"/>
      <c r="J26" s="2497"/>
      <c r="K26" s="2497"/>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1855</v>
      </c>
      <c r="C28" s="1477"/>
      <c r="D28" s="322"/>
      <c r="E28" s="322"/>
      <c r="F28" s="322"/>
      <c r="G28" s="1383"/>
      <c r="H28" s="322"/>
      <c r="I28" s="1383"/>
      <c r="J28" s="322"/>
      <c r="K28" s="322"/>
      <c r="L28" s="322"/>
    </row>
    <row r="29" spans="2:12" ht="41.25" customHeight="1" x14ac:dyDescent="0.2">
      <c r="B29" s="2497" t="s">
        <v>2218</v>
      </c>
      <c r="C29" s="2497"/>
      <c r="D29" s="2497"/>
      <c r="E29" s="2497"/>
      <c r="F29" s="2497"/>
      <c r="G29" s="2497"/>
      <c r="H29" s="2497"/>
      <c r="I29" s="2497"/>
      <c r="J29" s="2497"/>
      <c r="K29" s="2497"/>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1362</v>
      </c>
      <c r="C31" s="1477"/>
      <c r="D31" s="322"/>
      <c r="E31" s="322"/>
      <c r="F31" s="322"/>
      <c r="G31" s="1383"/>
      <c r="H31" s="322"/>
      <c r="I31" s="1383"/>
      <c r="J31" s="322"/>
      <c r="K31" s="322"/>
      <c r="L31" s="322"/>
    </row>
    <row r="32" spans="2:12" ht="33" customHeight="1" x14ac:dyDescent="0.2">
      <c r="B32" s="2497" t="s">
        <v>2219</v>
      </c>
      <c r="C32" s="2497"/>
      <c r="D32" s="2497"/>
      <c r="E32" s="2497"/>
      <c r="F32" s="2497"/>
      <c r="G32" s="2497"/>
      <c r="H32" s="2497"/>
      <c r="I32" s="2497"/>
      <c r="J32" s="2497"/>
      <c r="K32" s="2497"/>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1361</v>
      </c>
      <c r="C34" s="1384"/>
      <c r="D34" s="322"/>
      <c r="E34" s="322"/>
      <c r="F34" s="322"/>
      <c r="G34" s="1383"/>
      <c r="H34" s="322"/>
      <c r="I34" s="1383"/>
      <c r="J34" s="322"/>
      <c r="K34" s="322"/>
      <c r="L34" s="322"/>
    </row>
    <row r="35" spans="2:12" ht="37.5" customHeight="1" x14ac:dyDescent="0.2">
      <c r="B35" s="2497" t="s">
        <v>2220</v>
      </c>
      <c r="C35" s="2497"/>
      <c r="D35" s="2497"/>
      <c r="E35" s="2497"/>
      <c r="F35" s="2497"/>
      <c r="G35" s="2497"/>
      <c r="H35" s="2497"/>
      <c r="I35" s="2497"/>
      <c r="J35" s="2497"/>
      <c r="K35" s="2497"/>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1360</v>
      </c>
      <c r="C37" s="1384"/>
      <c r="D37" s="322"/>
      <c r="E37" s="322"/>
      <c r="F37" s="322"/>
      <c r="G37" s="1383"/>
      <c r="H37" s="322"/>
      <c r="I37" s="1383"/>
      <c r="J37" s="322"/>
      <c r="K37" s="322"/>
      <c r="L37" s="322"/>
    </row>
    <row r="38" spans="2:12" ht="35.25" customHeight="1" x14ac:dyDescent="0.2">
      <c r="B38" s="2497" t="s">
        <v>2221</v>
      </c>
      <c r="C38" s="2497"/>
      <c r="D38" s="2497"/>
      <c r="E38" s="2497"/>
      <c r="F38" s="2497"/>
      <c r="G38" s="2497"/>
      <c r="H38" s="2497"/>
      <c r="I38" s="2497"/>
      <c r="J38" s="2497"/>
      <c r="K38" s="2497"/>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1856</v>
      </c>
      <c r="C40" s="1403"/>
      <c r="D40" s="1378"/>
      <c r="E40" s="1379"/>
      <c r="F40" s="1379"/>
      <c r="G40" s="1380"/>
      <c r="H40" s="1379"/>
      <c r="I40" s="1380"/>
      <c r="J40" s="1379"/>
      <c r="K40" s="1379"/>
    </row>
    <row r="41" spans="2:12" s="322" customFormat="1" ht="78" customHeight="1" x14ac:dyDescent="0.2">
      <c r="B41" s="2497" t="s">
        <v>2226</v>
      </c>
      <c r="C41" s="2497"/>
      <c r="D41" s="2497"/>
      <c r="E41" s="2497"/>
      <c r="F41" s="2497"/>
      <c r="G41" s="2497"/>
      <c r="H41" s="2497"/>
      <c r="I41" s="2497"/>
      <c r="J41" s="2497"/>
      <c r="K41" s="2497"/>
    </row>
    <row r="42" spans="2:12" s="322" customFormat="1" ht="4.5" customHeight="1" x14ac:dyDescent="0.2">
      <c r="B42" s="1402"/>
      <c r="C42" s="1402"/>
      <c r="G42" s="1383"/>
      <c r="I42" s="1383"/>
    </row>
    <row r="43" spans="2:12" s="322" customFormat="1" ht="13.5" customHeight="1" x14ac:dyDescent="0.2">
      <c r="B43" s="1482" t="s">
        <v>1349</v>
      </c>
      <c r="C43" s="1483"/>
      <c r="D43" s="1404"/>
      <c r="E43" s="1404"/>
      <c r="F43" s="1404"/>
      <c r="G43" s="1405"/>
      <c r="H43" s="1404"/>
      <c r="I43" s="1405"/>
      <c r="J43" s="1404"/>
      <c r="K43" s="1406"/>
      <c r="L43" s="1484"/>
    </row>
    <row r="44" spans="2:12" s="322" customFormat="1" ht="13.5" customHeight="1" x14ac:dyDescent="0.2">
      <c r="B44" s="1407" t="s">
        <v>1348</v>
      </c>
      <c r="C44" s="1408"/>
      <c r="D44" s="1485"/>
      <c r="E44" s="1409"/>
      <c r="F44" s="1413" t="s">
        <v>1347</v>
      </c>
      <c r="G44" s="1411"/>
      <c r="H44" s="1410"/>
      <c r="I44" s="1411"/>
      <c r="J44" s="1486"/>
      <c r="K44" s="1487"/>
      <c r="L44" s="1484"/>
    </row>
    <row r="45" spans="2:12" s="322" customFormat="1" ht="13.5" customHeight="1" x14ac:dyDescent="0.2">
      <c r="B45" s="1407" t="s">
        <v>1346</v>
      </c>
      <c r="C45" s="1408"/>
      <c r="D45" s="1486"/>
      <c r="E45" s="1410"/>
      <c r="F45" s="1413" t="s">
        <v>1345</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1857</v>
      </c>
      <c r="C48" s="1419"/>
      <c r="D48" s="322"/>
      <c r="E48" s="322"/>
      <c r="F48" s="322"/>
    </row>
    <row r="49" spans="2:3" s="317" customFormat="1" ht="10.5" customHeight="1" x14ac:dyDescent="0.2">
      <c r="B49" s="1420" t="s">
        <v>1858</v>
      </c>
      <c r="C49" s="1420"/>
    </row>
    <row r="50" spans="2:3" s="317" customFormat="1" ht="11.1" customHeight="1" x14ac:dyDescent="0.2">
      <c r="B50" s="1420" t="s">
        <v>1859</v>
      </c>
      <c r="C50" s="1420"/>
    </row>
    <row r="51" spans="2:3" s="317" customFormat="1" ht="11.1" customHeight="1" x14ac:dyDescent="0.2">
      <c r="B51" s="1420" t="s">
        <v>1860</v>
      </c>
      <c r="C51" s="1420"/>
    </row>
    <row r="52" spans="2:3" s="317" customFormat="1" ht="11.1" customHeight="1" x14ac:dyDescent="0.2">
      <c r="B52" s="1420" t="s">
        <v>1861</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5" t="str">
        <f>'Single Audit Cover'!A7</f>
        <v>McLean County USD 5</v>
      </c>
      <c r="C1" s="2475"/>
      <c r="D1" s="2475"/>
      <c r="E1" s="1491"/>
    </row>
    <row r="2" spans="2:5" s="1282" customFormat="1" ht="12.75" customHeight="1" x14ac:dyDescent="0.2">
      <c r="B2" s="2477" t="str">
        <f>'Single Audit Cover'!E7</f>
        <v>17-064-0050-26</v>
      </c>
      <c r="C2" s="2477"/>
      <c r="D2" s="2477"/>
      <c r="E2" s="1492"/>
    </row>
    <row r="3" spans="2:5" ht="12.75" customHeight="1" x14ac:dyDescent="0.2">
      <c r="B3" s="2498" t="s">
        <v>1862</v>
      </c>
      <c r="C3" s="2498"/>
      <c r="D3" s="2498"/>
      <c r="E3" s="1274"/>
    </row>
    <row r="4" spans="2:5" s="1282" customFormat="1" ht="12.75" customHeight="1" x14ac:dyDescent="0.2">
      <c r="B4" s="2509" t="str">
        <f>'Single Audit Cover'!A4</f>
        <v>Year Ending June 30, 2018</v>
      </c>
      <c r="C4" s="2509"/>
      <c r="D4" s="2509"/>
      <c r="E4" s="1493"/>
    </row>
    <row r="5" spans="2:5" s="1282" customFormat="1" ht="40.15" customHeight="1" x14ac:dyDescent="0.2">
      <c r="B5" s="1494" t="s">
        <v>1863</v>
      </c>
      <c r="C5" s="328"/>
      <c r="D5" s="328"/>
      <c r="E5" s="328"/>
    </row>
    <row r="6" spans="2:5" s="1282" customFormat="1" ht="13.5" customHeight="1" x14ac:dyDescent="0.2">
      <c r="B6" s="1495" t="s">
        <v>1378</v>
      </c>
      <c r="C6" s="1495" t="s">
        <v>1377</v>
      </c>
      <c r="D6" s="1495" t="s">
        <v>1864</v>
      </c>
    </row>
    <row r="7" spans="2:5" ht="51" x14ac:dyDescent="0.2">
      <c r="B7" s="1496" t="s">
        <v>2182</v>
      </c>
      <c r="C7" s="1959" t="s">
        <v>2183</v>
      </c>
      <c r="D7" s="1960" t="s">
        <v>2196</v>
      </c>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1376</v>
      </c>
      <c r="C44" s="322"/>
    </row>
    <row r="45" spans="2:5" ht="12.2" customHeight="1" x14ac:dyDescent="0.2">
      <c r="B45" s="1505" t="s">
        <v>1865</v>
      </c>
    </row>
    <row r="46" spans="2:5" ht="12.2" customHeight="1" x14ac:dyDescent="0.2">
      <c r="B46" s="1505" t="s">
        <v>1866</v>
      </c>
    </row>
    <row r="47" spans="2:5" ht="12.2" customHeight="1" x14ac:dyDescent="0.2">
      <c r="B47" s="1506" t="s">
        <v>1375</v>
      </c>
    </row>
    <row r="48" spans="2:5" ht="12.2" customHeight="1" x14ac:dyDescent="0.2">
      <c r="B48" s="1506" t="s">
        <v>1374</v>
      </c>
    </row>
    <row r="49" spans="2:5" ht="12.2" customHeight="1" x14ac:dyDescent="0.2">
      <c r="B49" s="1506" t="s">
        <v>1373</v>
      </c>
    </row>
    <row r="50" spans="2:5" ht="12.2" customHeight="1" x14ac:dyDescent="0.2">
      <c r="B50" s="1506" t="s">
        <v>1372</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403</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1742</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1743</v>
      </c>
      <c r="E7" s="222"/>
      <c r="F7" s="351" t="s">
        <v>289</v>
      </c>
      <c r="G7" s="222"/>
      <c r="H7" s="222"/>
      <c r="I7" s="222"/>
      <c r="J7" s="352">
        <v>2201605679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2.7199999999999998E-2</v>
      </c>
      <c r="E10" s="356" t="s">
        <v>1061</v>
      </c>
      <c r="F10" s="355">
        <v>5.0000000000000001E-3</v>
      </c>
      <c r="G10" s="356" t="s">
        <v>1061</v>
      </c>
      <c r="H10" s="355">
        <v>2E-3</v>
      </c>
      <c r="I10" s="356" t="s">
        <v>1062</v>
      </c>
      <c r="J10" s="1754">
        <f>ROUND(D10+F10+H10,5)</f>
        <v>3.4200000000000001E-2</v>
      </c>
      <c r="K10" s="222"/>
      <c r="L10" s="355">
        <v>5.0000000000000001E-4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1744</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128259540</v>
      </c>
      <c r="E16" s="356"/>
      <c r="F16" s="1755">
        <f>SUM('Acct Summary 7-8'!C17,'Acct Summary 7-8'!D17,'Acct Summary 7-8'!F17)</f>
        <v>123585836</v>
      </c>
      <c r="G16" s="356"/>
      <c r="H16" s="1755">
        <f>SUM(D16-F16)</f>
        <v>4673704</v>
      </c>
      <c r="I16" s="222"/>
      <c r="J16" s="1755">
        <f>SUM('Acct Summary 7-8'!C81,'Acct Summary 7-8'!D81,'Acct Summary 7-8'!F81,'Acct Summary 7-8'!I81)</f>
        <v>28551439</v>
      </c>
      <c r="K16" s="222"/>
      <c r="L16" s="222"/>
      <c r="M16" s="222"/>
    </row>
    <row r="17" spans="1:13" ht="12.2" customHeight="1" x14ac:dyDescent="0.2">
      <c r="A17" s="349"/>
      <c r="B17" s="260" t="s">
        <v>8</v>
      </c>
      <c r="C17" s="237" t="s">
        <v>1459</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1745</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303821583.70200002</v>
      </c>
      <c r="I31" s="368"/>
      <c r="J31" s="222"/>
      <c r="K31" s="222"/>
      <c r="L31" s="222"/>
      <c r="M31" s="222"/>
    </row>
    <row r="32" spans="1:13" ht="13.35" customHeight="1" x14ac:dyDescent="0.2">
      <c r="B32" s="369" t="s">
        <v>2069</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131525793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576</v>
      </c>
      <c r="B2" s="2123"/>
      <c r="C2" s="2123"/>
      <c r="D2" s="2123"/>
      <c r="E2" s="2123"/>
      <c r="F2" s="2123"/>
      <c r="G2" s="2123"/>
      <c r="H2" s="2123"/>
      <c r="I2" s="2123"/>
      <c r="J2" s="2123"/>
      <c r="K2" s="2123"/>
      <c r="L2" s="2123"/>
      <c r="M2" s="2123"/>
      <c r="N2" s="2123"/>
      <c r="O2" s="2123"/>
      <c r="P2" s="2123"/>
      <c r="Q2" s="2123"/>
      <c r="R2" s="2123"/>
    </row>
    <row r="3" spans="1:18" ht="12.75" x14ac:dyDescent="0.2">
      <c r="A3" s="2124" t="s">
        <v>1476</v>
      </c>
      <c r="B3" s="2124"/>
      <c r="C3" s="2124"/>
      <c r="D3" s="2124"/>
      <c r="E3" s="2124"/>
      <c r="F3" s="2124"/>
      <c r="G3" s="2124"/>
      <c r="H3" s="2124"/>
      <c r="I3" s="2124"/>
      <c r="J3" s="2124"/>
      <c r="K3" s="2124"/>
      <c r="L3" s="2124"/>
      <c r="M3" s="2124"/>
      <c r="N3" s="2124"/>
      <c r="O3" s="2124"/>
      <c r="P3" s="2124"/>
      <c r="Q3" s="2124"/>
      <c r="R3" s="2124"/>
    </row>
    <row r="4" spans="1:18" x14ac:dyDescent="0.2">
      <c r="A4" s="2125" t="s">
        <v>1631</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McLean County USD 5</v>
      </c>
      <c r="E7" s="391"/>
      <c r="G7" s="252"/>
      <c r="H7" s="387"/>
      <c r="I7" s="387"/>
      <c r="J7" s="387"/>
      <c r="K7" s="387"/>
      <c r="L7" s="329"/>
      <c r="M7" s="329"/>
      <c r="N7" s="329"/>
      <c r="O7" s="329"/>
      <c r="P7" s="329"/>
    </row>
    <row r="8" spans="1:18" ht="12.75" x14ac:dyDescent="0.2">
      <c r="A8" s="329"/>
      <c r="B8" s="329"/>
      <c r="C8" s="389" t="s">
        <v>1186</v>
      </c>
      <c r="D8" s="392" t="str">
        <f>COVER!A13</f>
        <v>17-064-0050-26</v>
      </c>
      <c r="E8" s="393"/>
      <c r="G8" s="329"/>
      <c r="H8" s="329"/>
      <c r="I8" s="329"/>
      <c r="J8" s="329"/>
      <c r="K8" s="329"/>
      <c r="L8" s="329"/>
      <c r="M8" s="329"/>
      <c r="N8" s="329"/>
      <c r="O8" s="329"/>
      <c r="P8" s="329"/>
    </row>
    <row r="9" spans="1:18" ht="12.75" x14ac:dyDescent="0.2">
      <c r="A9" s="329"/>
      <c r="B9" s="329"/>
      <c r="C9" s="389" t="s">
        <v>736</v>
      </c>
      <c r="D9" s="394" t="str">
        <f>COVER!A15</f>
        <v>McLean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3</v>
      </c>
      <c r="P11" s="216"/>
      <c r="Q11" s="216"/>
    </row>
    <row r="12" spans="1:18" s="408" customFormat="1" ht="11.25" x14ac:dyDescent="0.2">
      <c r="A12" s="218"/>
      <c r="B12" s="401"/>
      <c r="C12" s="218" t="s">
        <v>1428</v>
      </c>
      <c r="D12" s="218"/>
      <c r="E12" s="218"/>
      <c r="F12" s="218" t="s">
        <v>1151</v>
      </c>
      <c r="G12" s="402"/>
      <c r="H12" s="403">
        <f>SUM('Acct Summary 7-8'!C81+'Acct Summary 7-8'!D81+'Acct Summary 7-8'!F81+'Acct Summary 7-8'!I81+IF('Acct Summary 7-8'!G81&lt;0,'Acct Summary 7-8'!G81,"0")+IF('Acct Summary 7-8'!J81&lt;0,'Acct Summary 7-8'!J81,"0"))</f>
        <v>28551439</v>
      </c>
      <c r="I12" s="404"/>
      <c r="J12" s="404"/>
      <c r="K12" s="405">
        <f>TRUNC((H12/H13*100000),5)/100000</f>
        <v>0.22719274280000001</v>
      </c>
      <c r="L12" s="406"/>
      <c r="M12" s="360" t="s">
        <v>1205</v>
      </c>
      <c r="N12" s="360"/>
      <c r="O12" s="407">
        <v>0.35</v>
      </c>
      <c r="P12" s="218"/>
      <c r="Q12" s="218"/>
    </row>
    <row r="13" spans="1:18" s="408" customFormat="1" ht="12.75" x14ac:dyDescent="0.2">
      <c r="A13" s="218"/>
      <c r="B13" s="401"/>
      <c r="C13" s="2121" t="s">
        <v>1387</v>
      </c>
      <c r="D13" s="2122"/>
      <c r="E13" s="218"/>
      <c r="F13" s="409" t="s">
        <v>825</v>
      </c>
      <c r="G13" s="402"/>
      <c r="H13" s="403">
        <f>SUM('Acct Summary 7-8'!C8+'Acct Summary 7-8'!D8+'Acct Summary 7-8'!F8+'Acct Summary 7-8'!I8)+H14</f>
        <v>125670559</v>
      </c>
      <c r="I13" s="404"/>
      <c r="J13" s="404"/>
      <c r="K13" s="410"/>
      <c r="L13" s="218"/>
      <c r="M13" s="360" t="s">
        <v>1206</v>
      </c>
      <c r="N13" s="360"/>
      <c r="O13" s="411">
        <f>(O11*O12)</f>
        <v>1.0499999999999998</v>
      </c>
      <c r="P13" s="218"/>
      <c r="Q13" s="218"/>
      <c r="R13" s="412"/>
    </row>
    <row r="14" spans="1:18" s="408" customFormat="1" ht="12.75" x14ac:dyDescent="0.2">
      <c r="A14" s="218"/>
      <c r="B14" s="401"/>
      <c r="C14" s="240" t="s">
        <v>1460</v>
      </c>
      <c r="D14" s="413"/>
      <c r="E14" s="218"/>
      <c r="F14" s="409" t="s">
        <v>827</v>
      </c>
      <c r="G14" s="402"/>
      <c r="H14" s="403">
        <f>-SUM('Acct Summary 7-8'!C54:D56,'Acct Summary 7-8'!C58:D60,'Acct Summary 7-8'!C62:D64,'Acct Summary 7-8'!C66:D68,'Acct Summary 7-8'!C70:D72,'Acct Summary 7-8'!C74:D74)</f>
        <v>-2588981</v>
      </c>
      <c r="I14" s="404"/>
      <c r="J14" s="404"/>
      <c r="K14" s="410"/>
      <c r="L14" s="218"/>
      <c r="M14" s="360"/>
      <c r="N14" s="360"/>
      <c r="O14" s="411"/>
      <c r="P14" s="218"/>
      <c r="Q14" s="218"/>
      <c r="R14" s="412"/>
    </row>
    <row r="15" spans="1:18" ht="11.45" customHeight="1" x14ac:dyDescent="0.2">
      <c r="A15" s="216"/>
      <c r="B15" s="396"/>
      <c r="C15" s="218" t="s">
        <v>1474</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123585836</v>
      </c>
      <c r="I17" s="404"/>
      <c r="J17" s="416"/>
      <c r="K17" s="405">
        <f>TRUNC((H17/H18*100000),5)/100000</f>
        <v>0.98341120609999999</v>
      </c>
      <c r="L17" s="406"/>
      <c r="M17" s="417" t="s">
        <v>1232</v>
      </c>
      <c r="O17" s="418" t="str">
        <f>IF(AND(O16="2", J20 &gt; 2),"1",IF(AND(O16 = "1", J20 &gt; 2),"2",IF(AND(O16="1", J20 &gt;1),"1","0")))</f>
        <v>0</v>
      </c>
      <c r="P17" s="218"/>
    </row>
    <row r="18" spans="1:18" s="408" customFormat="1" ht="11.25" x14ac:dyDescent="0.2">
      <c r="A18" s="218"/>
      <c r="B18" s="401"/>
      <c r="C18" s="2121" t="s">
        <v>1380</v>
      </c>
      <c r="D18" s="2122"/>
      <c r="E18" s="218"/>
      <c r="F18" s="419" t="s">
        <v>826</v>
      </c>
      <c r="G18" s="402"/>
      <c r="H18" s="403">
        <f>SUM('Acct Summary 7-8'!C8+'Acct Summary 7-8'!D8+'Acct Summary 7-8'!F8+'Acct Summary 7-8'!I8)+H19</f>
        <v>125670559</v>
      </c>
      <c r="I18" s="404"/>
      <c r="J18" s="404"/>
      <c r="K18" s="410"/>
      <c r="L18" s="218"/>
      <c r="M18" s="360" t="s">
        <v>1205</v>
      </c>
      <c r="N18" s="360"/>
      <c r="O18" s="410">
        <v>0.35</v>
      </c>
      <c r="P18" s="218"/>
    </row>
    <row r="19" spans="1:18" s="408" customFormat="1" ht="11.25" x14ac:dyDescent="0.2">
      <c r="A19" s="218"/>
      <c r="B19" s="401"/>
      <c r="C19" s="240" t="s">
        <v>1460</v>
      </c>
      <c r="D19" s="413"/>
      <c r="E19" s="218"/>
      <c r="F19" s="419" t="s">
        <v>827</v>
      </c>
      <c r="G19" s="402"/>
      <c r="H19" s="403">
        <f>-SUM('Acct Summary 7-8'!C54:D56,'Acct Summary 7-8'!C58:D60,'Acct Summary 7-8'!C62:D64,'Acct Summary 7-8'!C66:D68,'Acct Summary 7-8'!C70:D72,'Acct Summary 7-8'!C74:D74)</f>
        <v>-2588981</v>
      </c>
      <c r="I19" s="404"/>
      <c r="J19" s="404"/>
      <c r="K19" s="410"/>
      <c r="L19" s="218"/>
      <c r="M19" s="360"/>
      <c r="N19" s="360"/>
      <c r="O19" s="410"/>
      <c r="P19" s="218"/>
    </row>
    <row r="20" spans="1:18" s="408" customFormat="1" ht="12.75" x14ac:dyDescent="0.2">
      <c r="A20" s="218"/>
      <c r="B20" s="401"/>
      <c r="C20" s="218" t="s">
        <v>1474</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2</v>
      </c>
      <c r="P23" s="216"/>
      <c r="R23" s="384"/>
    </row>
    <row r="24" spans="1:18" s="408" customFormat="1" ht="11.25" x14ac:dyDescent="0.2">
      <c r="A24" s="218"/>
      <c r="B24" s="401"/>
      <c r="C24" s="2118" t="s">
        <v>1475</v>
      </c>
      <c r="D24" s="2118"/>
      <c r="E24" s="218"/>
      <c r="F24" s="218" t="s">
        <v>464</v>
      </c>
      <c r="G24" s="402"/>
      <c r="H24" s="403">
        <f>SUM('Assets-Liab 5-6'!C4+'Assets-Liab 5-6'!D4+'Assets-Liab 5-6'!F4+'Assets-Liab 5-6'!I4+'Assets-Liab 5-6'!C5+'Assets-Liab 5-6'!D5+'Assets-Liab 5-6'!F5+'Assets-Liab 5-6'!I5)</f>
        <v>28546803</v>
      </c>
      <c r="I24" s="422"/>
      <c r="J24" s="422"/>
      <c r="K24" s="423">
        <f>TRUNC(((H24/H25*100000)/100000),2)</f>
        <v>83.15</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343293.98888999998</v>
      </c>
      <c r="I25" s="425"/>
      <c r="J25" s="425"/>
      <c r="K25" s="410"/>
      <c r="L25" s="218"/>
      <c r="M25" s="360" t="s">
        <v>1206</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2064</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64000677.088529997</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131525793</v>
      </c>
      <c r="I32" s="420"/>
      <c r="J32" s="420"/>
      <c r="K32" s="423">
        <f>TRUNC(100-((((H32/H33*100))*100)/100),2)</f>
        <v>56.7</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303821583.70200002</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3.3499999999999996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1687</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1582</v>
      </c>
      <c r="I40" s="408"/>
      <c r="J40" s="408"/>
      <c r="K40" s="410"/>
      <c r="L40" s="408"/>
      <c r="M40" s="408"/>
      <c r="N40" s="408"/>
      <c r="O40" s="218"/>
      <c r="P40" s="216"/>
      <c r="Q40" s="216"/>
    </row>
    <row r="41" spans="1:17" x14ac:dyDescent="0.2">
      <c r="G41" s="448"/>
      <c r="H41" s="218" t="s">
        <v>1583</v>
      </c>
      <c r="M41" s="216"/>
      <c r="O41" s="216"/>
      <c r="P41" s="216"/>
      <c r="Q41" s="216"/>
    </row>
    <row r="42" spans="1:17" x14ac:dyDescent="0.2">
      <c r="A42" s="385" t="s">
        <v>1584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pane="bottomLeft"/>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1570</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7"/>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8" t="s">
        <v>1029</v>
      </c>
      <c r="B3" s="2129"/>
      <c r="C3" s="1581"/>
      <c r="D3" s="1582"/>
      <c r="E3" s="1582"/>
      <c r="F3" s="1582"/>
      <c r="G3" s="1582"/>
      <c r="H3" s="1582"/>
      <c r="I3" s="1582"/>
      <c r="J3" s="1582"/>
      <c r="K3" s="1582"/>
      <c r="L3" s="1582"/>
      <c r="M3" s="1583"/>
      <c r="N3" s="1584"/>
    </row>
    <row r="4" spans="1:14" ht="13.5" customHeight="1" x14ac:dyDescent="0.2">
      <c r="A4" s="463" t="s">
        <v>1746</v>
      </c>
      <c r="B4" s="464"/>
      <c r="C4" s="465">
        <v>10129888</v>
      </c>
      <c r="D4" s="466">
        <v>1269997</v>
      </c>
      <c r="E4" s="466">
        <v>11418340</v>
      </c>
      <c r="F4" s="466">
        <v>1107399</v>
      </c>
      <c r="G4" s="466">
        <v>1989976</v>
      </c>
      <c r="H4" s="466">
        <v>94159</v>
      </c>
      <c r="I4" s="466">
        <v>16039519</v>
      </c>
      <c r="J4" s="467">
        <v>676056</v>
      </c>
      <c r="K4" s="466">
        <v>1250533</v>
      </c>
      <c r="L4" s="466">
        <v>1965254</v>
      </c>
      <c r="M4" s="468"/>
      <c r="N4" s="469"/>
    </row>
    <row r="5" spans="1:14" x14ac:dyDescent="0.2">
      <c r="A5" s="463" t="s">
        <v>1048</v>
      </c>
      <c r="B5" s="470">
        <v>120</v>
      </c>
      <c r="C5" s="465"/>
      <c r="D5" s="466"/>
      <c r="E5" s="466"/>
      <c r="F5" s="466"/>
      <c r="G5" s="466"/>
      <c r="H5" s="466"/>
      <c r="I5" s="466"/>
      <c r="J5" s="467"/>
      <c r="K5" s="471">
        <v>10902824</v>
      </c>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v>4636</v>
      </c>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8" t="s">
        <v>664</v>
      </c>
      <c r="B13" s="1731"/>
      <c r="C13" s="1759">
        <f>SUM(C4:C12)</f>
        <v>10134524</v>
      </c>
      <c r="D13" s="1759">
        <f t="shared" ref="D13:L13" si="0">SUM(D4:D12)</f>
        <v>1269997</v>
      </c>
      <c r="E13" s="1759">
        <f t="shared" si="0"/>
        <v>11418340</v>
      </c>
      <c r="F13" s="1759">
        <f t="shared" si="0"/>
        <v>1107399</v>
      </c>
      <c r="G13" s="1759">
        <f t="shared" si="0"/>
        <v>1989976</v>
      </c>
      <c r="H13" s="1759">
        <f t="shared" si="0"/>
        <v>94159</v>
      </c>
      <c r="I13" s="1759">
        <f t="shared" si="0"/>
        <v>16039519</v>
      </c>
      <c r="J13" s="1759">
        <f t="shared" si="0"/>
        <v>676056</v>
      </c>
      <c r="K13" s="1759">
        <f t="shared" si="0"/>
        <v>12153357</v>
      </c>
      <c r="L13" s="1759">
        <f t="shared" si="0"/>
        <v>1965254</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1464</v>
      </c>
      <c r="B15" s="483">
        <v>210</v>
      </c>
      <c r="C15" s="477"/>
      <c r="D15" s="477"/>
      <c r="E15" s="477"/>
      <c r="F15" s="477"/>
      <c r="G15" s="477"/>
      <c r="H15" s="477"/>
      <c r="I15" s="477"/>
      <c r="J15" s="477"/>
      <c r="K15" s="477"/>
      <c r="L15" s="477"/>
      <c r="M15" s="478"/>
      <c r="N15" s="484"/>
    </row>
    <row r="16" spans="1:14" s="485" customFormat="1" ht="12.75" customHeight="1" x14ac:dyDescent="0.2">
      <c r="A16" s="482" t="s">
        <v>1465</v>
      </c>
      <c r="B16" s="483">
        <v>220</v>
      </c>
      <c r="C16" s="477"/>
      <c r="D16" s="477"/>
      <c r="E16" s="477"/>
      <c r="F16" s="477"/>
      <c r="G16" s="477"/>
      <c r="H16" s="477"/>
      <c r="I16" s="477"/>
      <c r="J16" s="477"/>
      <c r="K16" s="477"/>
      <c r="L16" s="477"/>
      <c r="M16" s="467">
        <f>'Cap Outlay Deprec 26'!L5</f>
        <v>2960561</v>
      </c>
      <c r="N16" s="484"/>
    </row>
    <row r="17" spans="1:14" s="485" customFormat="1" ht="12.75" customHeight="1" x14ac:dyDescent="0.2">
      <c r="A17" s="482" t="s">
        <v>1466</v>
      </c>
      <c r="B17" s="483">
        <v>230</v>
      </c>
      <c r="C17" s="477"/>
      <c r="D17" s="477"/>
      <c r="E17" s="477"/>
      <c r="F17" s="477"/>
      <c r="G17" s="477"/>
      <c r="H17" s="477"/>
      <c r="I17" s="477"/>
      <c r="J17" s="477"/>
      <c r="K17" s="477"/>
      <c r="L17" s="477"/>
      <c r="M17" s="467">
        <f>'Cap Outlay Deprec 26'!L8</f>
        <v>137912805</v>
      </c>
      <c r="N17" s="484"/>
    </row>
    <row r="18" spans="1:14" s="485" customFormat="1" ht="12.75" customHeight="1" x14ac:dyDescent="0.2">
      <c r="A18" s="482" t="s">
        <v>1467</v>
      </c>
      <c r="B18" s="483">
        <v>240</v>
      </c>
      <c r="C18" s="477"/>
      <c r="D18" s="477"/>
      <c r="E18" s="477"/>
      <c r="F18" s="477"/>
      <c r="G18" s="477"/>
      <c r="H18" s="477"/>
      <c r="I18" s="477"/>
      <c r="J18" s="477"/>
      <c r="K18" s="477"/>
      <c r="L18" s="477"/>
      <c r="M18" s="467">
        <f>+'Cap Outlay Deprec 26'!L10</f>
        <v>37983539</v>
      </c>
      <c r="N18" s="484"/>
    </row>
    <row r="19" spans="1:14" s="485" customFormat="1" ht="12.75" customHeight="1" x14ac:dyDescent="0.2">
      <c r="A19" s="482" t="s">
        <v>1468</v>
      </c>
      <c r="B19" s="483">
        <v>250</v>
      </c>
      <c r="C19" s="477"/>
      <c r="D19" s="477"/>
      <c r="E19" s="477"/>
      <c r="F19" s="477"/>
      <c r="G19" s="477"/>
      <c r="H19" s="477"/>
      <c r="I19" s="477"/>
      <c r="J19" s="477"/>
      <c r="K19" s="477"/>
      <c r="L19" s="477"/>
      <c r="M19" s="467">
        <f>'Cap Outlay Deprec 26'!L12+'Cap Outlay Deprec 26'!L13</f>
        <v>11575353</v>
      </c>
      <c r="N19" s="484"/>
    </row>
    <row r="20" spans="1:14" s="485" customFormat="1" ht="12.75" customHeight="1" x14ac:dyDescent="0.2">
      <c r="A20" s="482" t="s">
        <v>1469</v>
      </c>
      <c r="B20" s="483">
        <v>260</v>
      </c>
      <c r="C20" s="477"/>
      <c r="D20" s="477"/>
      <c r="E20" s="477"/>
      <c r="F20" s="477"/>
      <c r="G20" s="477"/>
      <c r="H20" s="477"/>
      <c r="I20" s="477"/>
      <c r="J20" s="477"/>
      <c r="K20" s="477"/>
      <c r="L20" s="477"/>
      <c r="M20" s="467">
        <f>'Cap Outlay Deprec 26'!L15</f>
        <v>627679</v>
      </c>
      <c r="N20" s="484"/>
    </row>
    <row r="21" spans="1:14" s="485" customFormat="1" ht="12.75" customHeight="1" x14ac:dyDescent="0.2">
      <c r="A21" s="482" t="s">
        <v>1470</v>
      </c>
      <c r="B21" s="483">
        <v>340</v>
      </c>
      <c r="C21" s="477"/>
      <c r="D21" s="477"/>
      <c r="E21" s="477"/>
      <c r="F21" s="477"/>
      <c r="G21" s="477"/>
      <c r="H21" s="477"/>
      <c r="I21" s="477"/>
      <c r="J21" s="477"/>
      <c r="K21" s="477"/>
      <c r="L21" s="477"/>
      <c r="M21" s="486"/>
      <c r="N21" s="467">
        <f>E13</f>
        <v>11418340</v>
      </c>
    </row>
    <row r="22" spans="1:14" s="485" customFormat="1" ht="12.75" customHeight="1" x14ac:dyDescent="0.2">
      <c r="A22" s="482" t="s">
        <v>1471</v>
      </c>
      <c r="B22" s="483">
        <v>350</v>
      </c>
      <c r="C22" s="477"/>
      <c r="D22" s="477"/>
      <c r="E22" s="477"/>
      <c r="F22" s="477"/>
      <c r="G22" s="477"/>
      <c r="H22" s="477"/>
      <c r="I22" s="477"/>
      <c r="J22" s="477"/>
      <c r="K22" s="477"/>
      <c r="L22" s="477"/>
      <c r="M22" s="486"/>
      <c r="N22" s="487">
        <f>'Short-Term Long-Term Debt 24'!J49</f>
        <v>120107453</v>
      </c>
    </row>
    <row r="23" spans="1:14" ht="13.5" customHeight="1" thickBot="1" x14ac:dyDescent="0.25">
      <c r="A23" s="1758" t="s">
        <v>663</v>
      </c>
      <c r="B23" s="1763"/>
      <c r="C23" s="468"/>
      <c r="D23" s="468"/>
      <c r="E23" s="468"/>
      <c r="F23" s="468"/>
      <c r="G23" s="468"/>
      <c r="H23" s="468"/>
      <c r="I23" s="468"/>
      <c r="J23" s="468"/>
      <c r="K23" s="468"/>
      <c r="L23" s="468"/>
      <c r="M23" s="1710">
        <f>SUM(M15:M22)</f>
        <v>191059937</v>
      </c>
      <c r="N23" s="1710">
        <f>SUM(N21:N22)</f>
        <v>131525793</v>
      </c>
    </row>
    <row r="24" spans="1:14" ht="18" customHeight="1" thickTop="1" x14ac:dyDescent="0.2">
      <c r="A24" s="2132" t="s">
        <v>618</v>
      </c>
      <c r="B24" s="2133"/>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1779723</v>
      </c>
      <c r="M33" s="468"/>
      <c r="N33" s="469"/>
    </row>
    <row r="34" spans="1:14" ht="13.5" customHeight="1" thickBot="1" x14ac:dyDescent="0.25">
      <c r="A34" s="1760" t="s">
        <v>674</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1779723</v>
      </c>
      <c r="M34" s="468"/>
      <c r="N34" s="480"/>
    </row>
    <row r="35" spans="1:14" ht="18" customHeight="1" thickTop="1" x14ac:dyDescent="0.2">
      <c r="A35" s="2134" t="s">
        <v>549</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131525793</v>
      </c>
    </row>
    <row r="37" spans="1:14" ht="13.5" thickBot="1" x14ac:dyDescent="0.25">
      <c r="A37" s="1758" t="s">
        <v>673</v>
      </c>
      <c r="B37" s="1763"/>
      <c r="C37" s="477"/>
      <c r="D37" s="477"/>
      <c r="E37" s="477"/>
      <c r="F37" s="477"/>
      <c r="G37" s="477"/>
      <c r="H37" s="477"/>
      <c r="I37" s="477"/>
      <c r="J37" s="477"/>
      <c r="K37" s="477"/>
      <c r="L37" s="480"/>
      <c r="M37" s="468"/>
      <c r="N37" s="1710">
        <f>SUM(N36:N36)</f>
        <v>131525793</v>
      </c>
    </row>
    <row r="38" spans="1:14" s="329" customFormat="1" ht="13.5" customHeight="1" thickTop="1" x14ac:dyDescent="0.2">
      <c r="A38" s="496" t="s">
        <v>439</v>
      </c>
      <c r="B38" s="483">
        <v>714</v>
      </c>
      <c r="C38" s="466"/>
      <c r="D38" s="466"/>
      <c r="E38" s="466"/>
      <c r="F38" s="466"/>
      <c r="G38" s="466"/>
      <c r="H38" s="466"/>
      <c r="I38" s="466"/>
      <c r="J38" s="467">
        <f>+'Acct Summary 7-8'!J81</f>
        <v>676056</v>
      </c>
      <c r="K38" s="466"/>
      <c r="L38" s="481">
        <v>185531</v>
      </c>
      <c r="M38" s="497"/>
      <c r="N38" s="497"/>
    </row>
    <row r="39" spans="1:14" s="329" customFormat="1" ht="13.5" customHeight="1" x14ac:dyDescent="0.2">
      <c r="A39" s="496" t="s">
        <v>359</v>
      </c>
      <c r="B39" s="483">
        <v>730</v>
      </c>
      <c r="C39" s="466">
        <f>+'Acct Summary 7-8'!C81</f>
        <v>10134524</v>
      </c>
      <c r="D39" s="466">
        <f>+'Acct Summary 7-8'!D81</f>
        <v>1269997</v>
      </c>
      <c r="E39" s="466">
        <f>+'Acct Summary 7-8'!E81</f>
        <v>11418340</v>
      </c>
      <c r="F39" s="466">
        <f>+'Acct Summary 7-8'!F81</f>
        <v>1107399</v>
      </c>
      <c r="G39" s="466">
        <f>+'Acct Summary 7-8'!G81</f>
        <v>1989976</v>
      </c>
      <c r="H39" s="466">
        <f>+'Acct Summary 7-8'!H81</f>
        <v>94159</v>
      </c>
      <c r="I39" s="466">
        <f>+'Acct Summary 7-8'!I81</f>
        <v>16039519</v>
      </c>
      <c r="J39" s="467"/>
      <c r="K39" s="466">
        <f>+'Acct Summary 7-8'!K81</f>
        <v>12153357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191059937</v>
      </c>
      <c r="N40" s="497"/>
    </row>
    <row r="41" spans="1:14" ht="13.5" customHeight="1" thickBot="1" x14ac:dyDescent="0.25">
      <c r="A41" s="1758" t="s">
        <v>675</v>
      </c>
      <c r="B41" s="1728"/>
      <c r="C41" s="1710">
        <f>(SUM(C34,C37,C38,C39))</f>
        <v>10134524</v>
      </c>
      <c r="D41" s="1710">
        <f t="shared" ref="D41:L41" si="2">SUM(D34,D37,D38:D39)</f>
        <v>1269997</v>
      </c>
      <c r="E41" s="1710">
        <f t="shared" si="2"/>
        <v>11418340</v>
      </c>
      <c r="F41" s="1710">
        <f t="shared" si="2"/>
        <v>1107399</v>
      </c>
      <c r="G41" s="1710">
        <f t="shared" si="2"/>
        <v>1989976</v>
      </c>
      <c r="H41" s="1710">
        <f t="shared" si="2"/>
        <v>94159</v>
      </c>
      <c r="I41" s="1710">
        <f t="shared" si="2"/>
        <v>16039519</v>
      </c>
      <c r="J41" s="1710">
        <f t="shared" si="2"/>
        <v>676056</v>
      </c>
      <c r="K41" s="1710">
        <f t="shared" si="2"/>
        <v>12153357</v>
      </c>
      <c r="L41" s="1710">
        <f t="shared" si="2"/>
        <v>1965254</v>
      </c>
      <c r="M41" s="1710">
        <f>SUM(M40)</f>
        <v>191059937</v>
      </c>
      <c r="N41" s="1710">
        <f>SUM(N37)</f>
        <v>131525793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pane="bottomLeft"/>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1747</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5"/>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6" t="s">
        <v>1236</v>
      </c>
      <c r="B3" s="2157"/>
      <c r="C3" s="1595"/>
      <c r="D3" s="1596"/>
      <c r="E3" s="1596"/>
      <c r="F3" s="1596"/>
      <c r="G3" s="1596"/>
      <c r="H3" s="1596"/>
      <c r="I3" s="1596"/>
      <c r="J3" s="1596"/>
      <c r="K3" s="1597"/>
      <c r="L3" s="506"/>
    </row>
    <row r="4" spans="1:13" ht="15.75" customHeight="1" x14ac:dyDescent="0.2">
      <c r="A4" s="1954" t="s">
        <v>1575</v>
      </c>
      <c r="B4" s="1955">
        <v>1000</v>
      </c>
      <c r="C4" s="1764">
        <f>'Revenues 9-14'!C109</f>
        <v>68742499</v>
      </c>
      <c r="D4" s="1764">
        <f>'Revenues 9-14'!D109</f>
        <v>12658490</v>
      </c>
      <c r="E4" s="1764">
        <f>'Revenues 9-14'!E109</f>
        <v>21887598</v>
      </c>
      <c r="F4" s="1764">
        <f>'Revenues 9-14'!F109</f>
        <v>4423912</v>
      </c>
      <c r="G4" s="1764">
        <f>'Revenues 9-14'!G109</f>
        <v>4294813</v>
      </c>
      <c r="H4" s="1764">
        <f>'Revenues 9-14'!H109</f>
        <v>53</v>
      </c>
      <c r="I4" s="1764">
        <f>'Revenues 9-14'!I109</f>
        <v>1182345</v>
      </c>
      <c r="J4" s="1764">
        <f>'Revenues 9-14'!J109</f>
        <v>5305412</v>
      </c>
      <c r="K4" s="1764">
        <f>'Revenues 9-14'!K109</f>
        <v>1183338</v>
      </c>
      <c r="L4" s="347"/>
    </row>
    <row r="5" spans="1:13" ht="15.75" customHeight="1" x14ac:dyDescent="0.2">
      <c r="A5" s="1598" t="s">
        <v>1576</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1577</v>
      </c>
      <c r="B6" s="1600">
        <v>3000</v>
      </c>
      <c r="C6" s="1765">
        <f>'Revenues 9-14'!C173</f>
        <v>25990340</v>
      </c>
      <c r="D6" s="1765">
        <f>'Revenues 9-14'!D173</f>
        <v>216107</v>
      </c>
      <c r="E6" s="1765">
        <f>'Revenues 9-14'!E173</f>
        <v>0</v>
      </c>
      <c r="F6" s="1765">
        <f>'Revenues 9-14'!F173</f>
        <v>6684654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1578</v>
      </c>
      <c r="B7" s="1600">
        <v>4000</v>
      </c>
      <c r="C7" s="1765">
        <f>'Revenues 9-14'!C274</f>
        <v>8239572</v>
      </c>
      <c r="D7" s="1765">
        <f>'Revenues 9-14'!D274</f>
        <v>0</v>
      </c>
      <c r="E7" s="1765">
        <f>'Revenues 9-14'!E274</f>
        <v>0</v>
      </c>
      <c r="F7" s="1765">
        <f>'Revenues 9-14'!F274</f>
        <v>121621</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102972411</v>
      </c>
      <c r="D8" s="1710">
        <f t="shared" ref="D8:K8" si="0">SUM(D4:D7)</f>
        <v>12874597</v>
      </c>
      <c r="E8" s="1710">
        <f t="shared" si="0"/>
        <v>21887598</v>
      </c>
      <c r="F8" s="1710">
        <f t="shared" si="0"/>
        <v>11230187</v>
      </c>
      <c r="G8" s="1710">
        <f t="shared" si="0"/>
        <v>4294813</v>
      </c>
      <c r="H8" s="1710">
        <f t="shared" si="0"/>
        <v>53</v>
      </c>
      <c r="I8" s="1710">
        <f t="shared" si="0"/>
        <v>1182345</v>
      </c>
      <c r="J8" s="1710">
        <f t="shared" si="0"/>
        <v>5305412</v>
      </c>
      <c r="K8" s="1710">
        <f t="shared" si="0"/>
        <v>1183338</v>
      </c>
      <c r="L8" s="347"/>
    </row>
    <row r="9" spans="1:13" ht="15.75" thickTop="1" x14ac:dyDescent="0.2">
      <c r="A9" s="514" t="s">
        <v>1748</v>
      </c>
      <c r="B9" s="515">
        <v>3998</v>
      </c>
      <c r="C9" s="481">
        <v>46845828</v>
      </c>
      <c r="D9" s="516"/>
      <c r="E9" s="481"/>
      <c r="F9" s="481"/>
      <c r="G9" s="517"/>
      <c r="H9" s="481"/>
      <c r="I9" s="509" t="s">
        <v>1230</v>
      </c>
      <c r="J9" s="478"/>
      <c r="K9" s="481"/>
      <c r="L9" s="347"/>
    </row>
    <row r="10" spans="1:13" s="519" customFormat="1" ht="13.5" thickBot="1" x14ac:dyDescent="0.25">
      <c r="A10" s="1758" t="s">
        <v>1234</v>
      </c>
      <c r="B10" s="1731"/>
      <c r="C10" s="1710">
        <f>SUM(C8:C9)</f>
        <v>149818239</v>
      </c>
      <c r="D10" s="1710">
        <f t="shared" ref="D10:K10" si="1">SUM(D8:D9)</f>
        <v>12874597</v>
      </c>
      <c r="E10" s="1710">
        <f t="shared" si="1"/>
        <v>21887598</v>
      </c>
      <c r="F10" s="1710">
        <f t="shared" si="1"/>
        <v>11230187</v>
      </c>
      <c r="G10" s="1710">
        <f t="shared" si="1"/>
        <v>4294813</v>
      </c>
      <c r="H10" s="1710">
        <f t="shared" si="1"/>
        <v>53</v>
      </c>
      <c r="I10" s="1710">
        <f t="shared" si="1"/>
        <v>1182345</v>
      </c>
      <c r="J10" s="1710">
        <f t="shared" si="1"/>
        <v>5305412</v>
      </c>
      <c r="K10" s="1710">
        <f t="shared" si="1"/>
        <v>1183338</v>
      </c>
      <c r="L10" s="518"/>
    </row>
    <row r="11" spans="1:13" s="519" customFormat="1" ht="16.7" customHeight="1" thickTop="1" x14ac:dyDescent="0.2">
      <c r="A11" s="2130" t="s">
        <v>1237</v>
      </c>
      <c r="B11" s="2131"/>
      <c r="C11" s="1592"/>
      <c r="D11" s="1593"/>
      <c r="E11" s="1593"/>
      <c r="F11" s="1593"/>
      <c r="G11" s="1593"/>
      <c r="H11" s="1593"/>
      <c r="I11" s="1593"/>
      <c r="J11" s="1593"/>
      <c r="K11" s="1594"/>
      <c r="L11" s="518"/>
    </row>
    <row r="12" spans="1:13" ht="15.75" customHeight="1" x14ac:dyDescent="0.2">
      <c r="A12" s="1598" t="s">
        <v>475</v>
      </c>
      <c r="B12" s="1600">
        <v>1000</v>
      </c>
      <c r="C12" s="1764">
        <f>'Expenditures 15-22'!K33</f>
        <v>73679687</v>
      </c>
      <c r="D12" s="520" t="s">
        <v>1230</v>
      </c>
      <c r="E12" s="468" t="s">
        <v>1230</v>
      </c>
      <c r="F12" s="468" t="s">
        <v>1230</v>
      </c>
      <c r="G12" s="1764">
        <f>'Expenditures 15-22'!K229</f>
        <v>1833369</v>
      </c>
      <c r="H12" s="521"/>
      <c r="I12" s="468" t="s">
        <v>1230</v>
      </c>
      <c r="J12" s="468" t="s">
        <v>1230</v>
      </c>
      <c r="K12" s="521" t="s">
        <v>1230</v>
      </c>
      <c r="L12" s="347"/>
    </row>
    <row r="13" spans="1:13" ht="15.75" customHeight="1" x14ac:dyDescent="0.2">
      <c r="A13" s="1598" t="s">
        <v>476</v>
      </c>
      <c r="B13" s="1600">
        <v>2000</v>
      </c>
      <c r="C13" s="1765">
        <f>'Expenditures 15-22'!K74</f>
        <v>23276430</v>
      </c>
      <c r="D13" s="1765">
        <f>'Expenditures 15-22'!K129</f>
        <v>11902490</v>
      </c>
      <c r="E13" s="469" t="s">
        <v>1230</v>
      </c>
      <c r="F13" s="1765">
        <f>'Expenditures 15-22'!K184</f>
        <v>13364632</v>
      </c>
      <c r="G13" s="1765">
        <f>'Expenditures 15-22'!K279</f>
        <v>2201328</v>
      </c>
      <c r="H13" s="1765">
        <f>'Expenditures 15-22'!K303</f>
        <v>338063</v>
      </c>
      <c r="I13" s="468" t="s">
        <v>1230</v>
      </c>
      <c r="J13" s="1765">
        <f>'Expenditures 15-22'!K330</f>
        <v>5215463</v>
      </c>
      <c r="K13" s="1769">
        <f>'Expenditures 15-22'!K352</f>
        <v>5227708</v>
      </c>
      <c r="L13" s="347"/>
    </row>
    <row r="14" spans="1:13" ht="15.75" customHeight="1" x14ac:dyDescent="0.2">
      <c r="A14" s="1598" t="s">
        <v>468</v>
      </c>
      <c r="B14" s="1600">
        <v>3000</v>
      </c>
      <c r="C14" s="1765">
        <f>'Expenditures 15-22'!K75</f>
        <v>459354</v>
      </c>
      <c r="D14" s="1765">
        <f>'Expenditures 15-22'!K130</f>
        <v>0</v>
      </c>
      <c r="E14" s="520" t="s">
        <v>1230</v>
      </c>
      <c r="F14" s="1765">
        <f>'Expenditures 15-22'!K185</f>
        <v>0</v>
      </c>
      <c r="G14" s="1765">
        <f>'Expenditures 15-22'!K280</f>
        <v>27028</v>
      </c>
      <c r="H14" s="512"/>
      <c r="I14" s="468" t="s">
        <v>1230</v>
      </c>
      <c r="J14" s="468" t="s">
        <v>1230</v>
      </c>
      <c r="K14" s="512" t="s">
        <v>1230</v>
      </c>
      <c r="L14" s="347"/>
    </row>
    <row r="15" spans="1:13" ht="15.75" customHeight="1" x14ac:dyDescent="0.2">
      <c r="A15" s="1598" t="s">
        <v>109</v>
      </c>
      <c r="B15" s="1600">
        <v>4000</v>
      </c>
      <c r="C15" s="1765">
        <f>'Expenditures 15-22'!K102</f>
        <v>822872</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80371</v>
      </c>
      <c r="D16" s="1765">
        <f>'Expenditures 15-22'!K149</f>
        <v>0</v>
      </c>
      <c r="E16" s="1765">
        <f>'Expenditures 15-22'!K172</f>
        <v>24300976</v>
      </c>
      <c r="F16" s="1765">
        <f>'Expenditures 15-22'!K208</f>
        <v>0</v>
      </c>
      <c r="G16" s="1765">
        <f>'Expenditures 15-22'!K293</f>
        <v>0</v>
      </c>
      <c r="H16" s="523"/>
      <c r="I16" s="468" t="s">
        <v>1230</v>
      </c>
      <c r="J16" s="1770">
        <f>'Expenditures 15-22'!K340</f>
        <v>0</v>
      </c>
      <c r="K16" s="1765">
        <f>'Expenditures 15-22'!K365</f>
        <v>136281</v>
      </c>
      <c r="L16" s="347"/>
    </row>
    <row r="17" spans="1:12" ht="13.5" thickBot="1" x14ac:dyDescent="0.25">
      <c r="A17" s="1730" t="s">
        <v>50</v>
      </c>
      <c r="B17" s="1731"/>
      <c r="C17" s="1710">
        <f t="shared" ref="C17:H17" si="2">SUM(C12:C16)</f>
        <v>98318714</v>
      </c>
      <c r="D17" s="1710">
        <f t="shared" si="2"/>
        <v>11902490</v>
      </c>
      <c r="E17" s="1710">
        <f t="shared" si="2"/>
        <v>24300976</v>
      </c>
      <c r="F17" s="1710">
        <f t="shared" si="2"/>
        <v>13364632</v>
      </c>
      <c r="G17" s="1710">
        <f t="shared" si="2"/>
        <v>4061725</v>
      </c>
      <c r="H17" s="1710">
        <f t="shared" si="2"/>
        <v>338063</v>
      </c>
      <c r="I17" s="468"/>
      <c r="J17" s="1710">
        <f>SUM(J12:J16)</f>
        <v>5215463</v>
      </c>
      <c r="K17" s="1710">
        <f>SUM(K12:K16)</f>
        <v>5363989</v>
      </c>
      <c r="L17" s="347"/>
    </row>
    <row r="18" spans="1:12" ht="15" customHeight="1" thickTop="1" x14ac:dyDescent="0.2">
      <c r="A18" s="1766" t="s">
        <v>1749</v>
      </c>
      <c r="B18" s="1767">
        <v>4180</v>
      </c>
      <c r="C18" s="1764">
        <f t="shared" ref="C18:H18" si="3">C9</f>
        <v>46845828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145164542</v>
      </c>
      <c r="D19" s="1710">
        <f t="shared" si="4"/>
        <v>11902490</v>
      </c>
      <c r="E19" s="1710">
        <f t="shared" si="4"/>
        <v>24300976</v>
      </c>
      <c r="F19" s="1710">
        <f t="shared" si="4"/>
        <v>13364632</v>
      </c>
      <c r="G19" s="1710">
        <f t="shared" si="4"/>
        <v>4061725</v>
      </c>
      <c r="H19" s="1710">
        <f t="shared" si="4"/>
        <v>338063</v>
      </c>
      <c r="I19" s="468"/>
      <c r="J19" s="1710">
        <f>SUM(J17:J18)</f>
        <v>5215463</v>
      </c>
      <c r="K19" s="1710">
        <f>SUM(K17:K18)</f>
        <v>5363989</v>
      </c>
      <c r="L19" s="347"/>
    </row>
    <row r="20" spans="1:12" ht="16.5" thickTop="1" thickBot="1" x14ac:dyDescent="0.25">
      <c r="A20" s="2146" t="s">
        <v>1750</v>
      </c>
      <c r="B20" s="2147"/>
      <c r="C20" s="1768">
        <f>C8-C17</f>
        <v>4653697</v>
      </c>
      <c r="D20" s="1768">
        <f t="shared" ref="D20:K20" si="5">D8-D17</f>
        <v>972107</v>
      </c>
      <c r="E20" s="1768">
        <f t="shared" si="5"/>
        <v>-2413378</v>
      </c>
      <c r="F20" s="1768">
        <f t="shared" si="5"/>
        <v>-2134445</v>
      </c>
      <c r="G20" s="1768">
        <f t="shared" si="5"/>
        <v>233088</v>
      </c>
      <c r="H20" s="1768">
        <f t="shared" si="5"/>
        <v>-338010</v>
      </c>
      <c r="I20" s="1768">
        <f t="shared" si="5"/>
        <v>1182345</v>
      </c>
      <c r="J20" s="1768">
        <f t="shared" si="5"/>
        <v>89949</v>
      </c>
      <c r="K20" s="1768">
        <f t="shared" si="5"/>
        <v>-4180651</v>
      </c>
      <c r="L20" s="347"/>
    </row>
    <row r="21" spans="1:12" ht="16.7" customHeight="1" thickTop="1" x14ac:dyDescent="0.2">
      <c r="A21" s="2158" t="s">
        <v>615</v>
      </c>
      <c r="B21" s="2159"/>
      <c r="C21" s="1592"/>
      <c r="D21" s="1593"/>
      <c r="E21" s="1593"/>
      <c r="F21" s="1593"/>
      <c r="G21" s="1593"/>
      <c r="H21" s="1593"/>
      <c r="I21" s="1593"/>
      <c r="J21" s="1593"/>
      <c r="K21" s="1594"/>
      <c r="L21" s="524"/>
    </row>
    <row r="22" spans="1:12" ht="15.75" customHeight="1" collapsed="1" x14ac:dyDescent="0.2">
      <c r="A22" s="2154" t="s">
        <v>616</v>
      </c>
      <c r="B22" s="2155"/>
      <c r="C22" s="477"/>
      <c r="D22" s="477"/>
      <c r="E22" s="477"/>
      <c r="F22" s="477"/>
      <c r="G22" s="477"/>
      <c r="H22" s="477"/>
      <c r="I22" s="477"/>
      <c r="J22" s="477"/>
      <c r="K22" s="477"/>
      <c r="L22" s="347"/>
    </row>
    <row r="23" spans="1:12" s="485" customFormat="1" ht="15.75" customHeight="1" x14ac:dyDescent="0.2">
      <c r="A23" s="2150" t="s">
        <v>310</v>
      </c>
      <c r="B23" s="2151"/>
      <c r="C23" s="480"/>
      <c r="D23" s="477"/>
      <c r="E23" s="477"/>
      <c r="F23" s="477"/>
      <c r="G23" s="477"/>
      <c r="H23" s="477"/>
      <c r="I23" s="477"/>
      <c r="J23" s="477"/>
      <c r="K23" s="477"/>
      <c r="L23" s="524"/>
    </row>
    <row r="24" spans="1:12" s="485" customFormat="1" ht="13.5" customHeight="1" x14ac:dyDescent="0.2">
      <c r="A24" s="1511" t="s">
        <v>1751</v>
      </c>
      <c r="B24" s="525">
        <v>7110</v>
      </c>
      <c r="C24" s="467"/>
      <c r="D24" s="477"/>
      <c r="E24" s="477"/>
      <c r="F24" s="477"/>
      <c r="G24" s="477"/>
      <c r="H24" s="477"/>
      <c r="I24" s="477"/>
      <c r="J24" s="477"/>
      <c r="K24" s="477"/>
      <c r="L24" s="524"/>
    </row>
    <row r="25" spans="1:12" s="485" customFormat="1" ht="13.5" customHeight="1" x14ac:dyDescent="0.2">
      <c r="A25" s="1511" t="s">
        <v>1752</v>
      </c>
      <c r="B25" s="525">
        <v>7110</v>
      </c>
      <c r="C25" s="467"/>
      <c r="D25" s="467"/>
      <c r="E25" s="467"/>
      <c r="F25" s="467">
        <v>3500000</v>
      </c>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1461</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1890</v>
      </c>
      <c r="B30" s="527">
        <v>7160</v>
      </c>
      <c r="C30" s="477"/>
      <c r="D30" s="467"/>
      <c r="E30" s="477"/>
      <c r="F30" s="477"/>
      <c r="G30" s="477"/>
      <c r="H30" s="477"/>
      <c r="I30" s="477"/>
      <c r="J30" s="477"/>
      <c r="K30" s="477"/>
      <c r="L30" s="524"/>
    </row>
    <row r="31" spans="1:12" s="485" customFormat="1" ht="26.25" x14ac:dyDescent="0.2">
      <c r="A31" s="1511" t="s">
        <v>1894</v>
      </c>
      <c r="B31" s="527">
        <v>7170</v>
      </c>
      <c r="C31" s="477"/>
      <c r="D31" s="477"/>
      <c r="E31" s="474"/>
      <c r="F31" s="477"/>
      <c r="G31" s="477"/>
      <c r="H31" s="477"/>
      <c r="I31" s="477"/>
      <c r="J31" s="477"/>
      <c r="K31" s="477"/>
      <c r="L31" s="524"/>
    </row>
    <row r="32" spans="1:12" s="485" customFormat="1" ht="15.75" customHeight="1" x14ac:dyDescent="0.2">
      <c r="A32" s="2152" t="s">
        <v>1037</v>
      </c>
      <c r="B32" s="2153"/>
      <c r="C32" s="477"/>
      <c r="D32" s="477"/>
      <c r="E32" s="475"/>
      <c r="F32" s="477"/>
      <c r="G32" s="477"/>
      <c r="H32" s="477"/>
      <c r="I32" s="477"/>
      <c r="J32" s="477"/>
      <c r="K32" s="477"/>
      <c r="L32" s="524"/>
    </row>
    <row r="33" spans="1:12" s="485" customFormat="1" x14ac:dyDescent="0.2">
      <c r="A33" s="1511" t="s">
        <v>431</v>
      </c>
      <c r="B33" s="525">
        <v>7210</v>
      </c>
      <c r="C33" s="467"/>
      <c r="D33" s="467"/>
      <c r="E33" s="467"/>
      <c r="F33" s="467"/>
      <c r="G33" s="477"/>
      <c r="H33" s="467"/>
      <c r="I33" s="467">
        <v>3500000</v>
      </c>
      <c r="J33" s="467"/>
      <c r="K33" s="467">
        <v>8930000</v>
      </c>
      <c r="L33" s="524"/>
    </row>
    <row r="34" spans="1:12" s="485" customFormat="1" x14ac:dyDescent="0.2">
      <c r="A34" s="1511" t="s">
        <v>1057</v>
      </c>
      <c r="B34" s="525">
        <v>7220</v>
      </c>
      <c r="C34" s="467"/>
      <c r="D34" s="467"/>
      <c r="E34" s="467"/>
      <c r="F34" s="467"/>
      <c r="G34" s="477"/>
      <c r="H34" s="478"/>
      <c r="I34" s="478"/>
      <c r="J34" s="478"/>
      <c r="K34" s="478">
        <v>1208092</v>
      </c>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1753</v>
      </c>
      <c r="B36" s="525">
        <v>7300</v>
      </c>
      <c r="C36" s="467">
        <v>1300</v>
      </c>
      <c r="D36" s="467">
        <v>1800</v>
      </c>
      <c r="E36" s="467"/>
      <c r="F36" s="467">
        <v>500</v>
      </c>
      <c r="G36" s="467"/>
      <c r="H36" s="467"/>
      <c r="I36" s="475"/>
      <c r="J36" s="467"/>
      <c r="K36" s="467"/>
      <c r="L36" s="524"/>
    </row>
    <row r="37" spans="1:12" s="485" customFormat="1" x14ac:dyDescent="0.2">
      <c r="A37" s="1511" t="s">
        <v>460</v>
      </c>
      <c r="B37" s="525">
        <v>7400</v>
      </c>
      <c r="C37" s="475"/>
      <c r="D37" s="475"/>
      <c r="E37" s="1765">
        <f>SUM(C54:D57,H54:H57)</f>
        <v>2445480</v>
      </c>
      <c r="F37" s="475"/>
      <c r="G37" s="475"/>
      <c r="H37" s="475"/>
      <c r="I37" s="477"/>
      <c r="J37" s="475"/>
      <c r="K37" s="475"/>
      <c r="L37" s="524"/>
    </row>
    <row r="38" spans="1:12" s="485" customFormat="1" x14ac:dyDescent="0.2">
      <c r="A38" s="1511" t="s">
        <v>461</v>
      </c>
      <c r="B38" s="525">
        <v>7500</v>
      </c>
      <c r="C38" s="477"/>
      <c r="D38" s="477"/>
      <c r="E38" s="1765">
        <f>SUM(C58:D61,H58:H61)</f>
        <v>143501</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v>623863</v>
      </c>
      <c r="D43" s="467"/>
      <c r="E43" s="467"/>
      <c r="F43" s="467">
        <v>58989</v>
      </c>
      <c r="G43" s="467"/>
      <c r="H43" s="467"/>
      <c r="I43" s="467"/>
      <c r="J43" s="467"/>
      <c r="K43" s="467"/>
      <c r="L43" s="524"/>
    </row>
    <row r="44" spans="1:12" s="485" customFormat="1" ht="13.5" customHeight="1" thickBot="1" x14ac:dyDescent="0.25">
      <c r="A44" s="2160" t="s">
        <v>391</v>
      </c>
      <c r="B44" s="2161"/>
      <c r="C44" s="1725">
        <f>SUM(C24:C43)</f>
        <v>625163</v>
      </c>
      <c r="D44" s="1725">
        <f t="shared" ref="D44:K44" si="6">SUM(D24:D43)</f>
        <v>1800</v>
      </c>
      <c r="E44" s="1725">
        <f t="shared" si="6"/>
        <v>2588981</v>
      </c>
      <c r="F44" s="1725">
        <f t="shared" si="6"/>
        <v>3559489</v>
      </c>
      <c r="G44" s="1725">
        <f t="shared" si="6"/>
        <v>0</v>
      </c>
      <c r="H44" s="1725">
        <f t="shared" si="6"/>
        <v>0</v>
      </c>
      <c r="I44" s="1725">
        <f t="shared" si="6"/>
        <v>3500000</v>
      </c>
      <c r="J44" s="1725">
        <f t="shared" si="6"/>
        <v>0</v>
      </c>
      <c r="K44" s="1725">
        <f t="shared" si="6"/>
        <v>10138092</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1754</v>
      </c>
      <c r="B47" s="483">
        <v>8110</v>
      </c>
      <c r="C47" s="477"/>
      <c r="D47" s="477"/>
      <c r="E47" s="477"/>
      <c r="F47" s="477"/>
      <c r="G47" s="477"/>
      <c r="H47" s="477"/>
      <c r="I47" s="1765">
        <f>SUM(C24,C25:H25,J25:K25)</f>
        <v>3500000</v>
      </c>
      <c r="J47" s="477"/>
      <c r="K47" s="477"/>
      <c r="L47" s="529"/>
    </row>
    <row r="48" spans="1:12" s="485" customFormat="1" ht="15" x14ac:dyDescent="0.2">
      <c r="A48" s="1512" t="s">
        <v>1755</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1461</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1893</v>
      </c>
      <c r="B52" s="483">
        <v>8160</v>
      </c>
      <c r="C52" s="477"/>
      <c r="D52" s="477"/>
      <c r="E52" s="477"/>
      <c r="F52" s="477"/>
      <c r="G52" s="477"/>
      <c r="H52" s="477"/>
      <c r="I52" s="477"/>
      <c r="J52" s="477"/>
      <c r="K52" s="1765">
        <f>D30</f>
        <v>0</v>
      </c>
      <c r="L52" s="524"/>
    </row>
    <row r="53" spans="1:12" s="485" customFormat="1" ht="26.25" x14ac:dyDescent="0.2">
      <c r="A53" s="1512" t="s">
        <v>1892</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f>1613674+277</f>
        <v>1613951</v>
      </c>
      <c r="D54" s="530">
        <v>831529</v>
      </c>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f>77077-277</f>
        <v>76800</v>
      </c>
      <c r="D58" s="531">
        <v>66701</v>
      </c>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c r="F75" s="532"/>
      <c r="G75" s="532"/>
      <c r="H75" s="532"/>
      <c r="I75" s="530">
        <v>32136</v>
      </c>
      <c r="J75" s="530"/>
      <c r="K75" s="532"/>
      <c r="L75" s="524"/>
    </row>
    <row r="76" spans="1:12" s="485" customFormat="1" ht="14.25" thickTop="1" thickBot="1" x14ac:dyDescent="0.25">
      <c r="A76" s="2136" t="s">
        <v>459</v>
      </c>
      <c r="B76" s="2137"/>
      <c r="C76" s="1725">
        <f t="shared" ref="C76:K76" si="7">SUM(C47:C75)</f>
        <v>1690751</v>
      </c>
      <c r="D76" s="1725">
        <f t="shared" si="7"/>
        <v>898230</v>
      </c>
      <c r="E76" s="1725">
        <f t="shared" si="7"/>
        <v>0</v>
      </c>
      <c r="F76" s="1725">
        <f t="shared" si="7"/>
        <v>0</v>
      </c>
      <c r="G76" s="1725">
        <f t="shared" si="7"/>
        <v>0</v>
      </c>
      <c r="H76" s="1725">
        <f t="shared" si="7"/>
        <v>0</v>
      </c>
      <c r="I76" s="1725">
        <f t="shared" si="7"/>
        <v>3532136</v>
      </c>
      <c r="J76" s="1725">
        <f t="shared" si="7"/>
        <v>0</v>
      </c>
      <c r="K76" s="1725">
        <f t="shared" si="7"/>
        <v>0</v>
      </c>
      <c r="L76" s="524"/>
    </row>
    <row r="77" spans="1:12" ht="14.25" thickTop="1" thickBot="1" x14ac:dyDescent="0.25">
      <c r="A77" s="2138" t="s">
        <v>1238</v>
      </c>
      <c r="B77" s="2139"/>
      <c r="C77" s="1725">
        <f t="shared" ref="C77:K77" si="8">C44-C76</f>
        <v>-1065588</v>
      </c>
      <c r="D77" s="1725">
        <f t="shared" si="8"/>
        <v>-896430</v>
      </c>
      <c r="E77" s="1725">
        <f t="shared" si="8"/>
        <v>2588981</v>
      </c>
      <c r="F77" s="1725">
        <f t="shared" si="8"/>
        <v>3559489</v>
      </c>
      <c r="G77" s="1725">
        <f t="shared" si="8"/>
        <v>0</v>
      </c>
      <c r="H77" s="1725">
        <f t="shared" si="8"/>
        <v>0</v>
      </c>
      <c r="I77" s="1725">
        <f t="shared" si="8"/>
        <v>-32136</v>
      </c>
      <c r="J77" s="1725">
        <f t="shared" si="8"/>
        <v>0</v>
      </c>
      <c r="K77" s="1725">
        <f t="shared" si="8"/>
        <v>10138092</v>
      </c>
      <c r="L77" s="347"/>
    </row>
    <row r="78" spans="1:12" ht="21.75" customHeight="1" thickTop="1" thickBot="1" x14ac:dyDescent="0.25">
      <c r="A78" s="2142" t="s">
        <v>617</v>
      </c>
      <c r="B78" s="2143"/>
      <c r="C78" s="1724">
        <f t="shared" ref="C78:K78" si="9">C20+C77</f>
        <v>3588109</v>
      </c>
      <c r="D78" s="1724">
        <f t="shared" si="9"/>
        <v>75677</v>
      </c>
      <c r="E78" s="1724">
        <f t="shared" si="9"/>
        <v>175603</v>
      </c>
      <c r="F78" s="1724">
        <f t="shared" si="9"/>
        <v>1425044</v>
      </c>
      <c r="G78" s="1724">
        <f t="shared" si="9"/>
        <v>233088</v>
      </c>
      <c r="H78" s="1724">
        <f t="shared" si="9"/>
        <v>-338010</v>
      </c>
      <c r="I78" s="1724">
        <f t="shared" si="9"/>
        <v>1150209</v>
      </c>
      <c r="J78" s="1724">
        <f t="shared" si="9"/>
        <v>89949</v>
      </c>
      <c r="K78" s="1724">
        <f t="shared" si="9"/>
        <v>5957441</v>
      </c>
      <c r="L78" s="533"/>
    </row>
    <row r="79" spans="1:12" ht="13.5" thickTop="1" x14ac:dyDescent="0.2">
      <c r="A79" s="1516" t="s">
        <v>2065</v>
      </c>
      <c r="B79" s="534"/>
      <c r="C79" s="478">
        <v>6546415</v>
      </c>
      <c r="D79" s="535">
        <v>1194320</v>
      </c>
      <c r="E79" s="535">
        <v>11242737</v>
      </c>
      <c r="F79" s="535">
        <v>-317645</v>
      </c>
      <c r="G79" s="535">
        <v>1756888</v>
      </c>
      <c r="H79" s="535">
        <v>432169</v>
      </c>
      <c r="I79" s="535">
        <v>14889310</v>
      </c>
      <c r="J79" s="535">
        <v>586107</v>
      </c>
      <c r="K79" s="535">
        <v>6195916</v>
      </c>
      <c r="L79" s="347"/>
    </row>
    <row r="80" spans="1:12" x14ac:dyDescent="0.2">
      <c r="A80" s="2148" t="s">
        <v>1891</v>
      </c>
      <c r="B80" s="2149"/>
      <c r="C80" s="467"/>
      <c r="D80" s="467"/>
      <c r="E80" s="467"/>
      <c r="F80" s="467"/>
      <c r="G80" s="467"/>
      <c r="H80" s="467"/>
      <c r="I80" s="467"/>
      <c r="J80" s="467"/>
      <c r="K80" s="467"/>
      <c r="L80" s="347"/>
    </row>
    <row r="81" spans="1:12" ht="13.5" thickBot="1" x14ac:dyDescent="0.25">
      <c r="A81" s="2140" t="s">
        <v>2066</v>
      </c>
      <c r="B81" s="2141"/>
      <c r="C81" s="1710">
        <f>(SUM(C78:C80))</f>
        <v>10134524</v>
      </c>
      <c r="D81" s="1710">
        <f>SUM(D78:D80)</f>
        <v>1269997</v>
      </c>
      <c r="E81" s="1710">
        <f t="shared" ref="E81:K81" si="10">SUM(E78:E80)</f>
        <v>11418340</v>
      </c>
      <c r="F81" s="1710">
        <f t="shared" si="10"/>
        <v>1107399</v>
      </c>
      <c r="G81" s="1710">
        <f t="shared" si="10"/>
        <v>1989976</v>
      </c>
      <c r="H81" s="1710">
        <f t="shared" si="10"/>
        <v>94159</v>
      </c>
      <c r="I81" s="1710">
        <f t="shared" si="10"/>
        <v>16039519</v>
      </c>
      <c r="J81" s="1710">
        <f t="shared" si="10"/>
        <v>676056</v>
      </c>
      <c r="K81" s="1710">
        <f t="shared" si="10"/>
        <v>12153357</v>
      </c>
      <c r="L81" s="347"/>
    </row>
    <row r="82" spans="1:12" ht="0.75" customHeight="1" thickTop="1" thickBot="1" x14ac:dyDescent="0.25">
      <c r="A82" s="536" t="s">
        <v>360</v>
      </c>
      <c r="B82" s="537"/>
      <c r="C82" s="538">
        <f>(C81-C79)</f>
        <v>3588109</v>
      </c>
      <c r="D82" s="538">
        <f t="shared" ref="D82:K82" si="11">(D81-D79)</f>
        <v>75677</v>
      </c>
      <c r="E82" s="538">
        <f t="shared" si="11"/>
        <v>175603</v>
      </c>
      <c r="F82" s="538">
        <f t="shared" si="11"/>
        <v>1425044</v>
      </c>
      <c r="G82" s="538">
        <f t="shared" si="11"/>
        <v>233088</v>
      </c>
      <c r="H82" s="538">
        <f t="shared" si="11"/>
        <v>-338010</v>
      </c>
      <c r="I82" s="538">
        <f t="shared" si="11"/>
        <v>1150209</v>
      </c>
      <c r="J82" s="538">
        <f t="shared" si="11"/>
        <v>89949</v>
      </c>
      <c r="K82" s="538">
        <f t="shared" si="11"/>
        <v>5957441</v>
      </c>
    </row>
    <row r="83" spans="1:12" ht="14.25" hidden="1" thickTop="1" thickBot="1" x14ac:dyDescent="0.25">
      <c r="A83" s="539" t="s">
        <v>361</v>
      </c>
      <c r="B83" s="464"/>
      <c r="C83" s="540">
        <f>C82/C81</f>
        <v>0.35404810329523123</v>
      </c>
      <c r="D83" s="540">
        <f t="shared" ref="D83:K83" si="12">D82/D81</f>
        <v>5.9588329736211976E-2</v>
      </c>
      <c r="E83" s="540">
        <f t="shared" si="12"/>
        <v>1.537903057712417E-2</v>
      </c>
      <c r="F83" s="540">
        <f t="shared" si="12"/>
        <v>1.2868387997460717</v>
      </c>
      <c r="G83" s="540">
        <f t="shared" si="12"/>
        <v>0.11713106087711611</v>
      </c>
      <c r="H83" s="540">
        <f t="shared" si="12"/>
        <v>-3.5897789908558928</v>
      </c>
      <c r="I83" s="540">
        <f t="shared" si="12"/>
        <v>7.1710940957768129E-2</v>
      </c>
      <c r="J83" s="540">
        <f t="shared" si="12"/>
        <v>0.13304962902481451</v>
      </c>
      <c r="K83" s="540">
        <f t="shared" si="12"/>
        <v>0.49018892475552228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L286"/>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1898</v>
      </c>
      <c r="B1" s="452"/>
      <c r="C1" s="453" t="s">
        <v>444</v>
      </c>
      <c r="D1" s="453" t="s">
        <v>445</v>
      </c>
      <c r="E1" s="453" t="s">
        <v>446</v>
      </c>
      <c r="F1" s="453" t="s">
        <v>447</v>
      </c>
      <c r="G1" s="453" t="s">
        <v>448</v>
      </c>
      <c r="H1" s="453" t="s">
        <v>449</v>
      </c>
      <c r="I1" s="453" t="s">
        <v>450</v>
      </c>
      <c r="J1" s="453" t="s">
        <v>451</v>
      </c>
      <c r="K1" s="453" t="s">
        <v>779</v>
      </c>
    </row>
    <row r="2" spans="1:12" ht="36" x14ac:dyDescent="0.2">
      <c r="A2" s="2145"/>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1756</v>
      </c>
      <c r="B5" s="547"/>
      <c r="C5" s="481">
        <v>59934058</v>
      </c>
      <c r="D5" s="481">
        <v>11017285</v>
      </c>
      <c r="E5" s="466">
        <v>21794186</v>
      </c>
      <c r="F5" s="548">
        <v>4406913</v>
      </c>
      <c r="G5" s="466">
        <v>1912008</v>
      </c>
      <c r="H5" s="466"/>
      <c r="I5" s="466">
        <v>1101727</v>
      </c>
      <c r="J5" s="467">
        <v>5282171</v>
      </c>
      <c r="K5" s="466">
        <v>1101726</v>
      </c>
    </row>
    <row r="6" spans="1:12" ht="15" x14ac:dyDescent="0.2">
      <c r="A6" s="463" t="s">
        <v>1757</v>
      </c>
      <c r="B6" s="470">
        <v>1130</v>
      </c>
      <c r="C6" s="466">
        <v>407639</v>
      </c>
      <c r="D6" s="466">
        <v>694088</v>
      </c>
      <c r="E6" s="475"/>
      <c r="F6" s="475"/>
      <c r="G6" s="468"/>
      <c r="H6" s="468"/>
      <c r="I6" s="468"/>
      <c r="J6" s="468"/>
      <c r="K6" s="468"/>
    </row>
    <row r="7" spans="1:12" x14ac:dyDescent="0.2">
      <c r="A7" s="463" t="s">
        <v>112</v>
      </c>
      <c r="B7" s="549">
        <v>1140</v>
      </c>
      <c r="C7" s="466">
        <v>881427</v>
      </c>
      <c r="D7" s="466"/>
      <c r="E7" s="468"/>
      <c r="F7" s="467"/>
      <c r="G7" s="467"/>
      <c r="H7" s="467"/>
      <c r="I7" s="468"/>
      <c r="J7" s="468"/>
      <c r="K7" s="468"/>
    </row>
    <row r="8" spans="1:12" x14ac:dyDescent="0.2">
      <c r="A8" s="463" t="s">
        <v>432</v>
      </c>
      <c r="B8" s="470">
        <v>1150</v>
      </c>
      <c r="C8" s="475"/>
      <c r="D8" s="475"/>
      <c r="E8" s="477"/>
      <c r="F8" s="477"/>
      <c r="G8" s="481">
        <v>2209419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61223124</v>
      </c>
      <c r="D12" s="1729">
        <f t="shared" si="0"/>
        <v>11711373</v>
      </c>
      <c r="E12" s="1729">
        <f t="shared" si="0"/>
        <v>21794186</v>
      </c>
      <c r="F12" s="1729">
        <f t="shared" si="0"/>
        <v>4406913</v>
      </c>
      <c r="G12" s="1729">
        <f t="shared" si="0"/>
        <v>4121427</v>
      </c>
      <c r="H12" s="1729">
        <f t="shared" si="0"/>
        <v>0</v>
      </c>
      <c r="I12" s="1729">
        <f t="shared" si="0"/>
        <v>1101727</v>
      </c>
      <c r="J12" s="1729">
        <f t="shared" si="0"/>
        <v>5282171</v>
      </c>
      <c r="K12" s="1710">
        <f t="shared" si="0"/>
        <v>1101726</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v>66268</v>
      </c>
      <c r="D14" s="466">
        <v>12677</v>
      </c>
      <c r="E14" s="466">
        <v>23683</v>
      </c>
      <c r="F14" s="466">
        <v>4770</v>
      </c>
      <c r="G14" s="466">
        <f>2400+1964</f>
        <v>4364</v>
      </c>
      <c r="H14" s="466"/>
      <c r="I14" s="466">
        <v>1193</v>
      </c>
      <c r="J14" s="467">
        <v>5455</v>
      </c>
      <c r="K14" s="466">
        <v>1193</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1758</v>
      </c>
      <c r="B16" s="549">
        <v>1230</v>
      </c>
      <c r="C16" s="551">
        <v>1517638</v>
      </c>
      <c r="D16" s="466"/>
      <c r="E16" s="466"/>
      <c r="F16" s="466"/>
      <c r="G16" s="466">
        <v>151931</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1583906</v>
      </c>
      <c r="D18" s="1732">
        <f t="shared" ref="D18:K18" si="1">SUM(D14:D17)</f>
        <v>12677</v>
      </c>
      <c r="E18" s="1732">
        <f t="shared" si="1"/>
        <v>23683</v>
      </c>
      <c r="F18" s="1732">
        <f t="shared" si="1"/>
        <v>4770</v>
      </c>
      <c r="G18" s="1732">
        <f t="shared" si="1"/>
        <v>156295</v>
      </c>
      <c r="H18" s="1732">
        <f t="shared" si="1"/>
        <v>0</v>
      </c>
      <c r="I18" s="1732">
        <f t="shared" si="1"/>
        <v>1193</v>
      </c>
      <c r="J18" s="1732">
        <f t="shared" si="1"/>
        <v>5455</v>
      </c>
      <c r="K18" s="1733">
        <f t="shared" si="1"/>
        <v>1193</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v>117940</v>
      </c>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117940</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v>1150</v>
      </c>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1150</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60659</v>
      </c>
      <c r="D65" s="466">
        <v>12259</v>
      </c>
      <c r="E65" s="466">
        <v>69729</v>
      </c>
      <c r="F65" s="467">
        <v>7390</v>
      </c>
      <c r="G65" s="466">
        <f>8056+9035</f>
        <v>17091</v>
      </c>
      <c r="H65" s="466">
        <v>53</v>
      </c>
      <c r="I65" s="466">
        <v>79425</v>
      </c>
      <c r="J65" s="467">
        <v>5693</v>
      </c>
      <c r="K65" s="466">
        <v>80419</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60659</v>
      </c>
      <c r="D67" s="1710">
        <f t="shared" ref="D67:K67" si="2">SUM(D65:D66)</f>
        <v>12259</v>
      </c>
      <c r="E67" s="1710">
        <f t="shared" si="2"/>
        <v>69729</v>
      </c>
      <c r="F67" s="1710">
        <f t="shared" si="2"/>
        <v>7390</v>
      </c>
      <c r="G67" s="1710">
        <f t="shared" si="2"/>
        <v>17091</v>
      </c>
      <c r="H67" s="1710">
        <f t="shared" si="2"/>
        <v>53</v>
      </c>
      <c r="I67" s="1710">
        <f t="shared" si="2"/>
        <v>79425</v>
      </c>
      <c r="J67" s="1710">
        <f t="shared" si="2"/>
        <v>5693</v>
      </c>
      <c r="K67" s="1710">
        <f t="shared" si="2"/>
        <v>80419</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v>3115740</v>
      </c>
      <c r="D72" s="468"/>
      <c r="E72" s="468"/>
      <c r="F72" s="468"/>
      <c r="G72" s="468"/>
      <c r="H72" s="468"/>
      <c r="I72" s="468"/>
      <c r="J72" s="468"/>
      <c r="K72" s="468"/>
    </row>
    <row r="73" spans="1:11" ht="12.75" customHeight="1" x14ac:dyDescent="0.2">
      <c r="A73" s="463" t="s">
        <v>1054</v>
      </c>
      <c r="B73" s="470">
        <v>1620</v>
      </c>
      <c r="C73" s="551"/>
      <c r="D73" s="468"/>
      <c r="E73" s="468"/>
      <c r="F73" s="468"/>
      <c r="G73" s="468"/>
      <c r="H73" s="468"/>
      <c r="I73" s="468"/>
      <c r="J73" s="468"/>
      <c r="K73" s="468"/>
    </row>
    <row r="74" spans="1:11" ht="12.75" customHeight="1" x14ac:dyDescent="0.2">
      <c r="A74" s="463" t="s">
        <v>25</v>
      </c>
      <c r="B74" s="470">
        <v>1690</v>
      </c>
      <c r="C74" s="551">
        <v>77115</v>
      </c>
      <c r="D74" s="468"/>
      <c r="E74" s="468"/>
      <c r="F74" s="468"/>
      <c r="G74" s="468"/>
      <c r="H74" s="468"/>
      <c r="I74" s="468"/>
      <c r="J74" s="468"/>
      <c r="K74" s="468"/>
    </row>
    <row r="75" spans="1:11" ht="12.75" customHeight="1" thickBot="1" x14ac:dyDescent="0.25">
      <c r="A75" s="1730" t="s">
        <v>568</v>
      </c>
      <c r="B75" s="1731"/>
      <c r="C75" s="1710">
        <f>SUM(C69:C74)</f>
        <v>3192855</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f>86735+35450-1</f>
        <v>122184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849660</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971844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1095307</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v>31</v>
      </c>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v>884</v>
      </c>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30" t="s">
        <v>261</v>
      </c>
      <c r="B93" s="1731"/>
      <c r="C93" s="1710">
        <f>SUM(C84:C92)</f>
        <v>1096222</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v>164245</v>
      </c>
      <c r="E95" s="521"/>
      <c r="F95" s="521"/>
      <c r="G95" s="521"/>
      <c r="H95" s="521"/>
      <c r="I95" s="521"/>
      <c r="J95" s="521"/>
      <c r="K95" s="521"/>
    </row>
    <row r="96" spans="1:11" ht="12.75" customHeight="1" x14ac:dyDescent="0.2">
      <c r="A96" s="463" t="s">
        <v>408</v>
      </c>
      <c r="B96" s="470">
        <v>1920</v>
      </c>
      <c r="C96" s="551">
        <v>193360</v>
      </c>
      <c r="D96" s="551">
        <v>198310</v>
      </c>
      <c r="E96" s="479"/>
      <c r="F96" s="478">
        <v>1200</v>
      </c>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11821</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88004</v>
      </c>
      <c r="D101" s="526"/>
      <c r="E101" s="480"/>
      <c r="F101" s="526"/>
      <c r="G101" s="475"/>
      <c r="H101" s="526"/>
      <c r="I101" s="468"/>
      <c r="J101" s="475"/>
      <c r="K101" s="475"/>
    </row>
    <row r="102" spans="1:12" ht="12.75" customHeight="1" x14ac:dyDescent="0.2">
      <c r="A102" s="463" t="s">
        <v>265</v>
      </c>
      <c r="B102" s="470">
        <v>1980</v>
      </c>
      <c r="C102" s="489">
        <v>21041</v>
      </c>
      <c r="D102" s="489">
        <v>129310</v>
      </c>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1501</v>
      </c>
      <c r="B106" s="470">
        <v>1993</v>
      </c>
      <c r="C106" s="466">
        <v>33830</v>
      </c>
      <c r="D106" s="489">
        <v>223307</v>
      </c>
      <c r="E106" s="467"/>
      <c r="F106" s="467"/>
      <c r="G106" s="467"/>
      <c r="H106" s="467"/>
      <c r="I106" s="521"/>
      <c r="J106" s="467"/>
      <c r="K106" s="467"/>
    </row>
    <row r="107" spans="1:12" ht="12.75" customHeight="1" x14ac:dyDescent="0.2">
      <c r="A107" s="463" t="s">
        <v>80</v>
      </c>
      <c r="B107" s="470">
        <v>1999</v>
      </c>
      <c r="C107" s="551">
        <v>147893</v>
      </c>
      <c r="D107" s="466">
        <v>207009</v>
      </c>
      <c r="E107" s="466"/>
      <c r="F107" s="466">
        <v>2489</v>
      </c>
      <c r="G107" s="466"/>
      <c r="H107" s="466"/>
      <c r="I107" s="466"/>
      <c r="J107" s="467">
        <v>12093</v>
      </c>
      <c r="K107" s="466"/>
    </row>
    <row r="108" spans="1:12" ht="12.75" customHeight="1" thickBot="1" x14ac:dyDescent="0.25">
      <c r="A108" s="1730" t="s">
        <v>507</v>
      </c>
      <c r="B108" s="1734"/>
      <c r="C108" s="1729">
        <f>SUM(C95:C107)</f>
        <v>495949</v>
      </c>
      <c r="D108" s="1729">
        <f t="shared" ref="D108:K108" si="3">SUM(D95:D107)</f>
        <v>922181</v>
      </c>
      <c r="E108" s="1729">
        <f t="shared" si="3"/>
        <v>0</v>
      </c>
      <c r="F108" s="1729">
        <f t="shared" si="3"/>
        <v>3689</v>
      </c>
      <c r="G108" s="1729">
        <f t="shared" si="3"/>
        <v>0</v>
      </c>
      <c r="H108" s="1729">
        <f t="shared" si="3"/>
        <v>0</v>
      </c>
      <c r="I108" s="1729">
        <f t="shared" si="3"/>
        <v>0</v>
      </c>
      <c r="J108" s="1729">
        <f t="shared" si="3"/>
        <v>12093</v>
      </c>
      <c r="K108" s="1710">
        <f t="shared" si="3"/>
        <v>0</v>
      </c>
    </row>
    <row r="109" spans="1:12" ht="14.25" thickTop="1" thickBot="1" x14ac:dyDescent="0.25">
      <c r="A109" s="1735" t="s">
        <v>266</v>
      </c>
      <c r="B109" s="1736" t="s">
        <v>590</v>
      </c>
      <c r="C109" s="1737">
        <f t="shared" ref="C109:K109" si="4">SUM(C12,C18,C40,C63,C67,C75,C82,C93,C108,)</f>
        <v>68742499</v>
      </c>
      <c r="D109" s="1737">
        <f t="shared" si="4"/>
        <v>12658490</v>
      </c>
      <c r="E109" s="1737">
        <f t="shared" si="4"/>
        <v>21887598</v>
      </c>
      <c r="F109" s="1737">
        <f t="shared" si="4"/>
        <v>4423912</v>
      </c>
      <c r="G109" s="1737">
        <f t="shared" si="4"/>
        <v>4294813</v>
      </c>
      <c r="H109" s="1737">
        <f t="shared" si="4"/>
        <v>53</v>
      </c>
      <c r="I109" s="1737">
        <f t="shared" si="4"/>
        <v>1182345</v>
      </c>
      <c r="J109" s="1737">
        <f t="shared" si="4"/>
        <v>5305412</v>
      </c>
      <c r="K109" s="1724">
        <f t="shared" si="4"/>
        <v>1183338</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1567</v>
      </c>
      <c r="B116" s="1618"/>
      <c r="C116" s="522"/>
      <c r="D116" s="521"/>
      <c r="E116" s="561"/>
      <c r="F116" s="521"/>
      <c r="G116" s="521"/>
      <c r="H116" s="561"/>
      <c r="I116" s="468"/>
      <c r="J116" s="521"/>
      <c r="K116" s="521"/>
    </row>
    <row r="117" spans="1:11" ht="12.75" customHeight="1" x14ac:dyDescent="0.2">
      <c r="A117" s="463" t="s">
        <v>1762</v>
      </c>
      <c r="B117" s="562">
        <v>3001</v>
      </c>
      <c r="C117" s="516">
        <v>20505419</v>
      </c>
      <c r="D117" s="481"/>
      <c r="E117" s="466"/>
      <c r="F117" s="481"/>
      <c r="G117" s="481"/>
      <c r="H117" s="466"/>
      <c r="I117" s="468"/>
      <c r="J117" s="467"/>
      <c r="K117" s="466"/>
    </row>
    <row r="118" spans="1:11" ht="12.75" customHeight="1" x14ac:dyDescent="0.2">
      <c r="A118" s="463" t="s">
        <v>1895</v>
      </c>
      <c r="B118" s="562">
        <v>3002</v>
      </c>
      <c r="C118" s="551"/>
      <c r="D118" s="466"/>
      <c r="E118" s="466"/>
      <c r="F118" s="466"/>
      <c r="G118" s="466"/>
      <c r="H118" s="466"/>
      <c r="I118" s="468"/>
      <c r="J118" s="467"/>
      <c r="K118" s="466"/>
    </row>
    <row r="119" spans="1:11" ht="12.75" customHeight="1" x14ac:dyDescent="0.2">
      <c r="A119" s="463" t="s">
        <v>1896</v>
      </c>
      <c r="B119" s="562">
        <v>3005</v>
      </c>
      <c r="C119" s="551"/>
      <c r="D119" s="466"/>
      <c r="E119" s="466"/>
      <c r="F119" s="466"/>
      <c r="G119" s="466"/>
      <c r="H119" s="466"/>
      <c r="I119" s="468"/>
      <c r="J119" s="467"/>
      <c r="K119" s="466"/>
    </row>
    <row r="120" spans="1:11" x14ac:dyDescent="0.2">
      <c r="A120" s="1518" t="s">
        <v>1897</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20505419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1566</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1748639</v>
      </c>
      <c r="D124" s="561"/>
      <c r="E124" s="468"/>
      <c r="F124" s="548"/>
      <c r="G124" s="468"/>
      <c r="H124" s="468"/>
      <c r="I124" s="468"/>
      <c r="J124" s="468"/>
      <c r="K124" s="468"/>
    </row>
    <row r="125" spans="1:11" ht="12.75" customHeight="1" x14ac:dyDescent="0.2">
      <c r="A125" s="463" t="s">
        <v>1517</v>
      </c>
      <c r="B125" s="562">
        <v>3105</v>
      </c>
      <c r="C125" s="466">
        <v>862593</v>
      </c>
      <c r="D125" s="561"/>
      <c r="E125" s="468"/>
      <c r="F125" s="466"/>
      <c r="G125" s="468"/>
      <c r="H125" s="468"/>
      <c r="I125" s="468"/>
      <c r="J125" s="468"/>
      <c r="K125" s="468"/>
    </row>
    <row r="126" spans="1:11" ht="12.75" customHeight="1" x14ac:dyDescent="0.2">
      <c r="A126" s="463" t="s">
        <v>921</v>
      </c>
      <c r="B126" s="562">
        <v>3110</v>
      </c>
      <c r="C126" s="551">
        <v>1272835</v>
      </c>
      <c r="D126" s="466"/>
      <c r="E126" s="468"/>
      <c r="F126" s="466"/>
      <c r="G126" s="468"/>
      <c r="H126" s="468"/>
      <c r="I126" s="468"/>
      <c r="J126" s="468"/>
      <c r="K126" s="468"/>
    </row>
    <row r="127" spans="1:11" ht="12.75" customHeight="1" x14ac:dyDescent="0.2">
      <c r="A127" s="463" t="s">
        <v>107</v>
      </c>
      <c r="B127" s="562">
        <v>3120</v>
      </c>
      <c r="C127" s="466">
        <v>276187</v>
      </c>
      <c r="D127" s="561"/>
      <c r="E127" s="468"/>
      <c r="F127" s="466"/>
      <c r="G127" s="468"/>
      <c r="H127" s="468"/>
      <c r="I127" s="468"/>
      <c r="J127" s="468"/>
      <c r="K127" s="468"/>
    </row>
    <row r="128" spans="1:11" ht="12.75" customHeight="1" x14ac:dyDescent="0.2">
      <c r="A128" s="463" t="s">
        <v>1518</v>
      </c>
      <c r="B128" s="562">
        <v>3130</v>
      </c>
      <c r="C128" s="466">
        <v>61498</v>
      </c>
      <c r="D128" s="561"/>
      <c r="E128" s="468"/>
      <c r="F128" s="466"/>
      <c r="G128" s="468"/>
      <c r="H128" s="468"/>
      <c r="I128" s="468"/>
      <c r="J128" s="468"/>
      <c r="K128" s="468"/>
    </row>
    <row r="129" spans="1:11" ht="12.75" customHeight="1" x14ac:dyDescent="0.2">
      <c r="A129" s="463" t="s">
        <v>139</v>
      </c>
      <c r="B129" s="562">
        <v>3145</v>
      </c>
      <c r="C129" s="466">
        <v>8467</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4230219</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v>11709</v>
      </c>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11709</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v>221431</v>
      </c>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221431</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34763</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68486</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1519</v>
      </c>
      <c r="B151" s="562">
        <v>3500</v>
      </c>
      <c r="C151" s="551"/>
      <c r="D151" s="466"/>
      <c r="E151" s="561"/>
      <c r="F151" s="466">
        <v>2334921</v>
      </c>
      <c r="G151" s="467"/>
      <c r="H151" s="468"/>
      <c r="I151" s="468"/>
      <c r="J151" s="468"/>
      <c r="K151" s="468"/>
    </row>
    <row r="152" spans="1:11" ht="12.75" customHeight="1" x14ac:dyDescent="0.2">
      <c r="A152" s="463" t="s">
        <v>1116</v>
      </c>
      <c r="B152" s="562">
        <v>3510</v>
      </c>
      <c r="C152" s="551"/>
      <c r="D152" s="466"/>
      <c r="E152" s="561"/>
      <c r="F152" s="466">
        <v>4192476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6527397</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v>530345</v>
      </c>
      <c r="D158" s="578"/>
      <c r="E158" s="561"/>
      <c r="F158" s="576">
        <v>157257</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1520</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f>390592-2624</f>
        <v>387968</v>
      </c>
      <c r="D171" s="580">
        <v>216107</v>
      </c>
      <c r="E171" s="580"/>
      <c r="F171" s="580"/>
      <c r="G171" s="581"/>
      <c r="H171" s="582"/>
      <c r="I171" s="581"/>
      <c r="J171" s="581"/>
      <c r="K171" s="582"/>
    </row>
    <row r="172" spans="1:11" ht="12.75" customHeight="1" thickTop="1" thickBot="1" x14ac:dyDescent="0.25">
      <c r="A172" s="2164" t="s">
        <v>417</v>
      </c>
      <c r="B172" s="2165"/>
      <c r="C172" s="1744">
        <f t="shared" ref="C172:K172" si="6">SUM(C131,C140,C144,C145:C149,C154,C155:C170,C171)</f>
        <v>5484921</v>
      </c>
      <c r="D172" s="1744">
        <f t="shared" si="6"/>
        <v>216107</v>
      </c>
      <c r="E172" s="1744">
        <f t="shared" si="6"/>
        <v>0</v>
      </c>
      <c r="F172" s="1744">
        <f t="shared" si="6"/>
        <v>6684654</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25990340</v>
      </c>
      <c r="D173" s="1737">
        <f>SUM(D121,D172)</f>
        <v>216107</v>
      </c>
      <c r="E173" s="1737">
        <f>SUM(E121,E172)</f>
        <v>0</v>
      </c>
      <c r="F173" s="1737">
        <f t="shared" ref="F173:K173" si="7">SUM(F121,F172)</f>
        <v>6684654</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6" t="s">
        <v>1568</v>
      </c>
      <c r="B175" s="2167"/>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70" t="s">
        <v>1760</v>
      </c>
      <c r="B178" s="217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4" t="s">
        <v>1759</v>
      </c>
      <c r="B179" s="2175"/>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2" t="s">
        <v>817</v>
      </c>
      <c r="B184" s="217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8" t="s">
        <v>1899</v>
      </c>
      <c r="B185" s="2169"/>
      <c r="C185" s="584"/>
      <c r="D185" s="566"/>
      <c r="E185" s="509"/>
      <c r="F185" s="566"/>
      <c r="G185" s="566"/>
      <c r="H185" s="468"/>
      <c r="I185" s="468"/>
      <c r="J185" s="468"/>
      <c r="K185" s="468"/>
    </row>
    <row r="186" spans="1:11" ht="15.75" customHeight="1" x14ac:dyDescent="0.2">
      <c r="A186" s="1625" t="s">
        <v>1688</v>
      </c>
      <c r="B186" s="1626"/>
      <c r="C186" s="522"/>
      <c r="D186" s="521"/>
      <c r="E186" s="509"/>
      <c r="F186" s="521"/>
      <c r="G186" s="521"/>
      <c r="H186" s="468"/>
      <c r="I186" s="468"/>
      <c r="J186" s="468"/>
      <c r="K186" s="468"/>
    </row>
    <row r="187" spans="1:11" ht="12.75" customHeight="1" x14ac:dyDescent="0.2">
      <c r="A187" s="463" t="s">
        <v>1689</v>
      </c>
      <c r="B187" s="470">
        <v>4100</v>
      </c>
      <c r="C187" s="516"/>
      <c r="D187" s="481"/>
      <c r="E187" s="561"/>
      <c r="F187" s="481"/>
      <c r="G187" s="481"/>
      <c r="H187" s="468"/>
      <c r="I187" s="468"/>
      <c r="J187" s="468"/>
      <c r="K187" s="468"/>
    </row>
    <row r="188" spans="1:11" ht="12.75" customHeight="1" x14ac:dyDescent="0.2">
      <c r="A188" s="463" t="s">
        <v>1690</v>
      </c>
      <c r="B188" s="470">
        <v>4105</v>
      </c>
      <c r="C188" s="551"/>
      <c r="D188" s="466"/>
      <c r="E188" s="561"/>
      <c r="F188" s="466"/>
      <c r="G188" s="466"/>
      <c r="H188" s="468"/>
      <c r="I188" s="468"/>
      <c r="J188" s="468"/>
      <c r="K188" s="468"/>
    </row>
    <row r="189" spans="1:11" ht="12.75" customHeight="1" x14ac:dyDescent="0.2">
      <c r="A189" s="463" t="s">
        <v>1692</v>
      </c>
      <c r="B189" s="470">
        <v>4107</v>
      </c>
      <c r="C189" s="551"/>
      <c r="D189" s="466"/>
      <c r="E189" s="561"/>
      <c r="F189" s="466"/>
      <c r="G189" s="466"/>
      <c r="H189" s="468"/>
      <c r="I189" s="468"/>
      <c r="J189" s="468"/>
      <c r="K189" s="468"/>
    </row>
    <row r="190" spans="1:11" ht="12.75" customHeight="1" x14ac:dyDescent="0.2">
      <c r="A190" s="463" t="s">
        <v>1691</v>
      </c>
      <c r="B190" s="470">
        <v>4199</v>
      </c>
      <c r="C190" s="551"/>
      <c r="D190" s="466"/>
      <c r="E190" s="561"/>
      <c r="F190" s="466"/>
      <c r="G190" s="466"/>
      <c r="H190" s="468"/>
      <c r="I190" s="468"/>
      <c r="J190" s="468"/>
      <c r="K190" s="468"/>
    </row>
    <row r="191" spans="1:11" ht="12.75" customHeight="1" thickBot="1" x14ac:dyDescent="0.25">
      <c r="A191" s="1730" t="s">
        <v>1693</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1521</v>
      </c>
      <c r="B193" s="470">
        <v>4200</v>
      </c>
      <c r="C193" s="467"/>
      <c r="D193" s="468"/>
      <c r="E193" s="561"/>
      <c r="F193" s="553"/>
      <c r="G193" s="585"/>
      <c r="H193" s="468"/>
      <c r="I193" s="468"/>
      <c r="J193" s="468"/>
      <c r="K193" s="468"/>
    </row>
    <row r="194" spans="1:11" ht="12.75" customHeight="1" x14ac:dyDescent="0.2">
      <c r="A194" s="463" t="s">
        <v>1117</v>
      </c>
      <c r="B194" s="470">
        <v>4210</v>
      </c>
      <c r="C194" s="466">
        <v>1639619</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441805</v>
      </c>
      <c r="D196" s="468"/>
      <c r="E196" s="561"/>
      <c r="F196" s="468"/>
      <c r="G196" s="585"/>
      <c r="H196" s="468"/>
      <c r="I196" s="468"/>
      <c r="J196" s="468"/>
      <c r="K196" s="468"/>
    </row>
    <row r="197" spans="1:11" ht="12.75" customHeight="1" x14ac:dyDescent="0.2">
      <c r="A197" s="463" t="s">
        <v>1522</v>
      </c>
      <c r="B197" s="470">
        <v>4225</v>
      </c>
      <c r="C197" s="551"/>
      <c r="D197" s="468"/>
      <c r="E197" s="561"/>
      <c r="F197" s="468"/>
      <c r="G197" s="585"/>
      <c r="H197" s="468"/>
      <c r="I197" s="468"/>
      <c r="J197" s="468"/>
      <c r="K197" s="468"/>
    </row>
    <row r="198" spans="1:11" ht="12.75" customHeight="1" x14ac:dyDescent="0.2">
      <c r="A198" s="463" t="s">
        <v>1523</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2081424</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1550410</v>
      </c>
      <c r="D203" s="466"/>
      <c r="E203" s="468"/>
      <c r="F203" s="466"/>
      <c r="G203" s="466"/>
      <c r="H203" s="468"/>
      <c r="I203" s="468"/>
      <c r="J203" s="468"/>
      <c r="K203" s="468"/>
    </row>
    <row r="204" spans="1:11" ht="12.75" customHeight="1" x14ac:dyDescent="0.2">
      <c r="A204" s="463" t="s">
        <v>974</v>
      </c>
      <c r="B204" s="470">
        <v>4305</v>
      </c>
      <c r="C204" s="551">
        <v>68964</v>
      </c>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1619374</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1524</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51596</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1525</v>
      </c>
      <c r="B220" s="557">
        <v>4620</v>
      </c>
      <c r="C220" s="551">
        <v>2770709</v>
      </c>
      <c r="D220" s="466"/>
      <c r="E220" s="468"/>
      <c r="F220" s="466"/>
      <c r="G220" s="466"/>
      <c r="H220" s="468"/>
      <c r="I220" s="468"/>
      <c r="J220" s="468"/>
      <c r="K220" s="468"/>
    </row>
    <row r="221" spans="1:11" ht="12.75" customHeight="1" x14ac:dyDescent="0.2">
      <c r="A221" s="463" t="s">
        <v>1113</v>
      </c>
      <c r="B221" s="470">
        <v>4625</v>
      </c>
      <c r="C221" s="551">
        <v>507322</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3329627</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1526</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1489</v>
      </c>
      <c r="B260" s="588">
        <v>4901</v>
      </c>
      <c r="C260" s="589"/>
      <c r="D260" s="469"/>
      <c r="E260" s="468"/>
      <c r="F260" s="468"/>
      <c r="G260" s="468"/>
      <c r="H260" s="468"/>
      <c r="I260" s="468"/>
      <c r="J260" s="468"/>
      <c r="K260" s="468"/>
    </row>
    <row r="261" spans="1:11" ht="12.75" customHeight="1" thickTop="1" thickBot="1" x14ac:dyDescent="0.25">
      <c r="A261" s="1525" t="s">
        <v>1534</v>
      </c>
      <c r="B261" s="590">
        <v>4902</v>
      </c>
      <c r="C261" s="591">
        <v>334644</v>
      </c>
      <c r="D261" s="592"/>
      <c r="E261" s="469"/>
      <c r="F261" s="592">
        <v>121621</v>
      </c>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1527</v>
      </c>
      <c r="B263" s="470">
        <v>4905</v>
      </c>
      <c r="C263" s="573">
        <v>36732</v>
      </c>
      <c r="D263" s="468"/>
      <c r="E263" s="468"/>
      <c r="F263" s="578"/>
      <c r="G263" s="573"/>
      <c r="H263" s="468"/>
      <c r="I263" s="468"/>
      <c r="J263" s="468"/>
      <c r="K263" s="468"/>
    </row>
    <row r="264" spans="1:11" ht="12.75" customHeight="1" thickTop="1" thickBot="1" x14ac:dyDescent="0.25">
      <c r="A264" s="463" t="s">
        <v>1528</v>
      </c>
      <c r="B264" s="470">
        <v>4909</v>
      </c>
      <c r="C264" s="576">
        <v>71323</v>
      </c>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305247</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216707</v>
      </c>
      <c r="D270" s="576"/>
      <c r="E270" s="468"/>
      <c r="F270" s="576"/>
      <c r="G270" s="576"/>
      <c r="H270" s="468"/>
      <c r="I270" s="468"/>
      <c r="J270" s="468"/>
      <c r="K270" s="468"/>
    </row>
    <row r="271" spans="1:11" ht="12.75" customHeight="1" thickTop="1" thickBot="1" x14ac:dyDescent="0.25">
      <c r="A271" s="463" t="s">
        <v>394</v>
      </c>
      <c r="B271" s="470">
        <v>4992</v>
      </c>
      <c r="C271" s="575">
        <v>198505</v>
      </c>
      <c r="D271" s="576"/>
      <c r="E271" s="468"/>
      <c r="F271" s="576"/>
      <c r="G271" s="576"/>
      <c r="H271" s="468"/>
      <c r="I271" s="468"/>
      <c r="J271" s="468"/>
      <c r="K271" s="468"/>
    </row>
    <row r="272" spans="1:11" s="594" customFormat="1" ht="12.75" customHeight="1" thickTop="1" thickBot="1" x14ac:dyDescent="0.25">
      <c r="A272" s="563" t="s">
        <v>77</v>
      </c>
      <c r="B272" s="557">
        <v>4999</v>
      </c>
      <c r="C272" s="575">
        <v>45989</v>
      </c>
      <c r="D272" s="576"/>
      <c r="E272" s="468"/>
      <c r="F272" s="576"/>
      <c r="G272" s="576"/>
      <c r="H272" s="530"/>
      <c r="I272" s="468"/>
      <c r="J272" s="468"/>
      <c r="K272" s="530"/>
    </row>
    <row r="273" spans="1:11" ht="14.25" thickTop="1" thickBot="1" x14ac:dyDescent="0.25">
      <c r="A273" s="1730" t="s">
        <v>1761</v>
      </c>
      <c r="B273" s="1749"/>
      <c r="C273" s="1737">
        <f t="shared" ref="C273:H273" si="10">SUM(C191,C201,C211,C216,C224,C228,C229,C259:C272)</f>
        <v>8239572</v>
      </c>
      <c r="D273" s="1737">
        <f t="shared" si="10"/>
        <v>0</v>
      </c>
      <c r="E273" s="1737">
        <f t="shared" si="10"/>
        <v>0</v>
      </c>
      <c r="F273" s="1737">
        <f t="shared" si="10"/>
        <v>121621</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8239572</v>
      </c>
      <c r="D274" s="1737">
        <f>SUM(D178,D184,D273)</f>
        <v>0</v>
      </c>
      <c r="E274" s="1737">
        <f>SUM(E178,E273)</f>
        <v>0</v>
      </c>
      <c r="F274" s="1737">
        <f t="shared" ref="F274:K274" si="11">SUM(F178,F184,F273)</f>
        <v>121621</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102972411</v>
      </c>
      <c r="D275" s="1737">
        <f t="shared" si="12"/>
        <v>12874597</v>
      </c>
      <c r="E275" s="1737">
        <f t="shared" si="12"/>
        <v>21887598</v>
      </c>
      <c r="F275" s="1737">
        <f t="shared" si="12"/>
        <v>11230187</v>
      </c>
      <c r="G275" s="1737">
        <f t="shared" si="12"/>
        <v>4294813</v>
      </c>
      <c r="H275" s="1737">
        <f t="shared" si="12"/>
        <v>53</v>
      </c>
      <c r="I275" s="1737">
        <f t="shared" si="12"/>
        <v>1182345</v>
      </c>
      <c r="J275" s="1737">
        <f t="shared" si="12"/>
        <v>5305412</v>
      </c>
      <c r="K275" s="1724">
        <f t="shared" si="12"/>
        <v>1183338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N368"/>
  <sheetViews>
    <sheetView showGridLines="0" defaultGridColor="0" colorId="8" zoomScale="110" zoomScaleNormal="110" workbookViewId="0">
      <pane ySplit="2" topLeftCell="A3" activePane="bottomLeft" state="frozen"/>
      <selection pane="bottomLeft"/>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1898</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8"/>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4" t="s">
        <v>314</v>
      </c>
      <c r="B3" s="2185"/>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39241451</v>
      </c>
      <c r="D5" s="466">
        <v>5585110</v>
      </c>
      <c r="E5" s="466">
        <v>136432</v>
      </c>
      <c r="F5" s="466">
        <v>705165</v>
      </c>
      <c r="G5" s="466"/>
      <c r="H5" s="466">
        <v>23027</v>
      </c>
      <c r="I5" s="467">
        <v>35725</v>
      </c>
      <c r="J5" s="467"/>
      <c r="K5" s="1693">
        <f>SUM(C5:J5)</f>
        <v>45726910</v>
      </c>
      <c r="L5" s="466">
        <v>46548799</v>
      </c>
    </row>
    <row r="6" spans="1:14" x14ac:dyDescent="0.2">
      <c r="A6" s="1526" t="s">
        <v>1504</v>
      </c>
      <c r="B6" s="615" t="s">
        <v>1502</v>
      </c>
      <c r="C6" s="477"/>
      <c r="D6" s="477"/>
      <c r="E6" s="466"/>
      <c r="F6" s="477"/>
      <c r="G6" s="477"/>
      <c r="H6" s="477"/>
      <c r="I6" s="477"/>
      <c r="J6" s="477"/>
      <c r="K6" s="1693">
        <f>SUM(C6,E6)</f>
        <v>0</v>
      </c>
      <c r="L6" s="466"/>
    </row>
    <row r="7" spans="1:14" x14ac:dyDescent="0.2">
      <c r="A7" s="1526" t="s">
        <v>165</v>
      </c>
      <c r="B7" s="615" t="s">
        <v>1023</v>
      </c>
      <c r="C7" s="467"/>
      <c r="D7" s="467"/>
      <c r="E7" s="467"/>
      <c r="F7" s="467"/>
      <c r="G7" s="467"/>
      <c r="H7" s="467"/>
      <c r="I7" s="467"/>
      <c r="J7" s="467"/>
      <c r="K7" s="1693">
        <f t="shared" ref="K7:K32" si="0">SUM(C7:J7)</f>
        <v>0</v>
      </c>
      <c r="L7" s="466"/>
    </row>
    <row r="8" spans="1:14" x14ac:dyDescent="0.2">
      <c r="A8" s="1526" t="s">
        <v>166</v>
      </c>
      <c r="B8" s="615">
        <v>1200</v>
      </c>
      <c r="C8" s="466">
        <v>16265908</v>
      </c>
      <c r="D8" s="466">
        <v>3442016</v>
      </c>
      <c r="E8" s="466">
        <v>140418</v>
      </c>
      <c r="F8" s="466">
        <v>225106</v>
      </c>
      <c r="G8" s="466"/>
      <c r="H8" s="466">
        <v>3978872</v>
      </c>
      <c r="I8" s="467">
        <v>16780</v>
      </c>
      <c r="J8" s="467"/>
      <c r="K8" s="1693">
        <f t="shared" si="0"/>
        <v>24069100</v>
      </c>
      <c r="L8" s="466">
        <v>23691092</v>
      </c>
    </row>
    <row r="9" spans="1:14" x14ac:dyDescent="0.2">
      <c r="A9" s="1526" t="s">
        <v>744</v>
      </c>
      <c r="B9" s="615" t="s">
        <v>1024</v>
      </c>
      <c r="C9" s="467"/>
      <c r="D9" s="467"/>
      <c r="E9" s="467"/>
      <c r="F9" s="467"/>
      <c r="G9" s="467"/>
      <c r="H9" s="467"/>
      <c r="I9" s="467"/>
      <c r="J9" s="467"/>
      <c r="K9" s="1693">
        <f t="shared" si="0"/>
        <v>0</v>
      </c>
      <c r="L9" s="466"/>
    </row>
    <row r="10" spans="1:14" x14ac:dyDescent="0.2">
      <c r="A10" s="1526" t="s">
        <v>745</v>
      </c>
      <c r="B10" s="615">
        <v>1250</v>
      </c>
      <c r="C10" s="466">
        <v>1092262</v>
      </c>
      <c r="D10" s="466">
        <v>254250</v>
      </c>
      <c r="E10" s="466"/>
      <c r="F10" s="466">
        <v>176168</v>
      </c>
      <c r="G10" s="466"/>
      <c r="H10" s="466"/>
      <c r="I10" s="467"/>
      <c r="J10" s="467"/>
      <c r="K10" s="1693">
        <f t="shared" si="0"/>
        <v>1522680</v>
      </c>
      <c r="L10" s="466">
        <v>1650380</v>
      </c>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v>4333</v>
      </c>
      <c r="D13" s="466">
        <v>162</v>
      </c>
      <c r="E13" s="466"/>
      <c r="F13" s="466">
        <v>17783</v>
      </c>
      <c r="G13" s="466"/>
      <c r="H13" s="466"/>
      <c r="I13" s="467">
        <v>1955</v>
      </c>
      <c r="J13" s="467"/>
      <c r="K13" s="1693">
        <f t="shared" si="0"/>
        <v>24233</v>
      </c>
      <c r="L13" s="466">
        <v>26903</v>
      </c>
    </row>
    <row r="14" spans="1:14" x14ac:dyDescent="0.2">
      <c r="A14" s="1526" t="s">
        <v>1019</v>
      </c>
      <c r="B14" s="615">
        <v>1500</v>
      </c>
      <c r="C14" s="466">
        <v>564357</v>
      </c>
      <c r="D14" s="466">
        <v>22223</v>
      </c>
      <c r="E14" s="466">
        <v>142017</v>
      </c>
      <c r="F14" s="466">
        <v>147384</v>
      </c>
      <c r="G14" s="466">
        <v>6590</v>
      </c>
      <c r="H14" s="466">
        <v>48822</v>
      </c>
      <c r="I14" s="467"/>
      <c r="J14" s="467"/>
      <c r="K14" s="1693">
        <f t="shared" si="0"/>
        <v>931393</v>
      </c>
      <c r="L14" s="466">
        <v>923377</v>
      </c>
    </row>
    <row r="15" spans="1:14" x14ac:dyDescent="0.2">
      <c r="A15" s="1526" t="s">
        <v>1020</v>
      </c>
      <c r="B15" s="615">
        <v>1600</v>
      </c>
      <c r="C15" s="466">
        <v>128750</v>
      </c>
      <c r="D15" s="466">
        <v>33175</v>
      </c>
      <c r="E15" s="466"/>
      <c r="F15" s="466"/>
      <c r="G15" s="466"/>
      <c r="H15" s="466"/>
      <c r="I15" s="467"/>
      <c r="J15" s="467"/>
      <c r="K15" s="1693">
        <f t="shared" si="0"/>
        <v>161925</v>
      </c>
      <c r="L15" s="466">
        <v>151637</v>
      </c>
    </row>
    <row r="16" spans="1:14" x14ac:dyDescent="0.2">
      <c r="A16" s="1526" t="s">
        <v>1043</v>
      </c>
      <c r="B16" s="615" t="s">
        <v>443</v>
      </c>
      <c r="C16" s="466"/>
      <c r="D16" s="466"/>
      <c r="E16" s="466"/>
      <c r="F16" s="466">
        <v>135</v>
      </c>
      <c r="G16" s="466"/>
      <c r="H16" s="466"/>
      <c r="I16" s="467"/>
      <c r="J16" s="467"/>
      <c r="K16" s="1693">
        <f t="shared" si="0"/>
        <v>135</v>
      </c>
      <c r="L16" s="466"/>
    </row>
    <row r="17" spans="1:12" x14ac:dyDescent="0.2">
      <c r="A17" s="1526" t="s">
        <v>747</v>
      </c>
      <c r="B17" s="615" t="s">
        <v>164</v>
      </c>
      <c r="C17" s="467">
        <v>14329</v>
      </c>
      <c r="D17" s="467">
        <v>536</v>
      </c>
      <c r="E17" s="467"/>
      <c r="F17" s="467"/>
      <c r="G17" s="467">
        <v>52706</v>
      </c>
      <c r="H17" s="467">
        <v>60</v>
      </c>
      <c r="I17" s="467"/>
      <c r="J17" s="467"/>
      <c r="K17" s="1693">
        <f t="shared" si="0"/>
        <v>67631</v>
      </c>
      <c r="L17" s="466">
        <v>10872</v>
      </c>
    </row>
    <row r="18" spans="1:12" x14ac:dyDescent="0.2">
      <c r="A18" s="1526" t="s">
        <v>1147</v>
      </c>
      <c r="B18" s="615">
        <v>1800</v>
      </c>
      <c r="C18" s="466">
        <v>945686</v>
      </c>
      <c r="D18" s="466">
        <v>145205</v>
      </c>
      <c r="E18" s="466">
        <v>4319</v>
      </c>
      <c r="F18" s="466">
        <v>19563</v>
      </c>
      <c r="G18" s="466"/>
      <c r="H18" s="466"/>
      <c r="I18" s="467"/>
      <c r="J18" s="467"/>
      <c r="K18" s="1693">
        <f t="shared" si="0"/>
        <v>1114773</v>
      </c>
      <c r="L18" s="466">
        <v>1053713</v>
      </c>
    </row>
    <row r="19" spans="1:12" x14ac:dyDescent="0.2">
      <c r="A19" s="1526" t="s">
        <v>136</v>
      </c>
      <c r="B19" s="615">
        <v>1900</v>
      </c>
      <c r="C19" s="466"/>
      <c r="D19" s="466"/>
      <c r="E19" s="466"/>
      <c r="F19" s="466"/>
      <c r="G19" s="466"/>
      <c r="H19" s="466">
        <v>60907</v>
      </c>
      <c r="I19" s="467"/>
      <c r="J19" s="467"/>
      <c r="K19" s="1693">
        <f t="shared" si="0"/>
        <v>60907</v>
      </c>
      <c r="L19" s="466">
        <v>84000</v>
      </c>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c r="I22" s="617"/>
      <c r="J22" s="477"/>
      <c r="K22" s="1693">
        <f t="shared" si="0"/>
        <v>0</v>
      </c>
      <c r="L22" s="471"/>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1763</v>
      </c>
      <c r="B33" s="1691" t="s">
        <v>590</v>
      </c>
      <c r="C33" s="1692">
        <f>SUM(C5:C32)</f>
        <v>58257076</v>
      </c>
      <c r="D33" s="1692">
        <f t="shared" ref="D33:L33" si="1">SUM(D5:D32)</f>
        <v>9482677</v>
      </c>
      <c r="E33" s="1692">
        <f t="shared" si="1"/>
        <v>423186</v>
      </c>
      <c r="F33" s="1692">
        <f t="shared" si="1"/>
        <v>1291304</v>
      </c>
      <c r="G33" s="1692">
        <f t="shared" si="1"/>
        <v>59296</v>
      </c>
      <c r="H33" s="1692">
        <f t="shared" si="1"/>
        <v>4111688</v>
      </c>
      <c r="I33" s="1692">
        <f t="shared" si="1"/>
        <v>54460</v>
      </c>
      <c r="J33" s="1692">
        <f t="shared" si="1"/>
        <v>0</v>
      </c>
      <c r="K33" s="1692">
        <f t="shared" si="1"/>
        <v>73679687</v>
      </c>
      <c r="L33" s="1692">
        <f t="shared" si="1"/>
        <v>74140773</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876941</v>
      </c>
      <c r="D36" s="481">
        <v>119028</v>
      </c>
      <c r="E36" s="481">
        <v>2935</v>
      </c>
      <c r="F36" s="481"/>
      <c r="G36" s="481"/>
      <c r="H36" s="481"/>
      <c r="I36" s="467"/>
      <c r="J36" s="467"/>
      <c r="K36" s="1693">
        <f t="shared" ref="K36:K41" si="2">SUM(C36:J36)</f>
        <v>998904</v>
      </c>
      <c r="L36" s="466">
        <v>1003655</v>
      </c>
    </row>
    <row r="37" spans="1:14" x14ac:dyDescent="0.2">
      <c r="A37" s="1526" t="s">
        <v>1150</v>
      </c>
      <c r="B37" s="615">
        <v>2120</v>
      </c>
      <c r="C37" s="466">
        <v>1366602</v>
      </c>
      <c r="D37" s="466">
        <v>187319</v>
      </c>
      <c r="E37" s="466"/>
      <c r="F37" s="466"/>
      <c r="G37" s="466"/>
      <c r="H37" s="466"/>
      <c r="I37" s="467"/>
      <c r="J37" s="467"/>
      <c r="K37" s="1693">
        <f t="shared" si="2"/>
        <v>1553921</v>
      </c>
      <c r="L37" s="466">
        <v>1576977</v>
      </c>
    </row>
    <row r="38" spans="1:14" x14ac:dyDescent="0.2">
      <c r="A38" s="1526" t="s">
        <v>207</v>
      </c>
      <c r="B38" s="615">
        <v>2130</v>
      </c>
      <c r="C38" s="466">
        <v>464327</v>
      </c>
      <c r="D38" s="466">
        <v>116988</v>
      </c>
      <c r="E38" s="466">
        <v>6990</v>
      </c>
      <c r="F38" s="466">
        <v>11269</v>
      </c>
      <c r="G38" s="466"/>
      <c r="H38" s="466">
        <v>180</v>
      </c>
      <c r="I38" s="467">
        <v>957</v>
      </c>
      <c r="J38" s="467"/>
      <c r="K38" s="1693">
        <f t="shared" si="2"/>
        <v>600711</v>
      </c>
      <c r="L38" s="466">
        <v>780283</v>
      </c>
    </row>
    <row r="39" spans="1:14" x14ac:dyDescent="0.2">
      <c r="A39" s="1526" t="s">
        <v>208</v>
      </c>
      <c r="B39" s="615">
        <v>2140</v>
      </c>
      <c r="C39" s="466">
        <v>730201</v>
      </c>
      <c r="D39" s="466">
        <v>95721</v>
      </c>
      <c r="E39" s="466">
        <v>1550</v>
      </c>
      <c r="F39" s="466"/>
      <c r="G39" s="466"/>
      <c r="H39" s="466"/>
      <c r="I39" s="467"/>
      <c r="J39" s="467"/>
      <c r="K39" s="1693">
        <f t="shared" si="2"/>
        <v>827472</v>
      </c>
      <c r="L39" s="466">
        <v>862878</v>
      </c>
    </row>
    <row r="40" spans="1:14" x14ac:dyDescent="0.2">
      <c r="A40" s="1526" t="s">
        <v>209</v>
      </c>
      <c r="B40" s="615">
        <v>2150</v>
      </c>
      <c r="C40" s="466">
        <v>448099</v>
      </c>
      <c r="D40" s="466">
        <v>65230</v>
      </c>
      <c r="E40" s="466"/>
      <c r="F40" s="466"/>
      <c r="G40" s="466"/>
      <c r="H40" s="466"/>
      <c r="I40" s="467"/>
      <c r="J40" s="467"/>
      <c r="K40" s="1693">
        <f t="shared" si="2"/>
        <v>513329</v>
      </c>
      <c r="L40" s="466">
        <v>526657</v>
      </c>
    </row>
    <row r="41" spans="1:14" x14ac:dyDescent="0.2">
      <c r="A41" s="1526" t="s">
        <v>1764</v>
      </c>
      <c r="B41" s="615">
        <v>2190</v>
      </c>
      <c r="C41" s="466">
        <v>11849</v>
      </c>
      <c r="D41" s="466">
        <v>161</v>
      </c>
      <c r="E41" s="466">
        <v>2945</v>
      </c>
      <c r="F41" s="466"/>
      <c r="G41" s="466"/>
      <c r="H41" s="466"/>
      <c r="I41" s="467"/>
      <c r="J41" s="467"/>
      <c r="K41" s="1693">
        <f t="shared" si="2"/>
        <v>14955</v>
      </c>
      <c r="L41" s="466">
        <v>17194</v>
      </c>
    </row>
    <row r="42" spans="1:14" ht="12.75" customHeight="1" thickBot="1" x14ac:dyDescent="0.25">
      <c r="A42" s="1690" t="s">
        <v>580</v>
      </c>
      <c r="B42" s="1691" t="s">
        <v>739</v>
      </c>
      <c r="C42" s="1692">
        <f>SUM(C36:C41)</f>
        <v>3898019</v>
      </c>
      <c r="D42" s="1692">
        <f t="shared" ref="D42:L42" si="3">SUM(D36:D41)</f>
        <v>584447</v>
      </c>
      <c r="E42" s="1692">
        <f t="shared" si="3"/>
        <v>14420</v>
      </c>
      <c r="F42" s="1692">
        <f t="shared" si="3"/>
        <v>11269</v>
      </c>
      <c r="G42" s="1692">
        <f t="shared" si="3"/>
        <v>0</v>
      </c>
      <c r="H42" s="1692">
        <f t="shared" si="3"/>
        <v>180</v>
      </c>
      <c r="I42" s="1692">
        <f t="shared" si="3"/>
        <v>957</v>
      </c>
      <c r="J42" s="1692">
        <f t="shared" si="3"/>
        <v>0</v>
      </c>
      <c r="K42" s="1692">
        <f t="shared" si="3"/>
        <v>4509292</v>
      </c>
      <c r="L42" s="1692">
        <f t="shared" si="3"/>
        <v>4767644</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1018835</v>
      </c>
      <c r="D44" s="481">
        <v>173406</v>
      </c>
      <c r="E44" s="481">
        <v>303168</v>
      </c>
      <c r="F44" s="481">
        <v>402925</v>
      </c>
      <c r="G44" s="481"/>
      <c r="H44" s="481">
        <v>7019</v>
      </c>
      <c r="I44" s="467">
        <v>560</v>
      </c>
      <c r="J44" s="467"/>
      <c r="K44" s="1694">
        <f>SUM(C44:J44)</f>
        <v>1905913</v>
      </c>
      <c r="L44" s="481">
        <v>1929592</v>
      </c>
    </row>
    <row r="45" spans="1:14" x14ac:dyDescent="0.2">
      <c r="A45" s="1526" t="s">
        <v>868</v>
      </c>
      <c r="B45" s="615">
        <v>2220</v>
      </c>
      <c r="C45" s="466">
        <v>1192701</v>
      </c>
      <c r="D45" s="466">
        <v>149371</v>
      </c>
      <c r="E45" s="466"/>
      <c r="F45" s="466">
        <v>57104</v>
      </c>
      <c r="G45" s="466"/>
      <c r="H45" s="466"/>
      <c r="I45" s="467"/>
      <c r="J45" s="467"/>
      <c r="K45" s="1694">
        <f>SUM(C45:J45)</f>
        <v>1399176</v>
      </c>
      <c r="L45" s="466">
        <v>1416820</v>
      </c>
    </row>
    <row r="46" spans="1:14" x14ac:dyDescent="0.2">
      <c r="A46" s="1526" t="s">
        <v>869</v>
      </c>
      <c r="B46" s="615">
        <v>2230</v>
      </c>
      <c r="C46" s="466"/>
      <c r="D46" s="466"/>
      <c r="E46" s="466">
        <v>171175</v>
      </c>
      <c r="F46" s="466"/>
      <c r="G46" s="466"/>
      <c r="H46" s="466"/>
      <c r="I46" s="467"/>
      <c r="J46" s="467"/>
      <c r="K46" s="1694">
        <f>SUM(C46:J46)</f>
        <v>171175</v>
      </c>
      <c r="L46" s="466">
        <v>173103</v>
      </c>
    </row>
    <row r="47" spans="1:14" ht="12.75" customHeight="1" thickBot="1" x14ac:dyDescent="0.25">
      <c r="A47" s="1690" t="s">
        <v>581</v>
      </c>
      <c r="B47" s="1691" t="s">
        <v>32</v>
      </c>
      <c r="C47" s="1692">
        <f>SUM(C44:C46)</f>
        <v>2211536</v>
      </c>
      <c r="D47" s="1692">
        <f t="shared" ref="D47:K47" si="4">SUM(D44:D46)</f>
        <v>322777</v>
      </c>
      <c r="E47" s="1692">
        <f t="shared" si="4"/>
        <v>474343</v>
      </c>
      <c r="F47" s="1692">
        <f t="shared" si="4"/>
        <v>460029</v>
      </c>
      <c r="G47" s="1692">
        <f t="shared" si="4"/>
        <v>0</v>
      </c>
      <c r="H47" s="1692">
        <f t="shared" si="4"/>
        <v>7019</v>
      </c>
      <c r="I47" s="1692">
        <f t="shared" si="4"/>
        <v>560</v>
      </c>
      <c r="J47" s="1692">
        <f t="shared" si="4"/>
        <v>0</v>
      </c>
      <c r="K47" s="1692">
        <f t="shared" si="4"/>
        <v>3476264</v>
      </c>
      <c r="L47" s="1692">
        <f>SUM(L44:L46)</f>
        <v>3519515</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75000</v>
      </c>
      <c r="D49" s="481">
        <v>14921</v>
      </c>
      <c r="E49" s="481">
        <v>56257</v>
      </c>
      <c r="F49" s="481">
        <v>3790</v>
      </c>
      <c r="G49" s="481"/>
      <c r="H49" s="481">
        <v>14856</v>
      </c>
      <c r="I49" s="467"/>
      <c r="J49" s="467"/>
      <c r="K49" s="1694">
        <f>SUM(C49:J49)</f>
        <v>164824</v>
      </c>
      <c r="L49" s="481">
        <v>90979</v>
      </c>
    </row>
    <row r="50" spans="1:14" x14ac:dyDescent="0.2">
      <c r="A50" s="1526" t="s">
        <v>871</v>
      </c>
      <c r="B50" s="615">
        <v>2320</v>
      </c>
      <c r="C50" s="466">
        <v>254266</v>
      </c>
      <c r="D50" s="466">
        <v>46746</v>
      </c>
      <c r="E50" s="466">
        <v>123965</v>
      </c>
      <c r="F50" s="466">
        <v>26844</v>
      </c>
      <c r="G50" s="466"/>
      <c r="H50" s="466">
        <v>11042</v>
      </c>
      <c r="I50" s="467">
        <v>3029</v>
      </c>
      <c r="J50" s="467"/>
      <c r="K50" s="1694">
        <f>SUM(C50:J50)</f>
        <v>465892</v>
      </c>
      <c r="L50" s="466">
        <v>562058</v>
      </c>
    </row>
    <row r="51" spans="1:14" x14ac:dyDescent="0.2">
      <c r="A51" s="1526" t="s">
        <v>44</v>
      </c>
      <c r="B51" s="615">
        <v>2330</v>
      </c>
      <c r="C51" s="466">
        <v>139826</v>
      </c>
      <c r="D51" s="466">
        <v>28339</v>
      </c>
      <c r="E51" s="466"/>
      <c r="F51" s="466"/>
      <c r="G51" s="466"/>
      <c r="H51" s="466"/>
      <c r="I51" s="467"/>
      <c r="J51" s="467"/>
      <c r="K51" s="1694">
        <f>SUM(C51:J51)</f>
        <v>168165</v>
      </c>
      <c r="L51" s="466">
        <v>127825</v>
      </c>
    </row>
    <row r="52" spans="1:14" ht="22.5" x14ac:dyDescent="0.2">
      <c r="A52" s="1527" t="s">
        <v>315</v>
      </c>
      <c r="B52" s="628" t="s">
        <v>383</v>
      </c>
      <c r="C52" s="474"/>
      <c r="D52" s="474"/>
      <c r="E52" s="474"/>
      <c r="F52" s="474"/>
      <c r="G52" s="474"/>
      <c r="H52" s="474"/>
      <c r="I52" s="474"/>
      <c r="J52" s="474"/>
      <c r="K52" s="1694">
        <f>SUM(C52:J52)</f>
        <v>0</v>
      </c>
      <c r="L52" s="474"/>
    </row>
    <row r="53" spans="1:14" ht="12.75" customHeight="1" thickBot="1" x14ac:dyDescent="0.25">
      <c r="A53" s="1690" t="s">
        <v>740</v>
      </c>
      <c r="B53" s="1691" t="s">
        <v>33</v>
      </c>
      <c r="C53" s="1692">
        <f>SUM(C49:C52)</f>
        <v>469092</v>
      </c>
      <c r="D53" s="1692">
        <f t="shared" ref="D53:L53" si="5">SUM(D49:D52)</f>
        <v>90006</v>
      </c>
      <c r="E53" s="1692">
        <f t="shared" si="5"/>
        <v>180222</v>
      </c>
      <c r="F53" s="1692">
        <f t="shared" si="5"/>
        <v>30634</v>
      </c>
      <c r="G53" s="1692">
        <f t="shared" si="5"/>
        <v>0</v>
      </c>
      <c r="H53" s="1692">
        <f t="shared" si="5"/>
        <v>25898</v>
      </c>
      <c r="I53" s="1692">
        <f t="shared" si="5"/>
        <v>3029</v>
      </c>
      <c r="J53" s="1692">
        <f t="shared" si="5"/>
        <v>0</v>
      </c>
      <c r="K53" s="1692">
        <f t="shared" si="5"/>
        <v>798881</v>
      </c>
      <c r="L53" s="1692">
        <f t="shared" si="5"/>
        <v>780862</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4598458</v>
      </c>
      <c r="D55" s="481">
        <v>966260</v>
      </c>
      <c r="E55" s="481">
        <v>9041</v>
      </c>
      <c r="F55" s="481"/>
      <c r="G55" s="481"/>
      <c r="H55" s="481">
        <v>17504</v>
      </c>
      <c r="I55" s="467"/>
      <c r="J55" s="467"/>
      <c r="K55" s="1694">
        <f>SUM(C55:J55)</f>
        <v>5591263</v>
      </c>
      <c r="L55" s="481">
        <v>5589103</v>
      </c>
    </row>
    <row r="56" spans="1:14" ht="12.75" customHeight="1" x14ac:dyDescent="0.2">
      <c r="A56" s="1530" t="s">
        <v>393</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4598458</v>
      </c>
      <c r="D57" s="1696">
        <f t="shared" ref="D57:K57" si="6">SUM(D55:D56)</f>
        <v>966260</v>
      </c>
      <c r="E57" s="1696">
        <f t="shared" si="6"/>
        <v>9041</v>
      </c>
      <c r="F57" s="1696">
        <f t="shared" si="6"/>
        <v>0</v>
      </c>
      <c r="G57" s="1696">
        <f t="shared" si="6"/>
        <v>0</v>
      </c>
      <c r="H57" s="1696">
        <f t="shared" si="6"/>
        <v>17504</v>
      </c>
      <c r="I57" s="1696">
        <f t="shared" si="6"/>
        <v>0</v>
      </c>
      <c r="J57" s="1696">
        <f t="shared" si="6"/>
        <v>0</v>
      </c>
      <c r="K57" s="1696">
        <f t="shared" si="6"/>
        <v>5591263</v>
      </c>
      <c r="L57" s="1692">
        <f>SUM(L55:L56)</f>
        <v>5589103</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110369</v>
      </c>
      <c r="D59" s="481">
        <v>25648</v>
      </c>
      <c r="E59" s="481">
        <v>19614</v>
      </c>
      <c r="F59" s="481">
        <v>4383</v>
      </c>
      <c r="G59" s="481"/>
      <c r="H59" s="481">
        <v>905</v>
      </c>
      <c r="I59" s="467"/>
      <c r="J59" s="467"/>
      <c r="K59" s="1694">
        <f t="shared" ref="K59:K64" si="7">SUM(C59:J59)</f>
        <v>160919</v>
      </c>
      <c r="L59" s="481">
        <v>239776</v>
      </c>
      <c r="M59" s="610"/>
      <c r="N59" s="610"/>
    </row>
    <row r="60" spans="1:14" s="343" customFormat="1" x14ac:dyDescent="0.2">
      <c r="A60" s="1526" t="s">
        <v>482</v>
      </c>
      <c r="B60" s="615">
        <v>2520</v>
      </c>
      <c r="C60" s="466">
        <v>313572</v>
      </c>
      <c r="D60" s="466">
        <v>44619</v>
      </c>
      <c r="E60" s="466">
        <v>25694</v>
      </c>
      <c r="F60" s="466">
        <v>6108</v>
      </c>
      <c r="G60" s="466"/>
      <c r="H60" s="466">
        <v>172355</v>
      </c>
      <c r="I60" s="467"/>
      <c r="J60" s="467"/>
      <c r="K60" s="1694">
        <f t="shared" si="7"/>
        <v>562348</v>
      </c>
      <c r="L60" s="466">
        <v>646527</v>
      </c>
      <c r="M60" s="610"/>
      <c r="N60" s="610"/>
    </row>
    <row r="61" spans="1:14" s="343" customFormat="1" x14ac:dyDescent="0.2">
      <c r="A61" s="1526" t="s">
        <v>206</v>
      </c>
      <c r="B61" s="615">
        <v>2540</v>
      </c>
      <c r="C61" s="466"/>
      <c r="D61" s="466"/>
      <c r="E61" s="466"/>
      <c r="F61" s="466">
        <v>1961</v>
      </c>
      <c r="G61" s="466"/>
      <c r="H61" s="466"/>
      <c r="I61" s="467"/>
      <c r="J61" s="467"/>
      <c r="K61" s="1694">
        <f t="shared" si="7"/>
        <v>1961</v>
      </c>
      <c r="L61" s="466"/>
      <c r="M61" s="610"/>
      <c r="N61" s="610"/>
    </row>
    <row r="62" spans="1:14" s="343" customFormat="1" x14ac:dyDescent="0.2">
      <c r="A62" s="1526" t="s">
        <v>1009</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2096820</v>
      </c>
      <c r="D63" s="466">
        <v>310048</v>
      </c>
      <c r="E63" s="466">
        <v>59472</v>
      </c>
      <c r="F63" s="466">
        <v>2403157</v>
      </c>
      <c r="G63" s="466">
        <v>71421</v>
      </c>
      <c r="H63" s="466">
        <v>3870</v>
      </c>
      <c r="I63" s="467">
        <v>4264</v>
      </c>
      <c r="J63" s="467"/>
      <c r="K63" s="1694">
        <f t="shared" si="7"/>
        <v>4949052</v>
      </c>
      <c r="L63" s="466">
        <v>5283041</v>
      </c>
    </row>
    <row r="64" spans="1:14" s="610" customFormat="1" x14ac:dyDescent="0.2">
      <c r="A64" s="1531" t="s">
        <v>103</v>
      </c>
      <c r="B64" s="631">
        <v>2570</v>
      </c>
      <c r="C64" s="481">
        <v>57306</v>
      </c>
      <c r="D64" s="481"/>
      <c r="E64" s="481">
        <v>298752</v>
      </c>
      <c r="F64" s="481">
        <v>13384</v>
      </c>
      <c r="G64" s="481"/>
      <c r="H64" s="481"/>
      <c r="I64" s="467"/>
      <c r="J64" s="467"/>
      <c r="K64" s="1694">
        <f t="shared" si="7"/>
        <v>369442</v>
      </c>
      <c r="L64" s="481">
        <v>372092</v>
      </c>
    </row>
    <row r="65" spans="1:14" s="343" customFormat="1" ht="12.75" customHeight="1" thickBot="1" x14ac:dyDescent="0.25">
      <c r="A65" s="1690" t="s">
        <v>742</v>
      </c>
      <c r="B65" s="1691" t="s">
        <v>35</v>
      </c>
      <c r="C65" s="1692">
        <f>SUM(C59:C64)</f>
        <v>2578067</v>
      </c>
      <c r="D65" s="1692">
        <f t="shared" ref="D65:L65" si="8">SUM(D59:D64)</f>
        <v>380315</v>
      </c>
      <c r="E65" s="1692">
        <f t="shared" si="8"/>
        <v>403532</v>
      </c>
      <c r="F65" s="1692">
        <f t="shared" si="8"/>
        <v>2428993</v>
      </c>
      <c r="G65" s="1692">
        <f t="shared" si="8"/>
        <v>71421</v>
      </c>
      <c r="H65" s="1692">
        <f t="shared" si="8"/>
        <v>177130</v>
      </c>
      <c r="I65" s="1692">
        <f t="shared" si="8"/>
        <v>4264</v>
      </c>
      <c r="J65" s="1692">
        <f t="shared" si="8"/>
        <v>0</v>
      </c>
      <c r="K65" s="1692">
        <f t="shared" si="8"/>
        <v>6043722</v>
      </c>
      <c r="L65" s="1692">
        <f t="shared" si="8"/>
        <v>6541436</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c r="D68" s="466"/>
      <c r="E68" s="466"/>
      <c r="F68" s="466"/>
      <c r="G68" s="466"/>
      <c r="H68" s="466"/>
      <c r="I68" s="467"/>
      <c r="J68" s="467"/>
      <c r="K68" s="1694">
        <f>SUM(C68:J68)</f>
        <v>0</v>
      </c>
      <c r="L68" s="466"/>
      <c r="M68" s="610"/>
      <c r="N68" s="610"/>
    </row>
    <row r="69" spans="1:14" s="343" customFormat="1" x14ac:dyDescent="0.2">
      <c r="A69" s="1526" t="s">
        <v>1120</v>
      </c>
      <c r="B69" s="615">
        <v>2630</v>
      </c>
      <c r="C69" s="466">
        <v>70000</v>
      </c>
      <c r="D69" s="466">
        <v>7372</v>
      </c>
      <c r="E69" s="466">
        <v>1701</v>
      </c>
      <c r="F69" s="466">
        <v>3978</v>
      </c>
      <c r="G69" s="466"/>
      <c r="H69" s="466">
        <v>750</v>
      </c>
      <c r="I69" s="467"/>
      <c r="J69" s="467"/>
      <c r="K69" s="1694">
        <f>SUM(C69:J69)</f>
        <v>83801</v>
      </c>
      <c r="L69" s="466">
        <v>85720</v>
      </c>
      <c r="M69" s="610"/>
      <c r="N69" s="610"/>
    </row>
    <row r="70" spans="1:14" s="343" customFormat="1" x14ac:dyDescent="0.2">
      <c r="A70" s="1526" t="s">
        <v>422</v>
      </c>
      <c r="B70" s="615">
        <v>2640</v>
      </c>
      <c r="C70" s="466">
        <v>310106</v>
      </c>
      <c r="D70" s="466">
        <v>54336</v>
      </c>
      <c r="E70" s="466">
        <v>27068</v>
      </c>
      <c r="F70" s="466">
        <v>20847</v>
      </c>
      <c r="G70" s="466"/>
      <c r="H70" s="466">
        <v>869</v>
      </c>
      <c r="I70" s="467"/>
      <c r="J70" s="467"/>
      <c r="K70" s="1694">
        <f>SUM(C70:J70)</f>
        <v>413226</v>
      </c>
      <c r="L70" s="466">
        <v>392724</v>
      </c>
      <c r="M70" s="610"/>
      <c r="N70" s="610"/>
    </row>
    <row r="71" spans="1:14" s="343" customFormat="1" x14ac:dyDescent="0.2">
      <c r="A71" s="1526" t="s">
        <v>423</v>
      </c>
      <c r="B71" s="615">
        <v>2660</v>
      </c>
      <c r="C71" s="466">
        <v>796335</v>
      </c>
      <c r="D71" s="466">
        <v>98654</v>
      </c>
      <c r="E71" s="466">
        <v>266480</v>
      </c>
      <c r="F71" s="466">
        <v>1198113</v>
      </c>
      <c r="G71" s="466"/>
      <c r="H71" s="466">
        <v>399</v>
      </c>
      <c r="I71" s="467"/>
      <c r="J71" s="467"/>
      <c r="K71" s="1694">
        <f>SUM(C71:J71)</f>
        <v>2359981</v>
      </c>
      <c r="L71" s="466">
        <v>2362994</v>
      </c>
      <c r="M71" s="610"/>
      <c r="N71" s="610"/>
    </row>
    <row r="72" spans="1:14" s="343" customFormat="1" ht="12.75" customHeight="1" thickBot="1" x14ac:dyDescent="0.25">
      <c r="A72" s="1690" t="s">
        <v>37</v>
      </c>
      <c r="B72" s="1697" t="s">
        <v>36</v>
      </c>
      <c r="C72" s="1692">
        <f>SUM(C67:C71)</f>
        <v>1176441</v>
      </c>
      <c r="D72" s="1692">
        <f t="shared" ref="D72:K72" si="9">SUM(D67:D71)</f>
        <v>160362</v>
      </c>
      <c r="E72" s="1692">
        <f t="shared" si="9"/>
        <v>295249</v>
      </c>
      <c r="F72" s="1692">
        <f t="shared" si="9"/>
        <v>1222938</v>
      </c>
      <c r="G72" s="1692">
        <f t="shared" si="9"/>
        <v>0</v>
      </c>
      <c r="H72" s="1692">
        <f t="shared" si="9"/>
        <v>2018</v>
      </c>
      <c r="I72" s="1692">
        <f t="shared" si="9"/>
        <v>0</v>
      </c>
      <c r="J72" s="1692">
        <f t="shared" si="9"/>
        <v>0</v>
      </c>
      <c r="K72" s="1692">
        <f t="shared" si="9"/>
        <v>2857008</v>
      </c>
      <c r="L72" s="1692">
        <f>SUM(L67:L71)</f>
        <v>2841438</v>
      </c>
      <c r="M72" s="610"/>
      <c r="N72" s="610"/>
    </row>
    <row r="73" spans="1:14" s="343" customFormat="1" ht="14.25" thickTop="1" thickBot="1" x14ac:dyDescent="0.25">
      <c r="A73" s="1532" t="s">
        <v>1036</v>
      </c>
      <c r="B73" s="633" t="s">
        <v>594</v>
      </c>
      <c r="C73" s="573"/>
      <c r="D73" s="573"/>
      <c r="E73" s="573"/>
      <c r="F73" s="573"/>
      <c r="G73" s="573"/>
      <c r="H73" s="573"/>
      <c r="I73" s="531"/>
      <c r="J73" s="531"/>
      <c r="K73" s="1692">
        <f>SUM(C73:J73)</f>
        <v>0</v>
      </c>
      <c r="L73" s="576">
        <v>50</v>
      </c>
      <c r="M73" s="610"/>
      <c r="N73" s="610"/>
    </row>
    <row r="74" spans="1:14" ht="12.75" customHeight="1" thickTop="1" thickBot="1" x14ac:dyDescent="0.25">
      <c r="A74" s="1690" t="s">
        <v>864</v>
      </c>
      <c r="B74" s="1698">
        <v>2000</v>
      </c>
      <c r="C74" s="1699">
        <f>SUM(C42,C47,C53,C57,C65,C72,C73)</f>
        <v>14931613</v>
      </c>
      <c r="D74" s="1699">
        <f t="shared" ref="D74:K74" si="10">SUM(D42,D47,D53,D57,D65,D72,D73)</f>
        <v>2504167</v>
      </c>
      <c r="E74" s="1699">
        <f t="shared" si="10"/>
        <v>1376807</v>
      </c>
      <c r="F74" s="1699">
        <f t="shared" si="10"/>
        <v>4153863</v>
      </c>
      <c r="G74" s="1699">
        <f t="shared" si="10"/>
        <v>71421</v>
      </c>
      <c r="H74" s="1699">
        <f t="shared" si="10"/>
        <v>229749</v>
      </c>
      <c r="I74" s="1699">
        <f t="shared" si="10"/>
        <v>8810</v>
      </c>
      <c r="J74" s="1699">
        <f t="shared" si="10"/>
        <v>0</v>
      </c>
      <c r="K74" s="1699">
        <f t="shared" si="10"/>
        <v>23276430</v>
      </c>
      <c r="L74" s="1699">
        <f>SUM(L42,L47,L53,L57,L65,L72,L73)</f>
        <v>24040048</v>
      </c>
    </row>
    <row r="75" spans="1:14" s="259" customFormat="1" ht="15.75" customHeight="1" thickTop="1" thickBot="1" x14ac:dyDescent="0.25">
      <c r="A75" s="1632" t="s">
        <v>49</v>
      </c>
      <c r="B75" s="1633" t="s">
        <v>595</v>
      </c>
      <c r="C75" s="573">
        <v>271401</v>
      </c>
      <c r="D75" s="573">
        <v>53450</v>
      </c>
      <c r="E75" s="573">
        <v>114467</v>
      </c>
      <c r="F75" s="573">
        <v>20036</v>
      </c>
      <c r="G75" s="573"/>
      <c r="H75" s="573"/>
      <c r="I75" s="531"/>
      <c r="J75" s="531"/>
      <c r="K75" s="1692">
        <f>SUM(C75:J75)</f>
        <v>459354</v>
      </c>
      <c r="L75" s="576">
        <v>515287</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c r="F79" s="617"/>
      <c r="G79" s="617"/>
      <c r="H79" s="466"/>
      <c r="I79" s="477"/>
      <c r="J79" s="477"/>
      <c r="K79" s="1693">
        <f t="shared" si="11"/>
        <v>0</v>
      </c>
      <c r="L79" s="466"/>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v>62523</v>
      </c>
      <c r="F83" s="617"/>
      <c r="G83" s="617"/>
      <c r="H83" s="466"/>
      <c r="I83" s="477"/>
      <c r="J83" s="477"/>
      <c r="K83" s="1693">
        <f t="shared" si="11"/>
        <v>62523</v>
      </c>
      <c r="L83" s="466">
        <v>54751</v>
      </c>
    </row>
    <row r="84" spans="1:12" ht="13.5" thickBot="1" x14ac:dyDescent="0.25">
      <c r="A84" s="1690" t="s">
        <v>1561</v>
      </c>
      <c r="B84" s="1700">
        <v>4100</v>
      </c>
      <c r="C84" s="617"/>
      <c r="D84" s="617"/>
      <c r="E84" s="1692">
        <f>SUM(E78:E83)</f>
        <v>62523</v>
      </c>
      <c r="F84" s="617"/>
      <c r="G84" s="617"/>
      <c r="H84" s="1692">
        <f>SUM(H78:H83)</f>
        <v>0</v>
      </c>
      <c r="I84" s="477"/>
      <c r="J84" s="477"/>
      <c r="K84" s="1692">
        <f>SUM(K78:K83)</f>
        <v>62523</v>
      </c>
      <c r="L84" s="1692">
        <f>SUM(L78:L83)</f>
        <v>54751</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c r="I86" s="477"/>
      <c r="J86" s="477"/>
      <c r="K86" s="1699">
        <f t="shared" ref="K86:K98" si="12">H86</f>
        <v>0</v>
      </c>
      <c r="L86" s="530"/>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v>759196</v>
      </c>
      <c r="I88" s="477"/>
      <c r="J88" s="477"/>
      <c r="K88" s="1699">
        <f t="shared" si="12"/>
        <v>759196</v>
      </c>
      <c r="L88" s="530">
        <v>700000</v>
      </c>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1637</v>
      </c>
      <c r="B92" s="1700">
        <v>4200</v>
      </c>
      <c r="C92" s="617"/>
      <c r="D92" s="617"/>
      <c r="E92" s="639"/>
      <c r="F92" s="617"/>
      <c r="G92" s="617"/>
      <c r="H92" s="1692">
        <f>SUM(H85:H91)</f>
        <v>759196</v>
      </c>
      <c r="I92" s="477"/>
      <c r="J92" s="477"/>
      <c r="K92" s="1699">
        <f t="shared" si="12"/>
        <v>759196</v>
      </c>
      <c r="L92" s="1692">
        <f>SUM(L85:L91)</f>
        <v>700000</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1564</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v>1153</v>
      </c>
      <c r="I99" s="477"/>
      <c r="J99" s="477"/>
      <c r="K99" s="1699">
        <f>SUM(E99,H99)</f>
        <v>1153</v>
      </c>
      <c r="L99" s="530">
        <v>5000</v>
      </c>
    </row>
    <row r="100" spans="1:14" ht="14.25" thickTop="1" thickBot="1" x14ac:dyDescent="0.25">
      <c r="A100" s="1702" t="s">
        <v>1562</v>
      </c>
      <c r="B100" s="1703">
        <v>4300</v>
      </c>
      <c r="C100" s="617"/>
      <c r="D100" s="617"/>
      <c r="E100" s="1699">
        <f>SUM(E93:E99)</f>
        <v>0</v>
      </c>
      <c r="F100" s="617"/>
      <c r="G100" s="617"/>
      <c r="H100" s="1699">
        <f>SUM(H93:H99)</f>
        <v>1153</v>
      </c>
      <c r="I100" s="477"/>
      <c r="J100" s="477"/>
      <c r="K100" s="1699">
        <f>SUM(K93:K99)</f>
        <v>1153</v>
      </c>
      <c r="L100" s="1699">
        <f>SUM(L93:L99)</f>
        <v>5000</v>
      </c>
    </row>
    <row r="101" spans="1:14" ht="12.75" customHeight="1" thickTop="1" thickBot="1" x14ac:dyDescent="0.25">
      <c r="A101" s="1532" t="s">
        <v>1565</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1563</v>
      </c>
      <c r="B102" s="1700">
        <v>4000</v>
      </c>
      <c r="C102" s="617"/>
      <c r="D102" s="617"/>
      <c r="E102" s="1699">
        <f>SUM(E84,E92,E100,E101)</f>
        <v>62523</v>
      </c>
      <c r="F102" s="617"/>
      <c r="G102" s="617"/>
      <c r="H102" s="1699">
        <f>SUM(H84,H92,H100,H101)</f>
        <v>760349</v>
      </c>
      <c r="I102" s="477"/>
      <c r="J102" s="477"/>
      <c r="K102" s="1699">
        <f>SUM(K84,K92,K100,K101)</f>
        <v>822872</v>
      </c>
      <c r="L102" s="1699">
        <f>SUM(L84,L92,L100,L101)</f>
        <v>759751</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80371</v>
      </c>
      <c r="I105" s="468"/>
      <c r="J105" s="468"/>
      <c r="K105" s="1693">
        <f>H105</f>
        <v>80371</v>
      </c>
      <c r="L105" s="481">
        <v>75000</v>
      </c>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80371</v>
      </c>
      <c r="I110" s="468"/>
      <c r="J110" s="468"/>
      <c r="K110" s="1692">
        <f>SUM(K105:K109)</f>
        <v>80371</v>
      </c>
      <c r="L110" s="1692">
        <f>SUM(L105:L109)</f>
        <v>75000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80371</v>
      </c>
      <c r="I112" s="468"/>
      <c r="J112" s="468"/>
      <c r="K112" s="1692">
        <f>SUM(K110:K111)</f>
        <v>80371</v>
      </c>
      <c r="L112" s="1699">
        <f>SUM(L110,L111)</f>
        <v>75000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73460090</v>
      </c>
      <c r="D114" s="1692">
        <f t="shared" ref="D114:K114" si="13">SUM(D33,D74,D75,D102,D112,D113)</f>
        <v>12040294</v>
      </c>
      <c r="E114" s="1692">
        <f t="shared" si="13"/>
        <v>1976983</v>
      </c>
      <c r="F114" s="1692">
        <f t="shared" si="13"/>
        <v>5465203</v>
      </c>
      <c r="G114" s="1692">
        <f t="shared" si="13"/>
        <v>130717</v>
      </c>
      <c r="H114" s="1692">
        <f>SUM(H33,H74,H75,H102,H112,H113)</f>
        <v>5182157</v>
      </c>
      <c r="I114" s="1692">
        <f t="shared" si="13"/>
        <v>63270</v>
      </c>
      <c r="J114" s="1692">
        <f t="shared" si="13"/>
        <v>0</v>
      </c>
      <c r="K114" s="1692">
        <f t="shared" si="13"/>
        <v>98318714</v>
      </c>
      <c r="L114" s="1692">
        <f>SUM(L33,L74,L75,L102,L112,L113)</f>
        <v>99530859</v>
      </c>
    </row>
    <row r="115" spans="1:14" ht="13.5" thickTop="1" x14ac:dyDescent="0.2">
      <c r="A115" s="2176" t="s">
        <v>1052</v>
      </c>
      <c r="B115" s="2177"/>
      <c r="C115" s="619"/>
      <c r="D115" s="619"/>
      <c r="E115" s="619"/>
      <c r="F115" s="619"/>
      <c r="G115" s="619"/>
      <c r="H115" s="619"/>
      <c r="I115" s="619"/>
      <c r="J115" s="619"/>
      <c r="K115" s="1706">
        <f>'Revenues 9-14'!C275-'Expenditures 15-22'!K114</f>
        <v>4653697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313</v>
      </c>
      <c r="B117" s="2182"/>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v>446</v>
      </c>
      <c r="G120" s="466"/>
      <c r="H120" s="466"/>
      <c r="I120" s="467"/>
      <c r="J120" s="467"/>
      <c r="K120" s="1693">
        <f>SUM(C120:J120)</f>
        <v>446</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15856</v>
      </c>
      <c r="F123" s="466"/>
      <c r="G123" s="466"/>
      <c r="H123" s="466"/>
      <c r="I123" s="467"/>
      <c r="J123" s="467"/>
      <c r="K123" s="1692">
        <f>SUM(C123:J123)</f>
        <v>15856</v>
      </c>
      <c r="L123" s="466">
        <v>7000</v>
      </c>
    </row>
    <row r="124" spans="1:14" ht="14.25" thickTop="1" thickBot="1" x14ac:dyDescent="0.25">
      <c r="A124" s="1526" t="s">
        <v>206</v>
      </c>
      <c r="B124" s="615">
        <v>2540</v>
      </c>
      <c r="C124" s="466">
        <v>5464635</v>
      </c>
      <c r="D124" s="466">
        <v>1038295</v>
      </c>
      <c r="E124" s="466">
        <v>1174766</v>
      </c>
      <c r="F124" s="466">
        <v>3851545</v>
      </c>
      <c r="G124" s="466">
        <v>336340</v>
      </c>
      <c r="H124" s="466">
        <v>3098</v>
      </c>
      <c r="I124" s="467">
        <v>17509</v>
      </c>
      <c r="J124" s="467"/>
      <c r="K124" s="1692">
        <f>SUM(C124:J124)</f>
        <v>11886188</v>
      </c>
      <c r="L124" s="466">
        <v>11936930</v>
      </c>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5464635</v>
      </c>
      <c r="D127" s="1692">
        <f t="shared" ref="D127:L127" si="14">SUM(D122:D126)</f>
        <v>1038295</v>
      </c>
      <c r="E127" s="1692">
        <f t="shared" si="14"/>
        <v>1190622</v>
      </c>
      <c r="F127" s="1692">
        <f t="shared" si="14"/>
        <v>3851545</v>
      </c>
      <c r="G127" s="1692">
        <f t="shared" si="14"/>
        <v>336340</v>
      </c>
      <c r="H127" s="1692">
        <f t="shared" si="14"/>
        <v>3098</v>
      </c>
      <c r="I127" s="1692">
        <f t="shared" si="14"/>
        <v>17509</v>
      </c>
      <c r="J127" s="1692">
        <f t="shared" si="14"/>
        <v>0</v>
      </c>
      <c r="K127" s="1692">
        <f t="shared" si="14"/>
        <v>11902044</v>
      </c>
      <c r="L127" s="1692">
        <f t="shared" si="14"/>
        <v>11943930</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5464635</v>
      </c>
      <c r="D129" s="1699">
        <f t="shared" ref="D129:L129" si="15">SUM(D120,D127,D128)</f>
        <v>1038295</v>
      </c>
      <c r="E129" s="1699">
        <f t="shared" si="15"/>
        <v>1190622</v>
      </c>
      <c r="F129" s="1699">
        <f t="shared" si="15"/>
        <v>3851991</v>
      </c>
      <c r="G129" s="1699">
        <f t="shared" si="15"/>
        <v>336340</v>
      </c>
      <c r="H129" s="1699">
        <f t="shared" si="15"/>
        <v>3098</v>
      </c>
      <c r="I129" s="1699">
        <f t="shared" si="15"/>
        <v>17509</v>
      </c>
      <c r="J129" s="1699">
        <f t="shared" si="15"/>
        <v>0</v>
      </c>
      <c r="K129" s="1699">
        <f t="shared" si="15"/>
        <v>11902490</v>
      </c>
      <c r="L129" s="1699">
        <f t="shared" si="15"/>
        <v>11943930</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1949</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1563</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93" t="s">
        <v>640</v>
      </c>
      <c r="B151" s="2173"/>
      <c r="C151" s="1692">
        <f>SUM(C129,C130,C139,C149,C150)</f>
        <v>5464635</v>
      </c>
      <c r="D151" s="1692">
        <f t="shared" ref="D151:K151" si="16">SUM(D129,D130,D139,D149,D150)</f>
        <v>1038295</v>
      </c>
      <c r="E151" s="1692">
        <f t="shared" si="16"/>
        <v>1190622</v>
      </c>
      <c r="F151" s="1692">
        <f t="shared" si="16"/>
        <v>3851991</v>
      </c>
      <c r="G151" s="1692">
        <f t="shared" si="16"/>
        <v>336340</v>
      </c>
      <c r="H151" s="1692">
        <f t="shared" si="16"/>
        <v>3098</v>
      </c>
      <c r="I151" s="1692">
        <f t="shared" si="16"/>
        <v>17509</v>
      </c>
      <c r="J151" s="1692">
        <f t="shared" si="16"/>
        <v>0</v>
      </c>
      <c r="K151" s="1692">
        <f t="shared" si="16"/>
        <v>11902490</v>
      </c>
      <c r="L151" s="1692">
        <f>SUM(L129,L130,L139,L149,L150)</f>
        <v>11943930</v>
      </c>
    </row>
    <row r="152" spans="1:14" ht="12.75" customHeight="1" thickTop="1" x14ac:dyDescent="0.2">
      <c r="A152" s="2196" t="s">
        <v>1239</v>
      </c>
      <c r="B152" s="2197"/>
      <c r="C152" s="619"/>
      <c r="D152" s="619"/>
      <c r="E152" s="619"/>
      <c r="F152" s="619"/>
      <c r="G152" s="619"/>
      <c r="H152" s="619"/>
      <c r="I152" s="619"/>
      <c r="J152" s="617"/>
      <c r="K152" s="1706">
        <f>'Revenues 9-14'!D275-'Expenditures 15-22'!K151</f>
        <v>972107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641</v>
      </c>
      <c r="B154" s="218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1950</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1949</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1951</v>
      </c>
      <c r="C158" s="617"/>
      <c r="D158" s="617"/>
      <c r="E158" s="617"/>
      <c r="F158" s="617"/>
      <c r="G158" s="617"/>
      <c r="H158" s="467"/>
      <c r="I158" s="617"/>
      <c r="J158" s="617"/>
      <c r="K158" s="1693">
        <f>H158</f>
        <v>0</v>
      </c>
      <c r="L158" s="467"/>
      <c r="M158" s="620"/>
      <c r="N158" s="620"/>
    </row>
    <row r="159" spans="1:14" s="621" customFormat="1" ht="12" x14ac:dyDescent="0.2">
      <c r="A159" s="1849" t="s">
        <v>1952</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1953</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5025910</v>
      </c>
      <c r="I169" s="617"/>
      <c r="J169" s="617"/>
      <c r="K169" s="1693">
        <f>SUM(C169:H169)</f>
        <v>5025910</v>
      </c>
      <c r="L169" s="657">
        <v>5002543</v>
      </c>
    </row>
    <row r="170" spans="1:14" ht="33.75" customHeight="1" x14ac:dyDescent="0.2">
      <c r="A170" s="670" t="s">
        <v>1765</v>
      </c>
      <c r="B170" s="672" t="s">
        <v>31</v>
      </c>
      <c r="C170" s="617"/>
      <c r="D170" s="617"/>
      <c r="E170" s="617"/>
      <c r="F170" s="617"/>
      <c r="G170" s="617"/>
      <c r="H170" s="569">
        <v>19270480</v>
      </c>
      <c r="I170" s="617"/>
      <c r="J170" s="617"/>
      <c r="K170" s="1693">
        <f>SUM(C170:J170)</f>
        <v>19270480</v>
      </c>
      <c r="L170" s="569">
        <v>18707872</v>
      </c>
    </row>
    <row r="171" spans="1:14" ht="15.75" customHeight="1" x14ac:dyDescent="0.2">
      <c r="A171" s="622" t="s">
        <v>789</v>
      </c>
      <c r="B171" s="673" t="s">
        <v>86</v>
      </c>
      <c r="C171" s="617"/>
      <c r="D171" s="617"/>
      <c r="E171" s="466"/>
      <c r="F171" s="617"/>
      <c r="G171" s="617"/>
      <c r="H171" s="569">
        <v>4586</v>
      </c>
      <c r="I171" s="477"/>
      <c r="J171" s="617"/>
      <c r="K171" s="1693">
        <f>SUM(C171:J171)</f>
        <v>4586</v>
      </c>
      <c r="L171" s="569">
        <v>5000</v>
      </c>
    </row>
    <row r="172" spans="1:14" ht="12.75" customHeight="1" thickBot="1" x14ac:dyDescent="0.25">
      <c r="A172" s="1690" t="s">
        <v>658</v>
      </c>
      <c r="B172" s="1691" t="s">
        <v>512</v>
      </c>
      <c r="C172" s="617"/>
      <c r="D172" s="617"/>
      <c r="E172" s="1699">
        <f>SUM(E168,E169,E170,E171)</f>
        <v>0</v>
      </c>
      <c r="F172" s="617"/>
      <c r="G172" s="617"/>
      <c r="H172" s="1699">
        <f>SUM(H168,H169,H170,H171)</f>
        <v>24300976</v>
      </c>
      <c r="I172" s="639"/>
      <c r="J172" s="617"/>
      <c r="K172" s="1699">
        <f>SUM(K168,K169,K170,K171)</f>
        <v>24300976</v>
      </c>
      <c r="L172" s="1699">
        <f>SUM(L168,L169,L170,L171)</f>
        <v>23715415</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24300976</v>
      </c>
      <c r="I174" s="639"/>
      <c r="J174" s="617"/>
      <c r="K174" s="1699">
        <f>SUM(K160,K172,K173)</f>
        <v>24300976</v>
      </c>
      <c r="L174" s="1699">
        <f>SUM(L160,L172,L173)</f>
        <v>23715415</v>
      </c>
    </row>
    <row r="175" spans="1:14" ht="13.5" thickTop="1" x14ac:dyDescent="0.2">
      <c r="A175" s="2176" t="s">
        <v>1052</v>
      </c>
      <c r="B175" s="2177"/>
      <c r="C175" s="617"/>
      <c r="D175" s="617"/>
      <c r="E175" s="617"/>
      <c r="F175" s="617"/>
      <c r="G175" s="617"/>
      <c r="H175" s="619"/>
      <c r="I175" s="617"/>
      <c r="J175" s="617"/>
      <c r="K175" s="1706">
        <f>'Revenues 9-14'!E275-'Expenditures 15-22'!K174</f>
        <v>-2413378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167049</v>
      </c>
      <c r="D182" s="466">
        <v>24048</v>
      </c>
      <c r="E182" s="466">
        <v>8594766</v>
      </c>
      <c r="F182" s="466">
        <v>859450</v>
      </c>
      <c r="G182" s="466">
        <v>3695597</v>
      </c>
      <c r="H182" s="466">
        <v>1430</v>
      </c>
      <c r="I182" s="467">
        <v>22292</v>
      </c>
      <c r="J182" s="467"/>
      <c r="K182" s="1693">
        <f>SUM(C182:J182)</f>
        <v>13364632</v>
      </c>
      <c r="L182" s="466">
        <v>13371685</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167049</v>
      </c>
      <c r="D184" s="1699">
        <f t="shared" ref="D184:J184" si="17">SUM(D180,D182,D183)</f>
        <v>24048</v>
      </c>
      <c r="E184" s="1699">
        <f t="shared" si="17"/>
        <v>8594766</v>
      </c>
      <c r="F184" s="1699">
        <f t="shared" si="17"/>
        <v>859450</v>
      </c>
      <c r="G184" s="1699">
        <f t="shared" si="17"/>
        <v>3695597</v>
      </c>
      <c r="H184" s="1699">
        <f t="shared" si="17"/>
        <v>1430</v>
      </c>
      <c r="I184" s="1699">
        <f t="shared" si="17"/>
        <v>22292</v>
      </c>
      <c r="J184" s="1699">
        <f t="shared" si="17"/>
        <v>0</v>
      </c>
      <c r="K184" s="1699">
        <f>SUM(K180,K182,K183)</f>
        <v>13364632</v>
      </c>
      <c r="L184" s="1699">
        <f>SUM(L180, L182:L183)</f>
        <v>13371685</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1563</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1766</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167049</v>
      </c>
      <c r="D210" s="1692">
        <f>SUM(D184,D185)</f>
        <v>24048</v>
      </c>
      <c r="E210" s="1692">
        <f>SUM(E184,E185,E196)</f>
        <v>8594766</v>
      </c>
      <c r="F210" s="1692">
        <f>SUM(F184,F185)</f>
        <v>859450</v>
      </c>
      <c r="G210" s="1692">
        <f>SUM(G184,G185)</f>
        <v>3695597</v>
      </c>
      <c r="H210" s="1692">
        <f>SUM(H184,H185,H196,H208,H209)</f>
        <v>1430</v>
      </c>
      <c r="I210" s="1692">
        <f>SUM(I184,I185)</f>
        <v>22292</v>
      </c>
      <c r="J210" s="1692">
        <f>SUM(J184,J185)</f>
        <v>0</v>
      </c>
      <c r="K210" s="1693">
        <f>SUM(K184,K185,K196,K208,K209)</f>
        <v>13364632</v>
      </c>
      <c r="L210" s="1692">
        <f>SUM(L184,L185,L196,L208,L209)</f>
        <v>13371685</v>
      </c>
    </row>
    <row r="211" spans="1:14" ht="13.5" thickTop="1" x14ac:dyDescent="0.2">
      <c r="A211" s="2176" t="s">
        <v>1052</v>
      </c>
      <c r="B211" s="2177"/>
      <c r="C211" s="619"/>
      <c r="D211" s="619"/>
      <c r="E211" s="619"/>
      <c r="F211" s="619"/>
      <c r="G211" s="619"/>
      <c r="H211" s="619"/>
      <c r="I211" s="617"/>
      <c r="J211" s="617"/>
      <c r="K211" s="1706">
        <f>'Revenues 9-14'!F275-'Expenditures 15-22'!K210</f>
        <v>-2134445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1021</v>
      </c>
      <c r="B213" s="2199"/>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f>565279+26249</f>
        <v>591528</v>
      </c>
      <c r="E215" s="617"/>
      <c r="F215" s="617"/>
      <c r="G215" s="617"/>
      <c r="H215" s="617"/>
      <c r="I215" s="617"/>
      <c r="J215" s="617"/>
      <c r="K215" s="1693">
        <f>D215</f>
        <v>591528</v>
      </c>
      <c r="L215" s="466">
        <v>432112</v>
      </c>
    </row>
    <row r="216" spans="1:14" x14ac:dyDescent="0.2">
      <c r="A216" s="1526" t="s">
        <v>165</v>
      </c>
      <c r="B216" s="615" t="s">
        <v>1023</v>
      </c>
      <c r="C216" s="617"/>
      <c r="D216" s="467"/>
      <c r="E216" s="617"/>
      <c r="F216" s="617"/>
      <c r="G216" s="617"/>
      <c r="H216" s="617"/>
      <c r="I216" s="617"/>
      <c r="J216" s="617"/>
      <c r="K216" s="1693">
        <f t="shared" ref="K216:K228" si="19">D216</f>
        <v>0</v>
      </c>
      <c r="L216" s="466">
        <v>177968</v>
      </c>
    </row>
    <row r="217" spans="1:14" x14ac:dyDescent="0.2">
      <c r="A217" s="1526" t="s">
        <v>166</v>
      </c>
      <c r="B217" s="615">
        <v>1200</v>
      </c>
      <c r="C217" s="617"/>
      <c r="D217" s="466">
        <f>580066+598067</f>
        <v>1178133</v>
      </c>
      <c r="E217" s="617"/>
      <c r="F217" s="617"/>
      <c r="G217" s="617"/>
      <c r="H217" s="617"/>
      <c r="I217" s="617"/>
      <c r="J217" s="617"/>
      <c r="K217" s="1693">
        <f t="shared" si="19"/>
        <v>1178133</v>
      </c>
      <c r="L217" s="466">
        <v>1184208</v>
      </c>
    </row>
    <row r="218" spans="1:14" x14ac:dyDescent="0.2">
      <c r="A218" s="1526" t="s">
        <v>295</v>
      </c>
      <c r="B218" s="615" t="s">
        <v>1024</v>
      </c>
      <c r="C218" s="617"/>
      <c r="D218" s="467"/>
      <c r="E218" s="617"/>
      <c r="F218" s="617"/>
      <c r="G218" s="617"/>
      <c r="H218" s="617"/>
      <c r="I218" s="617"/>
      <c r="J218" s="617"/>
      <c r="K218" s="1693">
        <f t="shared" si="19"/>
        <v>0</v>
      </c>
      <c r="L218" s="466"/>
    </row>
    <row r="219" spans="1:14" x14ac:dyDescent="0.2">
      <c r="A219" s="1526" t="s">
        <v>296</v>
      </c>
      <c r="B219" s="615">
        <v>1250</v>
      </c>
      <c r="C219" s="617"/>
      <c r="D219" s="466">
        <v>13869</v>
      </c>
      <c r="E219" s="617"/>
      <c r="F219" s="617"/>
      <c r="G219" s="617"/>
      <c r="H219" s="617"/>
      <c r="I219" s="617"/>
      <c r="J219" s="617"/>
      <c r="K219" s="1693">
        <f t="shared" si="19"/>
        <v>13869</v>
      </c>
      <c r="L219" s="466">
        <v>37</v>
      </c>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c r="E221" s="617"/>
      <c r="F221" s="617"/>
      <c r="G221" s="617"/>
      <c r="H221" s="617"/>
      <c r="I221" s="617"/>
      <c r="J221" s="617"/>
      <c r="K221" s="1693">
        <f t="shared" si="19"/>
        <v>0</v>
      </c>
      <c r="L221" s="466"/>
    </row>
    <row r="222" spans="1:14" x14ac:dyDescent="0.2">
      <c r="A222" s="1526" t="s">
        <v>746</v>
      </c>
      <c r="B222" s="615">
        <v>1400</v>
      </c>
      <c r="C222" s="617"/>
      <c r="D222" s="466">
        <v>62</v>
      </c>
      <c r="E222" s="617"/>
      <c r="F222" s="617"/>
      <c r="G222" s="617"/>
      <c r="H222" s="617"/>
      <c r="I222" s="617"/>
      <c r="J222" s="617"/>
      <c r="K222" s="1693">
        <f t="shared" si="19"/>
        <v>62</v>
      </c>
      <c r="L222" s="466"/>
    </row>
    <row r="223" spans="1:14" x14ac:dyDescent="0.2">
      <c r="A223" s="1526" t="s">
        <v>1019</v>
      </c>
      <c r="B223" s="615">
        <v>1500</v>
      </c>
      <c r="C223" s="617"/>
      <c r="D223" s="466">
        <f>19357+3235</f>
        <v>22592</v>
      </c>
      <c r="E223" s="617"/>
      <c r="F223" s="617"/>
      <c r="G223" s="617"/>
      <c r="H223" s="617"/>
      <c r="I223" s="617"/>
      <c r="J223" s="617"/>
      <c r="K223" s="1693">
        <f t="shared" si="19"/>
        <v>22592</v>
      </c>
      <c r="L223" s="466">
        <v>22716</v>
      </c>
    </row>
    <row r="224" spans="1:14" x14ac:dyDescent="0.2">
      <c r="A224" s="1526" t="s">
        <v>1020</v>
      </c>
      <c r="B224" s="615">
        <v>1600</v>
      </c>
      <c r="C224" s="617"/>
      <c r="D224" s="466">
        <f>5601+5778</f>
        <v>11379</v>
      </c>
      <c r="E224" s="617"/>
      <c r="F224" s="617"/>
      <c r="G224" s="617"/>
      <c r="H224" s="617"/>
      <c r="I224" s="617"/>
      <c r="J224" s="617"/>
      <c r="K224" s="1693">
        <f t="shared" si="19"/>
        <v>11379</v>
      </c>
      <c r="L224" s="466">
        <v>12403</v>
      </c>
    </row>
    <row r="225" spans="1:12" x14ac:dyDescent="0.2">
      <c r="A225" s="1526" t="s">
        <v>1043</v>
      </c>
      <c r="B225" s="615">
        <v>1650</v>
      </c>
      <c r="C225" s="617"/>
      <c r="D225" s="466"/>
      <c r="E225" s="617"/>
      <c r="F225" s="617"/>
      <c r="G225" s="617"/>
      <c r="H225" s="617"/>
      <c r="I225" s="617"/>
      <c r="J225" s="617"/>
      <c r="K225" s="1693">
        <f t="shared" si="19"/>
        <v>0</v>
      </c>
      <c r="L225" s="466"/>
    </row>
    <row r="226" spans="1:12" x14ac:dyDescent="0.2">
      <c r="A226" s="1526" t="s">
        <v>747</v>
      </c>
      <c r="B226" s="615" t="s">
        <v>164</v>
      </c>
      <c r="C226" s="617"/>
      <c r="D226" s="467">
        <v>202</v>
      </c>
      <c r="E226" s="617"/>
      <c r="F226" s="617"/>
      <c r="G226" s="617"/>
      <c r="H226" s="617"/>
      <c r="I226" s="617"/>
      <c r="J226" s="617"/>
      <c r="K226" s="1693">
        <f t="shared" si="19"/>
        <v>202</v>
      </c>
      <c r="L226" s="466">
        <v>321</v>
      </c>
    </row>
    <row r="227" spans="1:12" x14ac:dyDescent="0.2">
      <c r="A227" s="1526" t="s">
        <v>1147</v>
      </c>
      <c r="B227" s="615">
        <v>1800</v>
      </c>
      <c r="C227" s="617"/>
      <c r="D227" s="466">
        <f>13988+1616</f>
        <v>15604</v>
      </c>
      <c r="E227" s="617"/>
      <c r="F227" s="617"/>
      <c r="G227" s="617"/>
      <c r="H227" s="617"/>
      <c r="I227" s="617"/>
      <c r="J227" s="617"/>
      <c r="K227" s="1693">
        <f t="shared" si="19"/>
        <v>15604</v>
      </c>
      <c r="L227" s="466">
        <v>14941</v>
      </c>
    </row>
    <row r="228" spans="1:12" x14ac:dyDescent="0.2">
      <c r="A228" s="1526" t="s">
        <v>1148</v>
      </c>
      <c r="B228" s="615">
        <v>1900</v>
      </c>
      <c r="C228" s="617"/>
      <c r="D228" s="466"/>
      <c r="E228" s="617"/>
      <c r="F228" s="617"/>
      <c r="G228" s="617"/>
      <c r="H228" s="617"/>
      <c r="I228" s="617"/>
      <c r="J228" s="617"/>
      <c r="K228" s="1693">
        <f t="shared" si="19"/>
        <v>0</v>
      </c>
      <c r="L228" s="466"/>
    </row>
    <row r="229" spans="1:12" ht="12.75" customHeight="1" thickBot="1" x14ac:dyDescent="0.25">
      <c r="A229" s="1690" t="s">
        <v>738</v>
      </c>
      <c r="B229" s="1697" t="s">
        <v>590</v>
      </c>
      <c r="C229" s="617"/>
      <c r="D229" s="1692">
        <f>SUM(D215:D228)</f>
        <v>1833369</v>
      </c>
      <c r="E229" s="617"/>
      <c r="F229" s="617"/>
      <c r="G229" s="617"/>
      <c r="H229" s="617"/>
      <c r="I229" s="617"/>
      <c r="J229" s="617"/>
      <c r="K229" s="1692">
        <f>SUM(K215:K228)</f>
        <v>1833369</v>
      </c>
      <c r="L229" s="1692">
        <f>SUM(L215:L228)</f>
        <v>1844706</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12476</v>
      </c>
      <c r="E232" s="617"/>
      <c r="F232" s="617"/>
      <c r="G232" s="617"/>
      <c r="H232" s="617"/>
      <c r="I232" s="617"/>
      <c r="J232" s="617"/>
      <c r="K232" s="1693">
        <f t="shared" ref="K232:K237" si="20">D232</f>
        <v>12476</v>
      </c>
      <c r="L232" s="466">
        <v>11872</v>
      </c>
    </row>
    <row r="233" spans="1:12" x14ac:dyDescent="0.2">
      <c r="A233" s="1526" t="s">
        <v>1150</v>
      </c>
      <c r="B233" s="615">
        <v>2120</v>
      </c>
      <c r="C233" s="617"/>
      <c r="D233" s="466">
        <f>25449+13352+1</f>
        <v>38802</v>
      </c>
      <c r="E233" s="617"/>
      <c r="F233" s="617"/>
      <c r="G233" s="617"/>
      <c r="H233" s="617"/>
      <c r="I233" s="617"/>
      <c r="J233" s="617"/>
      <c r="K233" s="1693">
        <f t="shared" si="20"/>
        <v>38802</v>
      </c>
      <c r="L233" s="466">
        <v>38265</v>
      </c>
    </row>
    <row r="234" spans="1:12" x14ac:dyDescent="0.2">
      <c r="A234" s="1526" t="s">
        <v>207</v>
      </c>
      <c r="B234" s="615">
        <v>2130</v>
      </c>
      <c r="C234" s="617"/>
      <c r="D234" s="466">
        <f>29464+29275</f>
        <v>58739</v>
      </c>
      <c r="E234" s="617"/>
      <c r="F234" s="617"/>
      <c r="G234" s="617"/>
      <c r="H234" s="617"/>
      <c r="I234" s="617"/>
      <c r="J234" s="617"/>
      <c r="K234" s="1693">
        <f t="shared" si="20"/>
        <v>58739</v>
      </c>
      <c r="L234" s="466">
        <v>48112</v>
      </c>
    </row>
    <row r="235" spans="1:12" x14ac:dyDescent="0.2">
      <c r="A235" s="1526" t="s">
        <v>208</v>
      </c>
      <c r="B235" s="615">
        <v>2140</v>
      </c>
      <c r="C235" s="617"/>
      <c r="D235" s="466">
        <v>10837</v>
      </c>
      <c r="E235" s="617"/>
      <c r="F235" s="617"/>
      <c r="G235" s="617"/>
      <c r="H235" s="617"/>
      <c r="I235" s="617"/>
      <c r="J235" s="617"/>
      <c r="K235" s="1693">
        <f t="shared" si="20"/>
        <v>10837</v>
      </c>
      <c r="L235" s="466">
        <v>10669</v>
      </c>
    </row>
    <row r="236" spans="1:12" x14ac:dyDescent="0.2">
      <c r="A236" s="1526" t="s">
        <v>209</v>
      </c>
      <c r="B236" s="615">
        <v>2150</v>
      </c>
      <c r="C236" s="617"/>
      <c r="D236" s="466">
        <v>6249</v>
      </c>
      <c r="E236" s="617"/>
      <c r="F236" s="617"/>
      <c r="G236" s="617"/>
      <c r="H236" s="617"/>
      <c r="I236" s="617"/>
      <c r="J236" s="617"/>
      <c r="K236" s="1693">
        <f t="shared" si="20"/>
        <v>6249</v>
      </c>
      <c r="L236" s="466">
        <v>6256</v>
      </c>
    </row>
    <row r="237" spans="1:12" x14ac:dyDescent="0.2">
      <c r="A237" s="1526" t="s">
        <v>167</v>
      </c>
      <c r="B237" s="615">
        <v>2190</v>
      </c>
      <c r="C237" s="617"/>
      <c r="D237" s="466">
        <v>171</v>
      </c>
      <c r="E237" s="617"/>
      <c r="F237" s="617"/>
      <c r="G237" s="617"/>
      <c r="H237" s="617"/>
      <c r="I237" s="617"/>
      <c r="J237" s="617"/>
      <c r="K237" s="1693">
        <f t="shared" si="20"/>
        <v>171</v>
      </c>
      <c r="L237" s="466">
        <v>107</v>
      </c>
    </row>
    <row r="238" spans="1:12" ht="12.75" customHeight="1" thickBot="1" x14ac:dyDescent="0.25">
      <c r="A238" s="1690" t="s">
        <v>580</v>
      </c>
      <c r="B238" s="1697" t="s">
        <v>739</v>
      </c>
      <c r="C238" s="617"/>
      <c r="D238" s="1692">
        <f>SUM(D232:D237)</f>
        <v>127274</v>
      </c>
      <c r="E238" s="617"/>
      <c r="F238" s="617"/>
      <c r="G238" s="617"/>
      <c r="H238" s="617"/>
      <c r="I238" s="617"/>
      <c r="J238" s="617"/>
      <c r="K238" s="1692">
        <f>SUM(K232:K237)</f>
        <v>127274</v>
      </c>
      <c r="L238" s="1692">
        <f>SUM(L232:L237)</f>
        <v>115281</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f>22695+15630</f>
        <v>38325</v>
      </c>
      <c r="E240" s="617"/>
      <c r="F240" s="617"/>
      <c r="G240" s="617"/>
      <c r="H240" s="617"/>
      <c r="I240" s="617"/>
      <c r="J240" s="617"/>
      <c r="K240" s="1694">
        <f>D240</f>
        <v>38325</v>
      </c>
      <c r="L240" s="481">
        <v>39455</v>
      </c>
    </row>
    <row r="241" spans="1:12" x14ac:dyDescent="0.2">
      <c r="A241" s="1526" t="s">
        <v>868</v>
      </c>
      <c r="B241" s="615">
        <v>2220</v>
      </c>
      <c r="C241" s="617"/>
      <c r="D241" s="466">
        <f>15600+2493</f>
        <v>18093</v>
      </c>
      <c r="E241" s="617"/>
      <c r="F241" s="617"/>
      <c r="G241" s="617"/>
      <c r="H241" s="617"/>
      <c r="I241" s="617"/>
      <c r="J241" s="617"/>
      <c r="K241" s="1694">
        <f>D241</f>
        <v>18093</v>
      </c>
      <c r="L241" s="466">
        <v>21709</v>
      </c>
    </row>
    <row r="242" spans="1:12" x14ac:dyDescent="0.2">
      <c r="A242" s="1526" t="s">
        <v>869</v>
      </c>
      <c r="B242" s="615">
        <v>2230</v>
      </c>
      <c r="C242" s="617"/>
      <c r="D242" s="466"/>
      <c r="E242" s="617"/>
      <c r="F242" s="617"/>
      <c r="G242" s="617"/>
      <c r="H242" s="617"/>
      <c r="I242" s="617"/>
      <c r="J242" s="617"/>
      <c r="K242" s="1694">
        <f>D242</f>
        <v>0</v>
      </c>
      <c r="L242" s="466"/>
    </row>
    <row r="243" spans="1:12" ht="12.75" customHeight="1" thickBot="1" x14ac:dyDescent="0.25">
      <c r="A243" s="1716" t="s">
        <v>581</v>
      </c>
      <c r="B243" s="1717">
        <v>2200</v>
      </c>
      <c r="C243" s="617"/>
      <c r="D243" s="1692">
        <f>SUM(D240:D242)</f>
        <v>56418</v>
      </c>
      <c r="E243" s="617"/>
      <c r="F243" s="617"/>
      <c r="G243" s="617"/>
      <c r="H243" s="617"/>
      <c r="I243" s="617"/>
      <c r="J243" s="617"/>
      <c r="K243" s="1692">
        <f>SUM(K240:K242)</f>
        <v>56418</v>
      </c>
      <c r="L243" s="1692">
        <f>SUM(L240:L242)</f>
        <v>61164</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1074</v>
      </c>
      <c r="E245" s="617"/>
      <c r="F245" s="617"/>
      <c r="G245" s="617"/>
      <c r="H245" s="617"/>
      <c r="I245" s="617"/>
      <c r="J245" s="617"/>
      <c r="K245" s="1694">
        <f>D245</f>
        <v>1074</v>
      </c>
      <c r="L245" s="481"/>
    </row>
    <row r="246" spans="1:12" x14ac:dyDescent="0.2">
      <c r="A246" s="1526" t="s">
        <v>871</v>
      </c>
      <c r="B246" s="615">
        <v>2320</v>
      </c>
      <c r="C246" s="617"/>
      <c r="D246" s="466">
        <f>7737+7122</f>
        <v>14859</v>
      </c>
      <c r="E246" s="617"/>
      <c r="F246" s="617"/>
      <c r="G246" s="617"/>
      <c r="H246" s="617"/>
      <c r="I246" s="617"/>
      <c r="J246" s="617"/>
      <c r="K246" s="1694">
        <f t="shared" ref="K246:K256" si="21">D246</f>
        <v>14859</v>
      </c>
      <c r="L246" s="466">
        <v>15797</v>
      </c>
    </row>
    <row r="247" spans="1:12" x14ac:dyDescent="0.2">
      <c r="A247" s="1526" t="s">
        <v>872</v>
      </c>
      <c r="B247" s="615">
        <v>2330</v>
      </c>
      <c r="C247" s="617"/>
      <c r="D247" s="466">
        <f>6278+7930</f>
        <v>14208</v>
      </c>
      <c r="E247" s="617"/>
      <c r="F247" s="617"/>
      <c r="G247" s="617"/>
      <c r="H247" s="617"/>
      <c r="I247" s="617"/>
      <c r="J247" s="617"/>
      <c r="K247" s="1694">
        <f t="shared" si="21"/>
        <v>14208</v>
      </c>
      <c r="L247" s="466">
        <v>12597</v>
      </c>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1901</v>
      </c>
      <c r="B249" s="684" t="s">
        <v>299</v>
      </c>
      <c r="C249" s="617"/>
      <c r="D249" s="474"/>
      <c r="E249" s="617"/>
      <c r="F249" s="617"/>
      <c r="G249" s="617"/>
      <c r="H249" s="617"/>
      <c r="I249" s="617"/>
      <c r="J249" s="617"/>
      <c r="K249" s="1694">
        <f t="shared" si="21"/>
        <v>0</v>
      </c>
      <c r="L249" s="466"/>
    </row>
    <row r="250" spans="1:12" x14ac:dyDescent="0.2">
      <c r="A250" s="1527" t="s">
        <v>1902</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c r="E254" s="617"/>
      <c r="F254" s="617"/>
      <c r="G254" s="617"/>
      <c r="H254" s="617"/>
      <c r="I254" s="617"/>
      <c r="J254" s="617"/>
      <c r="K254" s="1694">
        <f t="shared" si="21"/>
        <v>0</v>
      </c>
      <c r="L254" s="466"/>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f>9911+15176</f>
        <v>25087</v>
      </c>
      <c r="E256" s="617"/>
      <c r="F256" s="617"/>
      <c r="G256" s="617"/>
      <c r="H256" s="617"/>
      <c r="I256" s="617"/>
      <c r="J256" s="617"/>
      <c r="K256" s="1694">
        <f t="shared" si="21"/>
        <v>25087</v>
      </c>
      <c r="L256" s="466">
        <v>36085</v>
      </c>
    </row>
    <row r="257" spans="1:14" ht="12.75" customHeight="1" thickBot="1" x14ac:dyDescent="0.25">
      <c r="A257" s="1690" t="s">
        <v>740</v>
      </c>
      <c r="B257" s="1718">
        <v>2300</v>
      </c>
      <c r="C257" s="617"/>
      <c r="D257" s="1692">
        <f>SUM(D245:D256)</f>
        <v>55228</v>
      </c>
      <c r="E257" s="617"/>
      <c r="F257" s="617"/>
      <c r="G257" s="617"/>
      <c r="H257" s="617"/>
      <c r="I257" s="617"/>
      <c r="J257" s="617"/>
      <c r="K257" s="1692">
        <f>SUM(K245:K256)</f>
        <v>55228</v>
      </c>
      <c r="L257" s="1692">
        <f>SUM(L245:L256)</f>
        <v>64479</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f>156120+161692</f>
        <v>317812</v>
      </c>
      <c r="E259" s="617"/>
      <c r="F259" s="617"/>
      <c r="G259" s="617"/>
      <c r="H259" s="617"/>
      <c r="I259" s="617"/>
      <c r="J259" s="617"/>
      <c r="K259" s="1694">
        <f>D259</f>
        <v>317812</v>
      </c>
      <c r="L259" s="481">
        <v>323094</v>
      </c>
    </row>
    <row r="260" spans="1:14" s="598" customFormat="1" x14ac:dyDescent="0.2">
      <c r="A260" s="1544" t="s">
        <v>1900</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317812</v>
      </c>
      <c r="E261" s="617"/>
      <c r="F261" s="617"/>
      <c r="G261" s="617"/>
      <c r="H261" s="617"/>
      <c r="I261" s="617"/>
      <c r="J261" s="617"/>
      <c r="K261" s="1692">
        <f>SUM(K259:K260)</f>
        <v>317812</v>
      </c>
      <c r="L261" s="1692">
        <f>SUM(L259:L260)</f>
        <v>323094</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f>9814+12343+1</f>
        <v>22158</v>
      </c>
      <c r="E263" s="617"/>
      <c r="F263" s="617"/>
      <c r="G263" s="617"/>
      <c r="H263" s="617"/>
      <c r="I263" s="617"/>
      <c r="J263" s="617"/>
      <c r="K263" s="1694">
        <f>D263</f>
        <v>22158</v>
      </c>
      <c r="L263" s="481">
        <v>29930</v>
      </c>
    </row>
    <row r="264" spans="1:14" x14ac:dyDescent="0.2">
      <c r="A264" s="1526" t="s">
        <v>482</v>
      </c>
      <c r="B264" s="686">
        <v>2520</v>
      </c>
      <c r="C264" s="617"/>
      <c r="D264" s="466">
        <f>22786+33815</f>
        <v>56601</v>
      </c>
      <c r="E264" s="617"/>
      <c r="F264" s="617"/>
      <c r="G264" s="617"/>
      <c r="H264" s="617"/>
      <c r="I264" s="617"/>
      <c r="J264" s="617"/>
      <c r="K264" s="1694">
        <f t="shared" ref="K264:K269" si="22">D264</f>
        <v>56601</v>
      </c>
      <c r="L264" s="466">
        <v>60008</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f>407349+588344</f>
        <v>995693</v>
      </c>
      <c r="E266" s="617"/>
      <c r="F266" s="617"/>
      <c r="G266" s="617"/>
      <c r="H266" s="617"/>
      <c r="I266" s="617"/>
      <c r="J266" s="617"/>
      <c r="K266" s="1694">
        <f t="shared" si="22"/>
        <v>995693</v>
      </c>
      <c r="L266" s="466">
        <v>979086</v>
      </c>
    </row>
    <row r="267" spans="1:14" x14ac:dyDescent="0.2">
      <c r="A267" s="1526" t="s">
        <v>1009</v>
      </c>
      <c r="B267" s="615">
        <v>2550</v>
      </c>
      <c r="C267" s="617"/>
      <c r="D267" s="466">
        <f>11547+17762+1</f>
        <v>29310</v>
      </c>
      <c r="E267" s="617"/>
      <c r="F267" s="617"/>
      <c r="G267" s="617"/>
      <c r="H267" s="617"/>
      <c r="I267" s="617"/>
      <c r="J267" s="617"/>
      <c r="K267" s="1694">
        <f t="shared" si="22"/>
        <v>29310</v>
      </c>
      <c r="L267" s="466">
        <v>33571</v>
      </c>
    </row>
    <row r="268" spans="1:14" x14ac:dyDescent="0.2">
      <c r="A268" s="1526" t="s">
        <v>102</v>
      </c>
      <c r="B268" s="615">
        <v>2560</v>
      </c>
      <c r="C268" s="617"/>
      <c r="D268" s="466">
        <f>156774+195626+1</f>
        <v>352401</v>
      </c>
      <c r="E268" s="617"/>
      <c r="F268" s="617"/>
      <c r="G268" s="617"/>
      <c r="H268" s="617"/>
      <c r="I268" s="617"/>
      <c r="J268" s="617"/>
      <c r="K268" s="1694">
        <f t="shared" si="22"/>
        <v>352401</v>
      </c>
      <c r="L268" s="466">
        <v>371790</v>
      </c>
    </row>
    <row r="269" spans="1:14" x14ac:dyDescent="0.2">
      <c r="A269" s="1526" t="s">
        <v>103</v>
      </c>
      <c r="B269" s="615">
        <v>2570</v>
      </c>
      <c r="C269" s="617"/>
      <c r="D269" s="466">
        <f>4384+6140</f>
        <v>10524</v>
      </c>
      <c r="E269" s="617"/>
      <c r="F269" s="617"/>
      <c r="G269" s="617"/>
      <c r="H269" s="617"/>
      <c r="I269" s="617"/>
      <c r="J269" s="617"/>
      <c r="K269" s="1694">
        <f t="shared" si="22"/>
        <v>10524</v>
      </c>
      <c r="L269" s="466">
        <v>10963</v>
      </c>
    </row>
    <row r="270" spans="1:14" ht="12.75" customHeight="1" thickBot="1" x14ac:dyDescent="0.25">
      <c r="A270" s="1690" t="s">
        <v>742</v>
      </c>
      <c r="B270" s="1697" t="s">
        <v>35</v>
      </c>
      <c r="C270" s="617"/>
      <c r="D270" s="1692">
        <f>SUM(D263:D269)</f>
        <v>1466687</v>
      </c>
      <c r="E270" s="617"/>
      <c r="F270" s="617"/>
      <c r="G270" s="617"/>
      <c r="H270" s="617"/>
      <c r="I270" s="617"/>
      <c r="J270" s="617"/>
      <c r="K270" s="1692">
        <f>SUM(K263:K269)</f>
        <v>1466687</v>
      </c>
      <c r="L270" s="1692">
        <f>SUM(L263:L269)</f>
        <v>1485348</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f>5239+7615</f>
        <v>12854</v>
      </c>
      <c r="E274" s="617"/>
      <c r="F274" s="617"/>
      <c r="G274" s="617"/>
      <c r="H274" s="617"/>
      <c r="I274" s="617"/>
      <c r="J274" s="617"/>
      <c r="K274" s="1694">
        <f>D274</f>
        <v>12854</v>
      </c>
      <c r="L274" s="466">
        <v>13706</v>
      </c>
    </row>
    <row r="275" spans="1:12" x14ac:dyDescent="0.2">
      <c r="A275" s="1526" t="s">
        <v>422</v>
      </c>
      <c r="B275" s="615">
        <v>2640</v>
      </c>
      <c r="C275" s="617"/>
      <c r="D275" s="466">
        <f>15579+19657</f>
        <v>35236</v>
      </c>
      <c r="E275" s="617"/>
      <c r="F275" s="617"/>
      <c r="G275" s="617"/>
      <c r="H275" s="617"/>
      <c r="I275" s="617"/>
      <c r="J275" s="617"/>
      <c r="K275" s="1694">
        <f>D275</f>
        <v>35236</v>
      </c>
      <c r="L275" s="466">
        <v>31697</v>
      </c>
    </row>
    <row r="276" spans="1:12" x14ac:dyDescent="0.2">
      <c r="A276" s="1526" t="s">
        <v>423</v>
      </c>
      <c r="B276" s="615">
        <v>2660</v>
      </c>
      <c r="C276" s="617"/>
      <c r="D276" s="466">
        <f>53933+75886</f>
        <v>129819</v>
      </c>
      <c r="E276" s="617"/>
      <c r="F276" s="617"/>
      <c r="G276" s="617"/>
      <c r="H276" s="617"/>
      <c r="I276" s="617"/>
      <c r="J276" s="617"/>
      <c r="K276" s="1694">
        <f>D276</f>
        <v>129819</v>
      </c>
      <c r="L276" s="466">
        <v>131997</v>
      </c>
    </row>
    <row r="277" spans="1:12" ht="12.75" customHeight="1" thickBot="1" x14ac:dyDescent="0.25">
      <c r="A277" s="1713" t="s">
        <v>37</v>
      </c>
      <c r="B277" s="1691" t="s">
        <v>36</v>
      </c>
      <c r="C277" s="617"/>
      <c r="D277" s="1692">
        <f>SUM(D272:D276)</f>
        <v>177909</v>
      </c>
      <c r="E277" s="617"/>
      <c r="F277" s="617"/>
      <c r="G277" s="617"/>
      <c r="H277" s="617"/>
      <c r="I277" s="617"/>
      <c r="J277" s="617"/>
      <c r="K277" s="1692">
        <f>SUM(K272:K276)</f>
        <v>177909</v>
      </c>
      <c r="L277" s="1692">
        <f>SUM(L272:L276)</f>
        <v>177400</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2201328</v>
      </c>
      <c r="E279" s="617"/>
      <c r="F279" s="617"/>
      <c r="G279" s="617"/>
      <c r="H279" s="617"/>
      <c r="I279" s="617"/>
      <c r="J279" s="617"/>
      <c r="K279" s="1699">
        <f>SUM(K238,K243,K257,K261,K270,K277,K278)</f>
        <v>2201328</v>
      </c>
      <c r="L279" s="1699">
        <f>SUM(L238,L243,L257,L261,L270,L277,L278)</f>
        <v>2226766</v>
      </c>
    </row>
    <row r="280" spans="1:12" ht="15.75" customHeight="1" thickTop="1" thickBot="1" x14ac:dyDescent="0.25">
      <c r="A280" s="1646" t="s">
        <v>929</v>
      </c>
      <c r="B280" s="1635">
        <v>3000</v>
      </c>
      <c r="C280" s="617"/>
      <c r="D280" s="576">
        <f>12028+15000</f>
        <v>27028</v>
      </c>
      <c r="E280" s="617"/>
      <c r="F280" s="617"/>
      <c r="G280" s="617"/>
      <c r="H280" s="617"/>
      <c r="I280" s="617"/>
      <c r="J280" s="617"/>
      <c r="K280" s="1701">
        <f>D280</f>
        <v>27028</v>
      </c>
      <c r="L280" s="576">
        <v>26062</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1949</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1563</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94" t="s">
        <v>525</v>
      </c>
      <c r="B295" s="2195"/>
      <c r="C295" s="617"/>
      <c r="D295" s="1692">
        <f>SUM(D229,D279,D280,D285)</f>
        <v>4061725</v>
      </c>
      <c r="E295" s="617"/>
      <c r="F295" s="617"/>
      <c r="G295" s="617"/>
      <c r="H295" s="1692">
        <f>H293</f>
        <v>0</v>
      </c>
      <c r="I295" s="617"/>
      <c r="J295" s="617"/>
      <c r="K295" s="1692">
        <f>SUM(K229,K279,K280,K285,K293,K294)</f>
        <v>4061725</v>
      </c>
      <c r="L295" s="1692">
        <f>SUM(L229,L279,L280,L285,L293,L294)</f>
        <v>4097534</v>
      </c>
    </row>
    <row r="296" spans="1:14" ht="13.5" thickTop="1" x14ac:dyDescent="0.2">
      <c r="A296" s="2176" t="s">
        <v>1052</v>
      </c>
      <c r="B296" s="2177"/>
      <c r="C296" s="617"/>
      <c r="D296" s="619"/>
      <c r="E296" s="617"/>
      <c r="F296" s="617"/>
      <c r="G296" s="617"/>
      <c r="H296" s="688"/>
      <c r="I296" s="617"/>
      <c r="J296" s="617"/>
      <c r="K296" s="1706">
        <f>'Revenues 9-14'!G275-'Expenditures 15-22'!K295</f>
        <v>233088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v>31180</v>
      </c>
      <c r="F301" s="466"/>
      <c r="G301" s="466">
        <v>306883</v>
      </c>
      <c r="H301" s="466"/>
      <c r="I301" s="467"/>
      <c r="J301" s="467"/>
      <c r="K301" s="1693">
        <f>SUM(C301:J301)</f>
        <v>338063</v>
      </c>
      <c r="L301" s="467">
        <v>250000</v>
      </c>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31180</v>
      </c>
      <c r="F303" s="1699">
        <f t="shared" si="23"/>
        <v>0</v>
      </c>
      <c r="G303" s="1699">
        <f t="shared" si="23"/>
        <v>306883</v>
      </c>
      <c r="H303" s="1699">
        <f t="shared" si="23"/>
        <v>0</v>
      </c>
      <c r="I303" s="1699">
        <f t="shared" si="23"/>
        <v>0</v>
      </c>
      <c r="J303" s="1699">
        <f t="shared" si="23"/>
        <v>0</v>
      </c>
      <c r="K303" s="1699">
        <f t="shared" si="23"/>
        <v>338063</v>
      </c>
      <c r="L303" s="1699">
        <f t="shared" si="23"/>
        <v>250000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1954</v>
      </c>
      <c r="B306" s="691" t="s">
        <v>1949</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1563</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91" t="s">
        <v>294</v>
      </c>
      <c r="B312" s="2192"/>
      <c r="C312" s="1692">
        <f>SUM(C303)</f>
        <v>0</v>
      </c>
      <c r="D312" s="1692">
        <f>SUM(D303)</f>
        <v>0</v>
      </c>
      <c r="E312" s="1692">
        <f>SUM(E303,E310)</f>
        <v>31180</v>
      </c>
      <c r="F312" s="1692">
        <f>SUM(F303)</f>
        <v>0</v>
      </c>
      <c r="G312" s="1692">
        <f>SUM(G303)</f>
        <v>306883</v>
      </c>
      <c r="H312" s="1692">
        <f>SUM(H303,H310)</f>
        <v>0</v>
      </c>
      <c r="I312" s="1692">
        <f>SUM(I303)</f>
        <v>0</v>
      </c>
      <c r="J312" s="1692">
        <f>SUM(J303)</f>
        <v>0</v>
      </c>
      <c r="K312" s="1692">
        <f>SUM(K303,K310,K311)</f>
        <v>338063</v>
      </c>
      <c r="L312" s="1692">
        <f>SUM(L303,L310,L311)</f>
        <v>250000</v>
      </c>
      <c r="M312" s="666"/>
      <c r="N312" s="666"/>
    </row>
    <row r="313" spans="1:14" ht="13.5" thickTop="1" x14ac:dyDescent="0.2">
      <c r="A313" s="2187" t="s">
        <v>1052</v>
      </c>
      <c r="B313" s="2188"/>
      <c r="C313" s="627"/>
      <c r="D313" s="627"/>
      <c r="E313" s="627"/>
      <c r="F313" s="627"/>
      <c r="G313" s="627"/>
      <c r="H313" s="627"/>
      <c r="I313" s="627"/>
      <c r="J313" s="627"/>
      <c r="K313" s="1707">
        <f>'Revenues 9-14'!H275-'Expenditures 15-22'!K312</f>
        <v>-338010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953</v>
      </c>
      <c r="B317" s="2201"/>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1901</v>
      </c>
      <c r="B320" s="699" t="s">
        <v>299</v>
      </c>
      <c r="C320" s="467"/>
      <c r="D320" s="467">
        <v>500311</v>
      </c>
      <c r="E320" s="467"/>
      <c r="F320" s="467"/>
      <c r="G320" s="467"/>
      <c r="H320" s="467"/>
      <c r="I320" s="467"/>
      <c r="J320" s="467"/>
      <c r="K320" s="1693">
        <f t="shared" ref="K320:K327" si="24">SUM(C320:J320)</f>
        <v>500311</v>
      </c>
      <c r="L320" s="467">
        <v>800000</v>
      </c>
      <c r="M320" s="666"/>
      <c r="N320" s="666"/>
    </row>
    <row r="321" spans="1:14" s="675" customFormat="1" x14ac:dyDescent="0.2">
      <c r="A321" s="1541" t="s">
        <v>317</v>
      </c>
      <c r="B321" s="698" t="s">
        <v>300</v>
      </c>
      <c r="C321" s="467"/>
      <c r="D321" s="467">
        <v>9260</v>
      </c>
      <c r="E321" s="467"/>
      <c r="F321" s="467"/>
      <c r="G321" s="467"/>
      <c r="H321" s="467"/>
      <c r="I321" s="467"/>
      <c r="J321" s="467"/>
      <c r="K321" s="1693">
        <f t="shared" si="24"/>
        <v>9260</v>
      </c>
      <c r="L321" s="467">
        <v>25000</v>
      </c>
      <c r="M321" s="666"/>
      <c r="N321" s="666"/>
    </row>
    <row r="322" spans="1:14" s="675" customFormat="1" x14ac:dyDescent="0.2">
      <c r="A322" s="1541" t="s">
        <v>256</v>
      </c>
      <c r="B322" s="698" t="s">
        <v>301</v>
      </c>
      <c r="C322" s="467"/>
      <c r="D322" s="467"/>
      <c r="E322" s="467"/>
      <c r="F322" s="467"/>
      <c r="G322" s="467"/>
      <c r="H322" s="467"/>
      <c r="I322" s="467"/>
      <c r="J322" s="467"/>
      <c r="K322" s="1693">
        <f t="shared" si="24"/>
        <v>0</v>
      </c>
      <c r="L322" s="467"/>
      <c r="M322" s="666"/>
      <c r="N322" s="666"/>
    </row>
    <row r="323" spans="1:14" s="675" customFormat="1" x14ac:dyDescent="0.2">
      <c r="A323" s="1541" t="s">
        <v>725</v>
      </c>
      <c r="B323" s="698" t="s">
        <v>302</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303</v>
      </c>
      <c r="C324" s="467"/>
      <c r="D324" s="467"/>
      <c r="E324" s="467">
        <v>780</v>
      </c>
      <c r="F324" s="467"/>
      <c r="G324" s="467"/>
      <c r="H324" s="467"/>
      <c r="I324" s="467"/>
      <c r="J324" s="467"/>
      <c r="K324" s="1693">
        <f t="shared" si="24"/>
        <v>780</v>
      </c>
      <c r="L324" s="467">
        <v>75000</v>
      </c>
      <c r="M324" s="666"/>
      <c r="N324" s="666"/>
    </row>
    <row r="325" spans="1:14" s="675" customFormat="1" ht="22.5" x14ac:dyDescent="0.2">
      <c r="A325" s="1541" t="s">
        <v>1086</v>
      </c>
      <c r="B325" s="699" t="s">
        <v>304</v>
      </c>
      <c r="C325" s="467">
        <v>2234086</v>
      </c>
      <c r="D325" s="467"/>
      <c r="E325" s="467">
        <v>792035</v>
      </c>
      <c r="F325" s="467">
        <v>21064</v>
      </c>
      <c r="G325" s="467">
        <v>169980</v>
      </c>
      <c r="H325" s="467">
        <v>1105</v>
      </c>
      <c r="I325" s="467">
        <v>1779</v>
      </c>
      <c r="J325" s="467"/>
      <c r="K325" s="1693">
        <f t="shared" si="24"/>
        <v>3220049</v>
      </c>
      <c r="L325" s="467">
        <v>2945718</v>
      </c>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v>135252</v>
      </c>
      <c r="D327" s="467">
        <v>21931</v>
      </c>
      <c r="E327" s="467">
        <v>192729</v>
      </c>
      <c r="F327" s="467">
        <v>15079</v>
      </c>
      <c r="G327" s="467"/>
      <c r="H327" s="467">
        <v>240</v>
      </c>
      <c r="I327" s="467"/>
      <c r="J327" s="467"/>
      <c r="K327" s="1693">
        <f t="shared" si="24"/>
        <v>365231</v>
      </c>
      <c r="L327" s="467">
        <v>469400</v>
      </c>
      <c r="M327" s="666"/>
      <c r="N327" s="666"/>
    </row>
    <row r="328" spans="1:14" s="675" customFormat="1" x14ac:dyDescent="0.2">
      <c r="A328" s="1542" t="s">
        <v>491</v>
      </c>
      <c r="B328" s="691" t="s">
        <v>1193</v>
      </c>
      <c r="C328" s="474"/>
      <c r="D328" s="474"/>
      <c r="E328" s="474">
        <v>942127</v>
      </c>
      <c r="F328" s="474"/>
      <c r="G328" s="474"/>
      <c r="H328" s="474"/>
      <c r="I328" s="474"/>
      <c r="J328" s="474"/>
      <c r="K328" s="1721">
        <f>SUM(C328:J328)</f>
        <v>942127</v>
      </c>
      <c r="L328" s="474">
        <v>885000</v>
      </c>
      <c r="M328" s="666"/>
      <c r="N328" s="666"/>
    </row>
    <row r="329" spans="1:14" s="675" customFormat="1" x14ac:dyDescent="0.2">
      <c r="A329" s="1542" t="s">
        <v>1194</v>
      </c>
      <c r="B329" s="691" t="s">
        <v>1195</v>
      </c>
      <c r="C329" s="474"/>
      <c r="D329" s="474"/>
      <c r="E329" s="474">
        <v>177705</v>
      </c>
      <c r="F329" s="474"/>
      <c r="G329" s="474"/>
      <c r="H329" s="474"/>
      <c r="I329" s="474"/>
      <c r="J329" s="474"/>
      <c r="K329" s="1721">
        <f>SUM(C329:J329)</f>
        <v>177705</v>
      </c>
      <c r="L329" s="474">
        <v>180000</v>
      </c>
      <c r="M329" s="666"/>
      <c r="N329" s="666"/>
    </row>
    <row r="330" spans="1:14" s="675" customFormat="1" ht="12.75" customHeight="1" thickBot="1" x14ac:dyDescent="0.25">
      <c r="A330" s="1722" t="s">
        <v>740</v>
      </c>
      <c r="B330" s="1691" t="s">
        <v>589</v>
      </c>
      <c r="C330" s="1692">
        <f>SUM(C319:C329)</f>
        <v>2369338</v>
      </c>
      <c r="D330" s="1692">
        <f t="shared" ref="D330:J330" si="25">SUM(D319:D329)</f>
        <v>531502</v>
      </c>
      <c r="E330" s="1692">
        <f t="shared" si="25"/>
        <v>2105376</v>
      </c>
      <c r="F330" s="1692">
        <f t="shared" si="25"/>
        <v>36143</v>
      </c>
      <c r="G330" s="1692">
        <f t="shared" si="25"/>
        <v>169980</v>
      </c>
      <c r="H330" s="1692">
        <f t="shared" si="25"/>
        <v>1345</v>
      </c>
      <c r="I330" s="1692">
        <f t="shared" si="25"/>
        <v>1779</v>
      </c>
      <c r="J330" s="1692">
        <f t="shared" si="25"/>
        <v>0</v>
      </c>
      <c r="K330" s="1692">
        <f>SUM(K319:K329)</f>
        <v>5215463</v>
      </c>
      <c r="L330" s="1692">
        <f>SUM(L319:L329)</f>
        <v>5380118</v>
      </c>
      <c r="M330" s="666"/>
      <c r="N330" s="666"/>
    </row>
    <row r="331" spans="1:14" s="675" customFormat="1" ht="12.75" customHeight="1" thickTop="1" x14ac:dyDescent="0.2">
      <c r="A331" s="1854" t="s">
        <v>1955</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1949</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1951</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1956</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2369338</v>
      </c>
      <c r="D342" s="1692">
        <f>SUM(D330)</f>
        <v>531502</v>
      </c>
      <c r="E342" s="1692">
        <f>SUM(E330)</f>
        <v>2105376</v>
      </c>
      <c r="F342" s="1692">
        <f>SUM(F330)</f>
        <v>36143</v>
      </c>
      <c r="G342" s="1692">
        <f>SUM(G330)</f>
        <v>169980</v>
      </c>
      <c r="H342" s="1692">
        <f>SUM(H330,H334,H340)</f>
        <v>1345</v>
      </c>
      <c r="I342" s="1692">
        <f>SUM(I330)</f>
        <v>1779</v>
      </c>
      <c r="J342" s="1692">
        <f>SUM(J330)</f>
        <v>0</v>
      </c>
      <c r="K342" s="1692">
        <f>SUM(K330,K334,K340)</f>
        <v>5215463</v>
      </c>
      <c r="L342" s="1699">
        <f>SUM(L330,L340,L341)</f>
        <v>5380118</v>
      </c>
    </row>
    <row r="343" spans="1:14" ht="12.75" customHeight="1" thickTop="1" x14ac:dyDescent="0.2">
      <c r="A343" s="2189" t="s">
        <v>1052</v>
      </c>
      <c r="B343" s="2190"/>
      <c r="C343" s="617"/>
      <c r="D343" s="617"/>
      <c r="E343" s="617"/>
      <c r="F343" s="617"/>
      <c r="G343" s="617"/>
      <c r="H343" s="617"/>
      <c r="I343" s="617"/>
      <c r="J343" s="617"/>
      <c r="K343" s="1706">
        <f>'Revenues 9-14'!J275-'Expenditures 15-22'!K342</f>
        <v>89949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1022</v>
      </c>
      <c r="B345" s="2180"/>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v>356398</v>
      </c>
      <c r="F348" s="466"/>
      <c r="G348" s="466"/>
      <c r="H348" s="466"/>
      <c r="I348" s="467"/>
      <c r="J348" s="467"/>
      <c r="K348" s="1693">
        <f>SUM(C348:J348)</f>
        <v>356398</v>
      </c>
      <c r="L348" s="466">
        <v>351500</v>
      </c>
    </row>
    <row r="349" spans="1:14" x14ac:dyDescent="0.2">
      <c r="A349" s="1526" t="s">
        <v>206</v>
      </c>
      <c r="B349" s="615">
        <v>2540</v>
      </c>
      <c r="C349" s="466"/>
      <c r="D349" s="466"/>
      <c r="E349" s="466">
        <v>47211</v>
      </c>
      <c r="F349" s="466"/>
      <c r="G349" s="466">
        <v>4824099</v>
      </c>
      <c r="H349" s="466"/>
      <c r="I349" s="467"/>
      <c r="J349" s="467"/>
      <c r="K349" s="1693">
        <f>SUM(C349:J349)</f>
        <v>4871310</v>
      </c>
      <c r="L349" s="466">
        <v>5012000</v>
      </c>
    </row>
    <row r="350" spans="1:14" ht="12.75" customHeight="1" thickBot="1" x14ac:dyDescent="0.25">
      <c r="A350" s="1690" t="s">
        <v>742</v>
      </c>
      <c r="B350" s="1691" t="s">
        <v>35</v>
      </c>
      <c r="C350" s="1692">
        <f>SUM(C348:C349)</f>
        <v>0</v>
      </c>
      <c r="D350" s="1692">
        <f t="shared" ref="D350:L350" si="26">SUM(D348:D349)</f>
        <v>0</v>
      </c>
      <c r="E350" s="1692">
        <f t="shared" si="26"/>
        <v>403609</v>
      </c>
      <c r="F350" s="1692">
        <f t="shared" si="26"/>
        <v>0</v>
      </c>
      <c r="G350" s="1692">
        <f t="shared" si="26"/>
        <v>4824099</v>
      </c>
      <c r="H350" s="1692">
        <f t="shared" si="26"/>
        <v>0</v>
      </c>
      <c r="I350" s="1692">
        <f t="shared" si="26"/>
        <v>0</v>
      </c>
      <c r="J350" s="1692">
        <f t="shared" si="26"/>
        <v>0</v>
      </c>
      <c r="K350" s="1692">
        <f t="shared" si="26"/>
        <v>5227708</v>
      </c>
      <c r="L350" s="1692">
        <f t="shared" si="26"/>
        <v>5363500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403609</v>
      </c>
      <c r="F352" s="1692">
        <f t="shared" si="27"/>
        <v>0</v>
      </c>
      <c r="G352" s="1692">
        <f t="shared" si="27"/>
        <v>4824099</v>
      </c>
      <c r="H352" s="1692">
        <f t="shared" si="27"/>
        <v>0</v>
      </c>
      <c r="I352" s="1692">
        <f t="shared" si="27"/>
        <v>0</v>
      </c>
      <c r="J352" s="1692">
        <f t="shared" si="27"/>
        <v>0</v>
      </c>
      <c r="K352" s="1692">
        <f t="shared" si="27"/>
        <v>5227708</v>
      </c>
      <c r="L352" s="1692">
        <f t="shared" si="27"/>
        <v>5363500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1957</v>
      </c>
      <c r="B354" s="684" t="s">
        <v>1949</v>
      </c>
      <c r="C354" s="617"/>
      <c r="D354" s="617"/>
      <c r="E354" s="617"/>
      <c r="F354" s="617"/>
      <c r="G354" s="617"/>
      <c r="H354" s="474"/>
      <c r="I354" s="702"/>
      <c r="J354" s="617"/>
      <c r="K354" s="1721">
        <f>H354</f>
        <v>0</v>
      </c>
      <c r="L354" s="471"/>
    </row>
    <row r="355" spans="1:14" ht="12.75" customHeight="1" x14ac:dyDescent="0.2">
      <c r="A355" s="1535" t="s">
        <v>1958</v>
      </c>
      <c r="B355" s="691" t="s">
        <v>1951</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1563</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v>136281</v>
      </c>
      <c r="I363" s="639"/>
      <c r="J363" s="639"/>
      <c r="K363" s="1721">
        <f>SUM(C363:J363)</f>
        <v>136281</v>
      </c>
      <c r="L363" s="479"/>
      <c r="M363" s="666"/>
      <c r="N363" s="666"/>
    </row>
    <row r="364" spans="1:14" s="709" customFormat="1" ht="29.25" customHeight="1" x14ac:dyDescent="0.2">
      <c r="A364" s="703" t="s">
        <v>1767</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136281</v>
      </c>
      <c r="I365" s="639"/>
      <c r="J365" s="639"/>
      <c r="K365" s="1725">
        <f>SUM(K362,K363,K364)</f>
        <v>136281</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403609</v>
      </c>
      <c r="F367" s="1692">
        <f t="shared" si="28"/>
        <v>0</v>
      </c>
      <c r="G367" s="1692">
        <f t="shared" si="28"/>
        <v>4824099</v>
      </c>
      <c r="H367" s="1692">
        <f t="shared" si="28"/>
        <v>136281</v>
      </c>
      <c r="I367" s="1692">
        <f t="shared" si="28"/>
        <v>0</v>
      </c>
      <c r="J367" s="1692">
        <f t="shared" si="28"/>
        <v>0</v>
      </c>
      <c r="K367" s="1692">
        <f t="shared" si="28"/>
        <v>5363989</v>
      </c>
      <c r="L367" s="1692">
        <f t="shared" si="28"/>
        <v>5363500</v>
      </c>
    </row>
    <row r="368" spans="1:14" ht="13.5" thickTop="1" x14ac:dyDescent="0.2">
      <c r="A368" s="2176" t="s">
        <v>1052</v>
      </c>
      <c r="B368" s="2177"/>
      <c r="C368" s="655"/>
      <c r="D368" s="655"/>
      <c r="E368" s="627"/>
      <c r="F368" s="627"/>
      <c r="G368" s="627"/>
      <c r="H368" s="627"/>
      <c r="I368" s="627"/>
      <c r="J368" s="624"/>
      <c r="K368" s="1693">
        <f>'Revenues 9-14'!K275-'Expenditures 15-22'!K367</f>
        <v>-4180651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56"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2.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14F8B6-F742-48D8-9F13-1076A7DC5E6F}">
  <ds:schemaRefs>
    <ds:schemaRef ds:uri="http://purl.org/dc/dcmitype/"/>
    <ds:schemaRef ds:uri="d21dc803-237d-4c68-8692-8d731fd29118"/>
    <ds:schemaRef ds:uri="http://purl.org/dc/terms/"/>
    <ds:schemaRef ds:uri="http://www.w3.org/XML/1998/namespace"/>
    <ds:schemaRef ds:uri="http://purl.org/dc/elements/1.1/"/>
    <ds:schemaRef ds:uri="http://schemas.microsoft.com/office/2006/documentManagement/types"/>
    <ds:schemaRef ds:uri="6ce3111e-7420-4802-b50a-75d4e9a0b980"/>
    <ds:schemaRef ds:uri="http://schemas.openxmlformats.org/package/2006/metadata/core-properties"/>
    <ds:schemaRef ds:uri="http://schemas.microsoft.com/sharepoint/v3"/>
    <ds:schemaRef ds:uri="http://schemas.microsoft.com/office/infopath/2007/PartnerControls"/>
    <ds:schemaRef ds:uri="4d435f69-8686-490b-bd6d-b153bf22ab5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2018-10-16T13:58:22Z</cp:lastPrinted>
  <dcterms:created xsi:type="dcterms:W3CDTF">2003-10-29T19:06:34Z</dcterms:created>
  <dcterms:modified xsi:type="dcterms:W3CDTF">2018-10-24T19:17:09Z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