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A2" i="170"/>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D1132" i="106"/>
  <c r="K68" i="29"/>
  <c r="K69" i="29"/>
  <c r="B1136" i="106" s="1"/>
  <c r="D1136" i="106" s="1"/>
  <c r="K70" i="29"/>
  <c r="B1137" i="106" s="1"/>
  <c r="D1137" i="106" s="1"/>
  <c r="D1138" i="106"/>
  <c r="K71" i="29"/>
  <c r="B1139" i="106" s="1"/>
  <c r="D1139" i="106" s="1"/>
  <c r="D1140" i="106"/>
  <c r="K73" i="29"/>
  <c r="K78" i="29"/>
  <c r="K79" i="29"/>
  <c r="K80" i="29"/>
  <c r="K81" i="29"/>
  <c r="K82" i="29"/>
  <c r="K83" i="29"/>
  <c r="K93" i="29"/>
  <c r="K94" i="29"/>
  <c r="B6999" i="106" s="1"/>
  <c r="D6999" i="106" s="1"/>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c r="B6316" i="106"/>
  <c r="D6316" i="106" s="1"/>
  <c r="B6317" i="106"/>
  <c r="D6317" i="106" s="1"/>
  <c r="B6319" i="106"/>
  <c r="D6319" i="106" s="1"/>
  <c r="B6320" i="106"/>
  <c r="D6320" i="106" s="1"/>
  <c r="B6321" i="106"/>
  <c r="D6321" i="106"/>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s="1"/>
  <c r="B6334" i="106"/>
  <c r="D6334" i="106" s="1"/>
  <c r="B6335" i="106"/>
  <c r="D6335" i="106" s="1"/>
  <c r="B6336" i="106"/>
  <c r="D6336" i="106" s="1"/>
  <c r="B6337" i="106"/>
  <c r="D6337" i="106"/>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c r="B6349" i="106"/>
  <c r="D6349" i="106" s="1"/>
  <c r="B6350" i="106"/>
  <c r="D6350" i="106" s="1"/>
  <c r="B6353" i="106"/>
  <c r="D6353" i="106" s="1"/>
  <c r="B6354" i="106"/>
  <c r="D6354" i="106" s="1"/>
  <c r="B6355" i="106"/>
  <c r="D6355" i="106"/>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s="1"/>
  <c r="B6371" i="106"/>
  <c r="D6371" i="106" s="1"/>
  <c r="B6372" i="106"/>
  <c r="D6372" i="106"/>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c r="B6384" i="106"/>
  <c r="D6384" i="106" s="1"/>
  <c r="B6385" i="106"/>
  <c r="D6385" i="106" s="1"/>
  <c r="B6386" i="106"/>
  <c r="D6386" i="106" s="1"/>
  <c r="B6387" i="106"/>
  <c r="D6387" i="106" s="1"/>
  <c r="B6388" i="106"/>
  <c r="D6388"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c r="B6635" i="106"/>
  <c r="D6635" i="106" s="1"/>
  <c r="B6636" i="106"/>
  <c r="D6636" i="106" s="1"/>
  <c r="B6637" i="106"/>
  <c r="D6637" i="106" s="1"/>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c r="B6651" i="106"/>
  <c r="D6651" i="106" s="1"/>
  <c r="B6652" i="106"/>
  <c r="D6652" i="106" s="1"/>
  <c r="B6653" i="106"/>
  <c r="D6653" i="106" s="1"/>
  <c r="B6654" i="106"/>
  <c r="D6654" i="106" s="1"/>
  <c r="B6655" i="106"/>
  <c r="D6655" i="106"/>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c r="B6667" i="106"/>
  <c r="D6667" i="106" s="1"/>
  <c r="B6668" i="106"/>
  <c r="D6668" i="106" s="1"/>
  <c r="B6669" i="106"/>
  <c r="D6669" i="106" s="1"/>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c r="B6683" i="106"/>
  <c r="D6683" i="106" s="1"/>
  <c r="B6684" i="106"/>
  <c r="D6684" i="106" s="1"/>
  <c r="B6685" i="106"/>
  <c r="D6685" i="106" s="1"/>
  <c r="B6686" i="106"/>
  <c r="D6686" i="106" s="1"/>
  <c r="B6687" i="106"/>
  <c r="D6687" i="106"/>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c r="B6758" i="106"/>
  <c r="D6758" i="106" s="1"/>
  <c r="B6759" i="106"/>
  <c r="D6759" i="106" s="1"/>
  <c r="B6760" i="106"/>
  <c r="D6760" i="106" s="1"/>
  <c r="B6761" i="106"/>
  <c r="D6761" i="106" s="1"/>
  <c r="B6762" i="106"/>
  <c r="D6762" i="106"/>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s="1"/>
  <c r="B6792" i="106"/>
  <c r="D6792" i="106" s="1"/>
  <c r="B6793" i="106"/>
  <c r="D6793" i="106" s="1"/>
  <c r="B6794" i="106"/>
  <c r="D6794" i="106"/>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c r="B6822" i="106"/>
  <c r="D6822" i="106" s="1"/>
  <c r="B6823" i="106"/>
  <c r="D6823" i="106" s="1"/>
  <c r="B6824" i="106"/>
  <c r="D6824" i="106" s="1"/>
  <c r="B6825" i="106"/>
  <c r="D6825" i="106" s="1"/>
  <c r="B6826" i="106"/>
  <c r="D6826" i="106"/>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71" i="36"/>
  <c r="D72" i="36"/>
  <c r="D79" i="36"/>
  <c r="B64" i="127"/>
  <c r="B65" i="127"/>
  <c r="D26" i="108"/>
  <c r="E26" i="108"/>
  <c r="F26" i="108"/>
  <c r="G26" i="108"/>
  <c r="E27" i="108"/>
  <c r="G27" i="108"/>
  <c r="F31" i="108"/>
  <c r="F36" i="108"/>
  <c r="F37" i="108"/>
  <c r="G28" i="108"/>
  <c r="E29"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D140" i="5"/>
  <c r="B5383" i="106" s="1"/>
  <c r="D5383" i="106" s="1"/>
  <c r="G140" i="5"/>
  <c r="G144" i="5"/>
  <c r="B5756" i="106" s="1"/>
  <c r="D5756" i="106" s="1"/>
  <c r="G154" i="5"/>
  <c r="B4357" i="106" s="1"/>
  <c r="D4357" i="106" s="1"/>
  <c r="G172"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c r="D5658" i="106" s="1"/>
  <c r="G184" i="5"/>
  <c r="B5784" i="106"/>
  <c r="D5784" i="106" s="1"/>
  <c r="H184" i="5"/>
  <c r="B5908" i="106" s="1"/>
  <c r="D5908" i="106" s="1"/>
  <c r="K184" i="5"/>
  <c r="B6016" i="106" s="1"/>
  <c r="D6016" i="106" s="1"/>
  <c r="B4395" i="106"/>
  <c r="D4395" i="106" s="1"/>
  <c r="D191" i="5"/>
  <c r="B4396" i="106" s="1"/>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B2633" i="106"/>
  <c r="D2633" i="106" s="1"/>
  <c r="D7" i="118"/>
  <c r="D8" i="118"/>
  <c r="D9" i="118"/>
  <c r="H14" i="118"/>
  <c r="H19" i="118"/>
  <c r="H24" i="118"/>
  <c r="H29" i="118"/>
  <c r="H33" i="118"/>
  <c r="D11" i="37"/>
  <c r="D22" i="37"/>
  <c r="J22" i="37"/>
  <c r="L22" i="37"/>
  <c r="D24" i="37"/>
  <c r="B4270" i="106" s="1"/>
  <c r="D4270" i="106" s="1"/>
  <c r="L5" i="11"/>
  <c r="B2056" i="106" s="1"/>
  <c r="D2056" i="106" s="1"/>
  <c r="D4" i="7"/>
  <c r="B1760" i="106" s="1"/>
  <c r="D1760" i="106" s="1"/>
  <c r="B5752" i="106"/>
  <c r="D5752" i="106" s="1"/>
  <c r="H173" i="5"/>
  <c r="B5906" i="106" s="1"/>
  <c r="D5906" i="106" s="1"/>
  <c r="D7" i="7"/>
  <c r="B1763" i="106" s="1"/>
  <c r="D1763" i="106" s="1"/>
  <c r="D12" i="7"/>
  <c r="B1769" i="106" s="1"/>
  <c r="D1769" i="106" s="1"/>
  <c r="D11" i="7"/>
  <c r="B1768" i="106" s="1"/>
  <c r="D1768" i="106" s="1"/>
  <c r="F70" i="34" l="1"/>
  <c r="F49" i="34"/>
  <c r="D27" i="108"/>
  <c r="H342" i="29"/>
  <c r="J41" i="3"/>
  <c r="K350" i="29"/>
  <c r="L15" i="11"/>
  <c r="B3459" i="106" s="1"/>
  <c r="D3459" i="106" s="1"/>
  <c r="B1995" i="106"/>
  <c r="D1995" i="106" s="1"/>
  <c r="F45" i="34"/>
  <c r="D13" i="7"/>
  <c r="B3726" i="106" s="1"/>
  <c r="D3726" i="106" s="1"/>
  <c r="H365" i="29"/>
  <c r="B7242" i="106" s="1"/>
  <c r="D7242" i="106" s="1"/>
  <c r="G352" i="29"/>
  <c r="I210" i="29"/>
  <c r="K274" i="5"/>
  <c r="F106" i="34"/>
  <c r="H28" i="118"/>
  <c r="K28" i="118" s="1"/>
  <c r="O27" i="118" s="1"/>
  <c r="O29" i="118" s="1"/>
  <c r="F14" i="4"/>
  <c r="B2597" i="106" s="1"/>
  <c r="D2597" i="106" s="1"/>
  <c r="K173" i="5"/>
  <c r="K6" i="4" s="1"/>
  <c r="B3570" i="106" s="1"/>
  <c r="D3570" i="106" s="1"/>
  <c r="F77" i="4"/>
  <c r="B3255" i="106" s="1"/>
  <c r="D3255" i="106" s="1"/>
  <c r="L13" i="11"/>
  <c r="B2060" i="106" s="1"/>
  <c r="D2060" i="106" s="1"/>
  <c r="N22" i="3"/>
  <c r="B283" i="106" s="1"/>
  <c r="D283" i="106" s="1"/>
  <c r="D68" i="36"/>
  <c r="G210" i="29"/>
  <c r="K184" i="29"/>
  <c r="F13" i="4" s="1"/>
  <c r="B2596" i="106" s="1"/>
  <c r="D2596" i="106" s="1"/>
  <c r="G29" i="108"/>
  <c r="F28" i="108"/>
  <c r="F41" i="108" s="1"/>
  <c r="G43" i="108" s="1"/>
  <c r="E28" i="108"/>
  <c r="D5" i="7"/>
  <c r="B1761" i="106" s="1"/>
  <c r="D1761" i="106" s="1"/>
  <c r="F94" i="34"/>
  <c r="I26" i="12"/>
  <c r="B7741" i="106" s="1"/>
  <c r="D7741" i="106" s="1"/>
  <c r="B1996" i="106"/>
  <c r="D1996" i="106" s="1"/>
  <c r="D15" i="7"/>
  <c r="B1772" i="106" s="1"/>
  <c r="D1772" i="106" s="1"/>
  <c r="F130" i="34"/>
  <c r="B5161" i="106"/>
  <c r="D5161" i="106" s="1"/>
  <c r="B6887" i="106"/>
  <c r="D6887" i="106" s="1"/>
  <c r="F44" i="34"/>
  <c r="B5513" i="106"/>
  <c r="D5513" i="106" s="1"/>
  <c r="E109" i="5"/>
  <c r="E4" i="4" s="1"/>
  <c r="B2630" i="106" s="1"/>
  <c r="D2630" i="106" s="1"/>
  <c r="H44" i="4"/>
  <c r="B6289" i="106"/>
  <c r="D6289" i="106" s="1"/>
  <c r="B3170" i="106"/>
  <c r="D3170" i="106" s="1"/>
  <c r="H76" i="4"/>
  <c r="B3298" i="106" s="1"/>
  <c r="D3298" i="106" s="1"/>
  <c r="G173" i="5"/>
  <c r="B5778" i="106" s="1"/>
  <c r="D5778" i="106" s="1"/>
  <c r="F62" i="34"/>
  <c r="B4173" i="106"/>
  <c r="D4173" i="106" s="1"/>
  <c r="D69" i="36"/>
  <c r="B1142" i="106"/>
  <c r="D1142" i="106" s="1"/>
  <c r="E38" i="108"/>
  <c r="G38" i="108"/>
  <c r="B1130" i="106"/>
  <c r="D1130" i="106" s="1"/>
  <c r="E30" i="108"/>
  <c r="G30" i="108"/>
  <c r="K92" i="29"/>
  <c r="B2089" i="106" s="1"/>
  <c r="D2089" i="106" s="1"/>
  <c r="B6995" i="106"/>
  <c r="D6995" i="106" s="1"/>
  <c r="F131" i="34"/>
  <c r="D17" i="7"/>
  <c r="B4104" i="106" s="1"/>
  <c r="D4104" i="106" s="1"/>
  <c r="B3565" i="106"/>
  <c r="D3565" i="106" s="1"/>
  <c r="K41" i="3"/>
  <c r="F21" i="8"/>
  <c r="B3689" i="106"/>
  <c r="D3689" i="106" s="1"/>
  <c r="F136" i="34"/>
  <c r="B5770" i="106"/>
  <c r="D5770" i="106" s="1"/>
  <c r="B1746" i="106"/>
  <c r="D1746" i="106" s="1"/>
  <c r="I274" i="5"/>
  <c r="B7205" i="106"/>
  <c r="D7205" i="106" s="1"/>
  <c r="I342" i="29"/>
  <c r="B7222" i="106" s="1"/>
  <c r="D7222" i="106" s="1"/>
  <c r="B3670" i="106"/>
  <c r="D3670" i="106" s="1"/>
  <c r="K352" i="29"/>
  <c r="K13" i="4" s="1"/>
  <c r="B3572" i="106" s="1"/>
  <c r="D3572" i="106" s="1"/>
  <c r="G39" i="108"/>
  <c r="D109" i="5"/>
  <c r="D9" i="7"/>
  <c r="B1767" i="106" s="1"/>
  <c r="D1767" i="106" s="1"/>
  <c r="G109" i="5"/>
  <c r="H109" i="5"/>
  <c r="F111" i="34"/>
  <c r="B7041" i="106"/>
  <c r="D7041" i="106" s="1"/>
  <c r="C109" i="5"/>
  <c r="B5121" i="106" s="1"/>
  <c r="D5121" i="106" s="1"/>
  <c r="H6" i="4"/>
  <c r="B2656" i="106" s="1"/>
  <c r="D2656" i="106" s="1"/>
  <c r="C172" i="5"/>
  <c r="F127" i="34"/>
  <c r="B1792" i="106"/>
  <c r="D1792" i="106" s="1"/>
  <c r="F19" i="7"/>
  <c r="B1807" i="106" s="1"/>
  <c r="D1807" i="106" s="1"/>
  <c r="J77" i="4"/>
  <c r="B6262" i="106" s="1"/>
  <c r="D6262" i="106" s="1"/>
  <c r="B3621" i="106"/>
  <c r="D3621" i="106" s="1"/>
  <c r="C367" i="29"/>
  <c r="B3622" i="106" s="1"/>
  <c r="D3622" i="106" s="1"/>
  <c r="J352" i="29"/>
  <c r="J129" i="29"/>
  <c r="B7038" i="106" s="1"/>
  <c r="D7038" i="106" s="1"/>
  <c r="D6103" i="106"/>
  <c r="K76" i="4"/>
  <c r="B3586" i="106" s="1"/>
  <c r="D3586" i="106" s="1"/>
  <c r="C129" i="29"/>
  <c r="B1225" i="106" s="1"/>
  <c r="D1225" i="106" s="1"/>
  <c r="B3649" i="106"/>
  <c r="D3649" i="106" s="1"/>
  <c r="G367" i="29"/>
  <c r="B3650" i="106" s="1"/>
  <c r="D3650" i="106" s="1"/>
  <c r="B1329" i="106"/>
  <c r="D1329" i="106" s="1"/>
  <c r="F61" i="34"/>
  <c r="L367" i="29"/>
  <c r="L342" i="29"/>
  <c r="E174" i="29"/>
  <c r="B1309" i="106" s="1"/>
  <c r="D1309" i="106" s="1"/>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7270" i="106"/>
  <c r="F274" i="5" l="1"/>
  <c r="K342" i="29"/>
  <c r="F13" i="34" s="1"/>
  <c r="D274" i="5"/>
  <c r="B7071" i="106"/>
  <c r="D7071" i="106" s="1"/>
  <c r="F66" i="34"/>
  <c r="F275" i="5"/>
  <c r="H367" i="29"/>
  <c r="B3660" i="106" s="1"/>
  <c r="D3660" i="106" s="1"/>
  <c r="L16" i="11"/>
  <c r="B2061" i="106" s="1"/>
  <c r="D2061" i="106" s="1"/>
  <c r="H77" i="4"/>
  <c r="B3299" i="106" s="1"/>
  <c r="D3299" i="106" s="1"/>
  <c r="B1365" i="106"/>
  <c r="D1365" i="106" s="1"/>
  <c r="F65" i="34"/>
  <c r="B1381" i="106"/>
  <c r="D1381" i="106" s="1"/>
  <c r="B1317" i="106"/>
  <c r="D1317" i="106" s="1"/>
  <c r="C151" i="29"/>
  <c r="B1226" i="106" s="1"/>
  <c r="D1226" i="106" s="1"/>
  <c r="D44" i="36"/>
  <c r="D19" i="7"/>
  <c r="B1775" i="106" s="1"/>
  <c r="D1775" i="106" s="1"/>
  <c r="B3628" i="106"/>
  <c r="D3628" i="106" s="1"/>
  <c r="D7256" i="106"/>
  <c r="D7251" i="106"/>
  <c r="C114" i="29"/>
  <c r="B757" i="106" s="1"/>
  <c r="D757" i="106" s="1"/>
  <c r="B1879" i="106"/>
  <c r="D1879" i="106" s="1"/>
  <c r="H22" i="37"/>
  <c r="B3568" i="106"/>
  <c r="D3568" i="106" s="1"/>
  <c r="D52" i="36"/>
  <c r="B6025" i="106"/>
  <c r="D6025" i="106" s="1"/>
  <c r="H4" i="4"/>
  <c r="B3672" i="106"/>
  <c r="D3672" i="106" s="1"/>
  <c r="L114" i="29"/>
  <c r="B6024" i="106"/>
  <c r="D6024" i="106" s="1"/>
  <c r="G4" i="4"/>
  <c r="B2603" i="106" s="1"/>
  <c r="D2603" i="106" s="1"/>
  <c r="C4" i="4"/>
  <c r="B2551" i="106" s="1"/>
  <c r="D2551" i="106" s="1"/>
  <c r="B5214" i="106"/>
  <c r="D5214" i="106" s="1"/>
  <c r="C173" i="5"/>
  <c r="B5356" i="106"/>
  <c r="D5356" i="106" s="1"/>
  <c r="D4" i="4"/>
  <c r="B2564" i="106" s="1"/>
  <c r="D2564" i="106" s="1"/>
  <c r="J367" i="29"/>
  <c r="B7245" i="106" s="1"/>
  <c r="D7245" i="106" s="1"/>
  <c r="B7235" i="106"/>
  <c r="D723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1145" i="106" l="1"/>
  <c r="D1145" i="106" s="1"/>
  <c r="F8" i="4"/>
  <c r="D8" i="146" s="1"/>
  <c r="J17" i="4"/>
  <c r="G41" i="108"/>
  <c r="G44" i="108" s="1"/>
  <c r="G45" i="108" s="1"/>
  <c r="B2655" i="106"/>
  <c r="D2655" i="106" s="1"/>
  <c r="H8" i="4"/>
  <c r="J8" i="4"/>
  <c r="J20" i="4"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6223" i="106" l="1"/>
  <c r="D6223" i="106" s="1"/>
  <c r="J10" i="4"/>
  <c r="B6225" i="106" s="1"/>
  <c r="D6225" i="106" s="1"/>
  <c r="B2595" i="106"/>
  <c r="D2595" i="106" s="1"/>
  <c r="F10" i="4"/>
  <c r="B4125" i="106" s="1"/>
  <c r="D4125" i="106" s="1"/>
  <c r="D10" i="171"/>
  <c r="D19" i="171" s="1"/>
  <c r="D32" i="171" s="1"/>
  <c r="D49" i="171" s="1"/>
  <c r="B2658" i="106"/>
  <c r="D2658" i="106" s="1"/>
  <c r="H10" i="4"/>
  <c r="B4127" i="106" s="1"/>
  <c r="D4127"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<sst xmlns="http://schemas.openxmlformats.org/spreadsheetml/2006/main" count="5024" uniqueCount="2101">
  <si>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</si>
  <si>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</si>
  <si>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</si>
  <si>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</si>
  <si>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</si>
  <si>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</si>
  <si>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</si>
  <si>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</si>
  <si>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</si>
  <si>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</si>
  <si>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</si>
  <si>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</si>
  <si>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</si>
  <si>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</si>
  <si>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</si>
  <si>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</si>
  <si>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</si>
  <si>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</si>
  <si>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</si>
  <si>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</si>
  <si>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</si>
  <si>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</si>
  <si>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</si>
  <si>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</si>
  <si>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</si>
  <si>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</si>
  <si>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</si>
  <si>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</si>
  <si>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</si>
  <si>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</si>
  <si>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</si>
  <si>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</si>
  <si>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</si>
  <si>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</si>
  <si>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</si>
  <si>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</si>
  <si>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</si>
  <si>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</si>
  <si>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</si>
  <si>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</si>
  <si>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</si>
  <si>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</si>
  <si>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</si>
  <si>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</si>
  <si>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</si>
  <si>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</si>
  <si>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</si>
  <si>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</si>
  <si>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</si>
  <si>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</si>
  <si>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</si>
  <si>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</si>
  <si>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</si>
  <si>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</si>
  <si>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</si>
  <si>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</si>
  <si>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</si>
  <si>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</si>
  <si>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</si>
  <si>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</si>
  <si>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</si>
  <si>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</si>
  <si>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</si>
  <si>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</si>
  <si>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</si>
  <si>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</si>
  <si>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</si>
  <si>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</si>
  <si>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</si>
  <si>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</si>
  <si>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</si>
  <si>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</si>
  <si>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</si>
  <si>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</si>
  <si>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</si>
  <si>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</si>
  <si>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</si>
  <si>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</si>
  <si>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</si>
  <si>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</si>
  <si>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</si>
  <si>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</si>
  <si>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</si>
  <si>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</si>
  <si>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</si>
  <si>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</si>
  <si>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</si>
  <si>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</si>
  <si>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</si>
  <si>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</si>
  <si>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</si>
  <si>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</si>
  <si>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</si>
  <si>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</si>
  <si>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</si>
  <si>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</si>
  <si>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</si>
  <si>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</si>
  <si>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</si>
  <si>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</si>
  <si>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</si>
  <si>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</si>
  <si>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</si>
  <si>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</si>
  <si>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</si>
  <si>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</si>
  <si>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</si>
  <si>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</si>
  <si>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</si>
  <si>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</si>
  <si>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</si>
  <si>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</si>
  <si>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</si>
  <si>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</si>
  <si>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</si>
  <si>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</si>
  <si>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</si>
  <si>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</si>
  <si>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</si>
  <si>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</si>
  <si>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</si>
  <si>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</si>
  <si>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</si>
  <si>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</si>
  <si>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</si>
  <si>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</si>
  <si>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</si>
  <si>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</si>
  <si>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</si>
  <si>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</si>
  <si>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</si>
  <si>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</si>
  <si>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</si>
  <si>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</si>
  <si>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</si>
  <si>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</si>
  <si>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</si>
  <si>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</si>
  <si>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</si>
  <si>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</si>
  <si>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</si>
  <si>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</si>
  <si>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</si>
  <si>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</si>
  <si>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</si>
  <si>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</si>
  <si>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</si>
  <si>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</si>
  <si>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</si>
  <si>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</si>
  <si>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</si>
  <si>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</si>
  <si>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</si>
  <si>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</si>
  <si>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</si>
  <si>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</si>
  <si>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</si>
  <si>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</si>
  <si>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</si>
  <si>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</si>
  <si>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</si>
  <si>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</si>
  <si>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</si>
  <si>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</si>
  <si>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</si>
  <si>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</si>
  <si>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</si>
  <si>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</si>
  <si>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</si>
  <si>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</si>
  <si>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</si>
  <si>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</si>
  <si>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</si>
  <si>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</si>
  <si>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</si>
  <si>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</si>
  <si>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</si>
  <si>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</si>
  <si>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</si>
  <si>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</si>
  <si>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</si>
  <si>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</si>
  <si>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</si>
  <si>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</si>
  <si>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</si>
  <si>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</si>
  <si>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</si>
  <si>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</si>
  <si>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</si>
  <si>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</si>
  <si>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</si>
  <si>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</si>
  <si>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</si>
  <si>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</si>
  <si>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</si>
  <si>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</si>
  <si>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</si>
  <si>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</si>
  <si>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</si>
  <si>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</si>
  <si>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</si>
  <si>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</si>
  <si>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</si>
  <si>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</si>
  <si>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</si>
  <si>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</si>
  <si>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</si>
  <si>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</si>
  <si>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</si>
  <si>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</si>
  <si>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</si>
  <si>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</si>
  <si>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</si>
  <si>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</si>
  <si>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</si>
  <si>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</si>
  <si>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</si>
  <si>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</si>
  <si>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</si>
  <si>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</si>
  <si>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</si>
  <si>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</si>
  <si>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</si>
  <si>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</si>
  <si>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</si>
  <si>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</si>
  <si>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</si>
  <si>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</si>
  <si>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</si>
  <si>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</si>
  <si>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</si>
  <si>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</si>
  <si>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</si>
  <si>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</si>
  <si>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</si>
  <si>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</si>
  <si>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</si>
  <si>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</si>
  <si>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</si>
  <si>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</si>
  <si>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</si>
  <si>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</si>
  <si>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</si>
  <si>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</si>
  <si>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</si>
  <si>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</si>
  <si>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</si>
  <si>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</si>
  <si>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</si>
  <si>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</si>
  <si>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</si>
  <si>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</si>
  <si>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</si>
  <si>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</si>
  <si>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</si>
  <si>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</si>
  <si>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</si>
  <si>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</si>
  <si>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</si>
  <si>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</si>
  <si>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</si>
  <si>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</si>
  <si>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</si>
  <si>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</si>
  <si>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</si>
  <si>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</si>
  <si>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</si>
  <si>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</si>
  <si>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</si>
  <si>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</si>
  <si>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</si>
  <si>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</si>
  <si>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</si>
  <si>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</si>
  <si>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</si>
  <si>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</si>
  <si>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</si>
  <si>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</si>
  <si>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</si>
  <si>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</si>
  <si>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</si>
  <si>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</si>
  <si>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</si>
  <si>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</si>
  <si>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</si>
  <si>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</si>
  <si>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</si>
  <si>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</si>
  <si>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</si>
  <si>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</si>
  <si>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</si>
  <si>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</si>
  <si>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</si>
  <si>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</si>
  <si>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</si>
  <si>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</si>
  <si>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</si>
  <si>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</si>
  <si>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</si>
  <si>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</si>
  <si>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</si>
  <si>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</si>
  <si>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</si>
  <si>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</si>
  <si>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</si>
  <si>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</si>
  <si>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</si>
  <si>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</si>
  <si>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</si>
  <si>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</si>
  <si>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</si>
  <si>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</si>
  <si>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</si>
  <si>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</si>
  <si>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</si>
  <si>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</si>
  <si>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</si>
  <si>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</si>
  <si>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</si>
  <si>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</si>
  <si>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</si>
  <si>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</si>
  <si>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</si>
  <si>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</si>
  <si>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</si>
  <si>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</si>
  <si>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</si>
  <si>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</si>
  <si>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</si>
  <si>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</si>
  <si>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</si>
  <si>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</si>
  <si>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</si>
  <si>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</si>
  <si>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</si>
  <si>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</si>
  <si>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</si>
  <si>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</si>
  <si>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</si>
  <si>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</si>
  <si>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</si>
  <si>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</si>
  <si>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</si>
  <si>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</si>
  <si>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</si>
  <si>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</si>
  <si>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</si>
  <si>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</si>
  <si>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</si>
  <si>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</si>
  <si>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</si>
  <si>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</si>
  <si>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</si>
  <si>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</si>
  <si>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</si>
  <si>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</si>
  <si>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</si>
  <si>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</si>
  <si>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</si>
  <si>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</si>
  <si>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</si>
  <si>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</si>
  <si>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</si>
  <si>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</si>
  <si>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</si>
  <si>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</si>
  <si>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</si>
  <si>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</si>
  <si>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</si>
  <si>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</si>
  <si>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</si>
  <si>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</si>
  <si>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</si>
  <si>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</si>
  <si>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</si>
  <si>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</si>
  <si>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</si>
  <si>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</si>
  <si>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</si>
  <si>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</si>
  <si>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</si>
  <si>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</si>
  <si>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</si>
  <si>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</si>
  <si>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</si>
  <si>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</si>
  <si>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</si>
  <si>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</si>
  <si>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</si>
  <si>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</si>
  <si>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</si>
  <si>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</si>
  <si>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</si>
  <si>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</si>
  <si>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</si>
  <si>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</si>
  <si>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</si>
  <si>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</si>
  <si>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</si>
  <si>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</si>
  <si>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</si>
  <si>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</si>
  <si>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</si>
  <si>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</si>
  <si>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</si>
  <si>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</si>
  <si>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</si>
  <si>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</si>
  <si>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</si>
  <si>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</si>
  <si>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</si>
  <si>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</si>
  <si>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</si>
  <si>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</si>
  <si>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</si>
  <si>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</si>
  <si>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</si>
  <si>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</si>
  <si>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</si>
  <si>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</si>
  <si>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</si>
  <si>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</si>
  <si>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</si>
  <si>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</si>
  <si>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</si>
  <si>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</si>
  <si>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</si>
  <si>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</si>
  <si>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</si>
  <si>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</si>
  <si>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</si>
  <si>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</si>
  <si>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</si>
  <si>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</si>
  <si>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</si>
  <si>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</si>
  <si>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</si>
  <si>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</si>
  <si>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</si>
  <si>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</si>
  <si>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</si>
  <si>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</si>
  <si>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</si>
  <si>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</si>
  <si>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</si>
  <si>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</si>
  <si>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</si>
  <si>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</si>
  <si>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</si>
  <si>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</si>
  <si>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</si>
  <si>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</si>
  <si>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</si>
  <si>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</si>
  <si>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</si>
  <si>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</si>
  <si>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</si>
  <si>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</si>
  <si>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</si>
  <si>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</si>
  <si>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</si>
  <si>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</si>
  <si>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</si>
  <si>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</si>
  <si>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</si>
  <si>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</si>
  <si>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</si>
  <si>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</si>
  <si>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</si>
  <si>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</si>
  <si>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</si>
  <si>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</si>
  <si>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</si>
  <si>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</si>
  <si>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</si>
  <si>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</si>
  <si>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</si>
  <si>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</si>
  <si>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</si>
  <si>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</si>
  <si>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</si>
  <si>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</si>
  <si>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</si>
  <si>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</si>
  <si>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</si>
  <si>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</si>
  <si>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</si>
  <si>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</si>
  <si>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</si>
  <si>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</si>
  <si>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</si>
  <si>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</si>
  <si>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</si>
  <si>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</si>
  <si>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</si>
  <si>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</si>
  <si>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</si>
  <si>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</si>
  <si>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</si>
  <si>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</si>
  <si>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</si>
  <si>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</si>
  <si>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</si>
  <si>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</si>
  <si>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</si>
  <si>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</si>
  <si>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</si>
  <si>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</si>
  <si>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</si>
  <si>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</si>
  <si>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</si>
  <si>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</si>
  <si>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</si>
  <si>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</si>
  <si>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</si>
  <si>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</si>
  <si>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</si>
  <si>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</si>
  <si>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</si>
  <si>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</si>
  <si>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</si>
  <si>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</si>
  <si>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</si>
  <si>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</si>
  <si>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</si>
  <si>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</si>
  <si>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</si>
  <si>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</si>
  <si>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</si>
  <si>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</si>
  <si>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</si>
  <si>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</si>
  <si>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</si>
  <si>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</si>
  <si>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</si>
  <si>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</si>
  <si>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</si>
  <si>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</si>
  <si>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</si>
  <si>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</si>
  <si>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</si>
  <si>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</si>
  <si>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</si>
  <si>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</si>
  <si>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</si>
  <si>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</si>
  <si>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</si>
  <si>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</si>
  <si>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</si>
  <si>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</si>
  <si>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</si>
  <si>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</si>
  <si>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</si>
  <si>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</si>
  <si>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</si>
  <si>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</si>
  <si>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</si>
  <si>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</si>
  <si>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</si>
  <si>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</si>
  <si>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</si>
  <si>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</si>
  <si>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</si>
  <si>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</si>
  <si>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</si>
  <si>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</si>
  <si>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</si>
  <si>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</si>
  <si>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</si>
  <si>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</si>
  <si>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</si>
  <si>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</si>
  <si>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</si>
  <si>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</si>
  <si>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</si>
  <si>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</si>
  <si>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</si>
  <si>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</si>
  <si>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</si>
  <si>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</si>
  <si>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</si>
  <si>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</si>
  <si>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</si>
  <si>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</si>
  <si>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</si>
  <si>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</si>
  <si>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</si>
  <si>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</si>
  <si>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</si>
  <si>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</si>
  <si>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</si>
  <si>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</si>
  <si>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</si>
  <si>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</si>
  <si>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</si>
  <si>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</si>
  <si>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</si>
  <si>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</si>
  <si>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</si>
  <si>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</si>
  <si>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</si>
  <si>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</si>
  <si>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</si>
  <si>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</si>
  <si>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</si>
  <si>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</si>
  <si>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</si>
  <si>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</si>
  <si>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</si>
  <si>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</si>
  <si>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</si>
  <si>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</si>
  <si>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</si>
  <si>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</si>
  <si>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</si>
  <si>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</si>
  <si>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</si>
  <si>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</si>
  <si>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</si>
  <si>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</si>
  <si>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</si>
  <si>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</si>
  <si>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</si>
  <si>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</si>
  <si>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</si>
  <si>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</si>
  <si>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</si>
  <si>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</si>
  <si>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</si>
  <si>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</si>
  <si>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</si>
  <si>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</si>
  <si>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</si>
  <si>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</si>
  <si>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</si>
  <si>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</si>
  <si>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</si>
  <si>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</si>
  <si>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</si>
  <si>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</si>
  <si>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</si>
  <si>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</si>
  <si>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</si>
  <si>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</si>
  <si>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</si>
  <si>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</si>
  <si>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</si>
  <si>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</si>
  <si>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</si>
  <si>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</si>
  <si>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</si>
  <si>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</si>
  <si>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</si>
  <si>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</si>
  <si>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</si>
  <si>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</si>
  <si>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</si>
  <si>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</si>
  <si>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</si>
  <si>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</si>
  <si>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</si>
  <si>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</si>
  <si>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</si>
  <si>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</si>
  <si>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</si>
  <si>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</si>
  <si>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</si>
  <si>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</si>
  <si>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</si>
  <si>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</si>
  <si>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</si>
  <si>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</si>
  <si>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</si>
  <si>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</si>
  <si>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</si>
  <si>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</si>
  <si>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</si>
  <si>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</si>
  <si>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</si>
  <si>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</si>
  <si>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</si>
  <si>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</si>
  <si>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</si>
  <si>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</si>
  <si>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</si>
  <si>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</si>
  <si>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</si>
  <si>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</si>
  <si>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</si>
  <si>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</si>
  <si>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</si>
  <si>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</si>
  <si>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</si>
  <si>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</si>
  <si>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</si>
  <si>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</si>
  <si>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</si>
  <si>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</si>
  <si>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</si>
  <si>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</si>
  <si>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</si>
  <si>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</si>
  <si>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</si>
  <si>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</si>
  <si>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</si>
  <si>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</si>
  <si>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</si>
  <si>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</si>
  <si>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</si>
  <si>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</si>
  <si>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</si>
  <si>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</si>
  <si>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</si>
  <si>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</si>
  <si>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</si>
  <si>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</si>
  <si>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</si>
  <si>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</si>
  <si>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</si>
  <si>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</si>
  <si>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</si>
  <si>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</si>
  <si>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</si>
  <si>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</si>
  <si>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</si>
  <si>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</si>
  <si>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</si>
  <si>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</si>
  <si>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</si>
  <si>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</si>
  <si>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</si>
  <si>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</si>
  <si>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</si>
  <si>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</si>
  <si>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</si>
  <si>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</si>
  <si>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</si>
  <si>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</si>
  <si>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</si>
  <si>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</si>
  <si>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</si>
  <si>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</si>
  <si>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</si>
  <si>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</si>
  <si>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</si>
  <si>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</si>
  <si>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</si>
  <si>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</si>
  <si>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</si>
  <si>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</si>
  <si>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</si>
  <si>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</si>
  <si>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</si>
  <si>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</si>
  <si>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</si>
  <si>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</si>
  <si>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</si>
  <si>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</si>
  <si>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</si>
  <si>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</si>
  <si>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</si>
  <si>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</si>
  <si>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</si>
  <si>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</si>
  <si>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</si>
  <si>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</si>
  <si>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</si>
  <si>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</si>
  <si>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</si>
  <si>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</si>
  <si>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</si>
  <si>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</si>
  <si>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</si>
  <si>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</si>
  <si>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</si>
  <si>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</si>
  <si>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</si>
  <si>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</si>
  <si>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</si>
  <si>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</si>
  <si>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</si>
  <si>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</si>
  <si>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</si>
  <si>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</si>
  <si>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</si>
  <si>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</si>
  <si>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</si>
  <si>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</si>
  <si>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</si>
  <si>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</si>
  <si>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</si>
  <si>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</si>
  <si>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</si>
  <si>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</si>
  <si>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</si>
  <si>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</si>
  <si>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</si>
  <si>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</si>
  <si>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</si>
  <si>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</si>
  <si>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</si>
  <si>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</si>
  <si>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</si>
  <si>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</si>
  <si>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</si>
  <si>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</si>
  <si>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</si>
  <si>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</si>
  <si>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</si>
  <si>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</si>
  <si>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</si>
  <si>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</si>
  <si>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</si>
  <si>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</si>
  <si>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</si>
  <si>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</si>
  <si>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</si>
  <si>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</si>
  <si>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</si>
  <si>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</si>
  <si>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</si>
  <si>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</si>
  <si>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</si>
  <si>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</si>
  <si>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</si>
  <si>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</si>
  <si>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</si>
  <si>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</si>
  <si>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</si>
  <si>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</si>
  <si>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</si>
  <si>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</si>
  <si>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</si>
  <si>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</si>
  <si>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</si>
  <si>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</si>
  <si>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</si>
  <si>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</si>
  <si>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</si>
  <si>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</si>
  <si>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</si>
  <si>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</si>
  <si>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</si>
  <si>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</si>
  <si>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</si>
  <si>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</si>
  <si>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</si>
  <si>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</si>
  <si>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</si>
  <si>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</si>
  <si>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</si>
  <si>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</si>
  <si>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</si>
  <si>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</si>
  <si>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</si>
  <si>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</si>
  <si>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</si>
  <si>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</si>
  <si>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</si>
  <si>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</si>
  <si>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</si>
  <si>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</si>
  <si>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</si>
  <si>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</si>
  <si>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</si>
  <si>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</si>
  <si>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</si>
  <si>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</si>
  <si>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</si>
  <si>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</si>
  <si>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</si>
  <si>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</si>
  <si>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</si>
  <si>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</si>
  <si>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</si>
  <si>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</si>
  <si>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</si>
  <si>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</si>
  <si>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</si>
  <si>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</si>
  <si>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</si>
  <si>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</si>
  <si>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</si>
  <si>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</si>
  <si>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</si>
  <si>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</si>
  <si>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</si>
  <si>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</si>
  <si>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</si>
  <si>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</si>
  <si>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</si>
  <si>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</si>
  <si>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</si>
  <si>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</si>
  <si>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</si>
  <si>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</si>
  <si>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</si>
  <si>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</si>
  <si>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</si>
  <si>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</si>
  <si>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</si>
  <si>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</si>
  <si>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</si>
  <si>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</si>
  <si>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</si>
  <si>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</si>
  <si>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</si>
  <si>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</si>
  <si>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</si>
  <si>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</si>
  <si>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</si>
  <si>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</si>
  <si>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</si>
  <si>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</si>
  <si>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</si>
  <si>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</si>
  <si>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</si>
  <si>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</si>
  <si>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</si>
  <si>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</si>
  <si>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</si>
  <si>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</si>
  <si>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</si>
  <si>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</si>
  <si>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</si>
  <si>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</si>
  <si>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</si>
  <si>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</si>
  <si>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</si>
  <si>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</si>
  <si>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</si>
  <si>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</si>
  <si>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</si>
  <si>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</si>
  <si>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</si>
  <si>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</si>
  <si>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</si>
  <si>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</si>
  <si>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</si>
  <si>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</si>
  <si>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</si>
  <si>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</si>
  <si>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</si>
  <si>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</si>
  <si>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</si>
  <si>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</si>
  <si>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</si>
  <si>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</si>
  <si>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</si>
  <si>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</si>
  <si>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</si>
  <si>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</si>
  <si>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</si>
  <si>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</si>
  <si>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</si>
  <si>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</si>
  <si>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</si>
  <si>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</si>
  <si>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</si>
  <si>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</si>
  <si>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</si>
  <si>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</si>
  <si>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</si>
  <si>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</si>
  <si>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</si>
  <si>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</si>
  <si>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</si>
  <si>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</si>
  <si>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</si>
  <si>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</si>
  <si>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</si>
  <si>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</si>
  <si>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</si>
  <si>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</si>
  <si>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</si>
  <si>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</si>
  <si>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</si>
  <si>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</si>
  <si>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</si>
  <si>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</si>
  <si>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</si>
  <si>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</si>
  <si>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</si>
  <si>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</si>
  <si>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</si>
  <si>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</si>
  <si>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</si>
  <si>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</si>
  <si>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</si>
  <si>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</si>
  <si>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</si>
  <si>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</si>
  <si>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</si>
  <si>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</si>
  <si>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</si>
  <si>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</si>
  <si>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</si>
  <si>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</si>
  <si>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</si>
  <si>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</si>
  <si>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</si>
  <si>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</si>
  <si>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</si>
  <si>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</si>
  <si>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</si>
  <si>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</si>
  <si>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</si>
  <si>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</si>
  <si>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</si>
  <si>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</si>
  <si>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</si>
  <si>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</si>
  <si>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</si>
  <si>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</si>
  <si>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</si>
  <si>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</si>
  <si>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</si>
  <si>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</si>
  <si>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</si>
  <si>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</si>
  <si>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</si>
  <si>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</si>
  <si>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</si>
  <si>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</si>
  <si>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</si>
  <si>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</si>
  <si>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</si>
  <si>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</si>
  <si>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</si>
  <si>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</si>
  <si>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</si>
  <si>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</si>
  <si>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</si>
  <si>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</si>
  <si>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</si>
  <si>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</si>
  <si>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</si>
  <si>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</si>
  <si>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</si>
  <si>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</si>
  <si>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</si>
  <si>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</si>
  <si>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</si>
  <si>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</si>
  <si>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</si>
  <si>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</si>
  <si>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</si>
  <si>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</si>
  <si>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</si>
  <si>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</si>
  <si>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</si>
  <si>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</si>
  <si>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</si>
  <si>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</si>
  <si>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</si>
  <si>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</si>
  <si>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</si>
  <si>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</si>
  <si>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</si>
  <si>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</si>
  <si>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</si>
  <si>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</si>
  <si>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</si>
  <si>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</si>
  <si>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</si>
  <si>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</si>
  <si>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</si>
  <si>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</si>
  <si>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</si>
  <si>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</si>
  <si>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</si>
  <si>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</si>
  <si>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</si>
  <si>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</si>
  <si>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</si>
  <si>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</si>
  <si>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</si>
  <si>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</si>
  <si>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</si>
  <si>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</si>
  <si>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</si>
  <si>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</si>
  <si>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</si>
  <si>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</si>
  <si>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</si>
  <si>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</si>
  <si>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</si>
  <si>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</si>
  <si>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</si>
  <si>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</si>
  <si>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</si>
  <si>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</si>
  <si>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</si>
  <si>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</si>
  <si>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</si>
  <si>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</si>
  <si>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</si>
  <si>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</si>
  <si>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</si>
  <si>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</si>
  <si>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</si>
  <si>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</si>
  <si>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</si>
  <si>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</si>
  <si>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</si>
  <si>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</si>
  <si>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</si>
  <si>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</si>
  <si>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</si>
  <si>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</si>
  <si>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</si>
  <si>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</si>
  <si>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</si>
  <si>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</si>
  <si>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</si>
  <si>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</si>
  <si>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</si>
  <si>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</si>
  <si>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</si>
  <si>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</si>
  <si>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</si>
  <si>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</si>
  <si>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</si>
  <si>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</si>
  <si>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</si>
  <si>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</si>
  <si>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</si>
  <si>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</si>
  <si>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</si>
  <si>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</si>
  <si>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</si>
  <si>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</si>
  <si>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</si>
  <si>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</si>
  <si>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</si>
  <si>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</si>
  <si>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</si>
  <si>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</si>
  <si>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</si>
  <si>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</si>
  <si>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</si>
  <si>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</si>
  <si>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</si>
  <si>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</si>
  <si>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</si>
  <si>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</si>
  <si>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</si>
  <si>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</si>
  <si>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</si>
  <si>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</si>
  <si>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</si>
  <si>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</si>
  <si>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</si>
  <si>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</si>
  <si>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</si>
  <si>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</si>
  <si>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</si>
  <si>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</si>
  <si>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</si>
  <si>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</si>
  <si>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</si>
  <si>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</si>
  <si>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</si>
  <si>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</si>
  <si>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</si>
  <si>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</si>
  <si>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</si>
  <si>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</si>
  <si>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</si>
  <si>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</si>
  <si>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</si>
  <si>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</si>
  <si>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</si>
  <si>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</si>
  <si>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</si>
  <si>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</si>
  <si>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</si>
  <si>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</si>
  <si>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</si>
  <si>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</si>
  <si>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</si>
  <si>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</si>
  <si>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</si>
  <si>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</si>
  <si>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</si>
  <si>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</si>
  <si>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</si>
  <si>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</si>
  <si>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</si>
  <si>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</si>
  <si>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</si>
  <si>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</si>
  <si>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</si>
  <si>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</si>
  <si>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</si>
  <si>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</si>
  <si>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</si>
  <si>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</si>
  <si>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</si>
  <si>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</si>
  <si>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</si>
  <si>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</si>
  <si>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</si>
  <si>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</si>
  <si>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</si>
  <si>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</si>
  <si>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</si>
  <si>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</si>
  <si>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</si>
  <si>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</si>
  <si>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</si>
  <si>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</si>
  <si>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</si>
  <si>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</si>
  <si>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</si>
  <si>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</si>
  <si>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</si>
  <si>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</si>
  <si>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</si>
  <si>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</si>
  <si>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</si>
  <si>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</si>
  <si>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</si>
  <si>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</si>
  <si>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</si>
  <si>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</si>
  <si>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</si>
  <si>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</si>
  <si>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</si>
  <si>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</si>
  <si>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</si>
  <si>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</si>
  <si>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</si>
  <si>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</si>
  <si>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</si>
  <si>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</si>
  <si>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</si>
  <si>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</si>
  <si>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</si>
  <si>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</si>
  <si>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</si>
  <si>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</si>
  <si>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</si>
  <si>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</si>
  <si>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</si>
  <si>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</si>
  <si>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</si>
  <si>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</si>
  <si>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</si>
  <si>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</si>
  <si>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</si>
  <si>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</si>
  <si>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</si>
  <si>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</si>
  <si>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</si>
  <si>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</si>
  <si>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</si>
  <si>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</si>
  <si>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</si>
  <si>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</si>
  <si>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</si>
  <si>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</si>
  <si>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</si>
  <si>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</si>
  <si>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</si>
  <si>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</si>
  <si>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</si>
  <si>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</si>
  <si>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</si>
  <si>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</si>
  <si>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</si>
  <si>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</si>
  <si>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</si>
  <si>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</si>
  <si>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</si>
  <si>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</si>
  <si>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</si>
  <si>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</si>
  <si>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</si>
  <si>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</si>
  <si>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</si>
  <si>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</si>
  <si>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</si>
  <si>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</si>
  <si>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</si>
  <si>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</si>
  <si>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</si>
  <si>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</si>
  <si>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</si>
  <si>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</si>
  <si>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</si>
  <si>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</si>
  <si>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</si>
  <si>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</si>
  <si>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</si>
  <si>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</si>
  <si>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</si>
  <si>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</si>
  <si>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</si>
  <si>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</si>
  <si>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</si>
  <si>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</si>
  <si>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</si>
  <si>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</si>
  <si>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</si>
  <si>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</si>
  <si>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</si>
  <si>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</si>
  <si>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</si>
  <si>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</si>
  <si>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</si>
  <si>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</si>
  <si>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</si>
  <si>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</si>
  <si>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</si>
  <si>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</si>
  <si>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</si>
  <si>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</si>
  <si>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</si>
  <si>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</si>
  <si>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</si>
  <si>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</si>
  <si>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</si>
  <si>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</si>
  <si>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</si>
  <si>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</si>
  <si>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</si>
  <si>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</si>
  <si>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</si>
  <si>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</si>
  <si>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</si>
  <si>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</si>
  <si>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</si>
  <si>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</si>
  <si>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</si>
  <si>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</si>
  <si>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</si>
  <si>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</si>
  <si>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</si>
  <si>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</si>
  <si>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</si>
  <si>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</si>
  <si>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</si>
  <si>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</si>
  <si>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</si>
  <si>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</si>
  <si>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</si>
  <si>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</si>
  <si>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</si>
  <si>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</si>
  <si>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</si>
  <si>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</si>
  <si>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</si>
  <si>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</si>
  <si>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</si>
  <si>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</si>
  <si>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</si>
  <si>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</si>
  <si>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</si>
  <si>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</si>
  <si>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</si>
  <si>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</si>
  <si>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</si>
  <si>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</si>
  <si>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</si>
  <si>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</si>
  <si>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</si>
  <si>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</si>
  <si>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</si>
  <si>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</si>
  <si>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</si>
  <si>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</si>
  <si>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</si>
  <si>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</si>
  <si>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</si>
  <si>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</si>
  <si>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</si>
  <si>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</si>
  <si>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</si>
  <si>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</si>
  <si>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</si>
  <si>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</si>
  <si>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</si>
  <si>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</si>
  <si>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</si>
  <si>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</si>
  <si>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</si>
  <si>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</si>
  <si>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</si>
  <si>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</si>
  <si>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</si>
  <si>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</si>
  <si>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</si>
  <si>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</si>
  <si>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</si>
  <si>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</si>
  <si>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</si>
  <si>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</si>
  <si>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</si>
  <si>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</si>
  <si>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</si>
  <si>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</si>
  <si>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</si>
  <si>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</si>
  <si>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</si>
  <si>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</si>
  <si>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</si>
  <si>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</si>
  <si>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</si>
  <si>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</si>
  <si>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</si>
  <si>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</si>
  <si>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</si>
  <si>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</si>
  <si>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</si>
  <si>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</si>
  <si>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</si>
  <si>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</si>
  <si>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</si>
  <si>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</si>
  <si>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</si>
  <si>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</si>
  <si>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</si>
  <si>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</si>
  <si>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</si>
  <si>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</si>
  <si>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</si>
  <si>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</si>
  <si>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</si>
  <si>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</si>
  <si>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</si>
  <si>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</si>
  <si>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</si>
  <si>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</si>
  <si>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</si>
  <si>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</si>
  <si>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</si>
  <si>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</si>
  <si>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</si>
  <si>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</si>
  <si>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</si>
  <si>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</si>
  <si>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</si>
  <si>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</si>
  <si>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</si>
  <si>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</si>
  <si>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</si>
  <si>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</si>
  <si>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</si>
  <si>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</si>
  <si>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</si>
  <si>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</si>
  <si>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</si>
  <si>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</si>
  <si>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</si>
  <si>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</si>
  <si>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</si>
  <si>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</si>
  <si>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</si>
  <si>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</si>
  <si>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</si>
  <si>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</si>
  <si>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</si>
  <si>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</si>
  <si>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</si>
  <si>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</si>
  <si>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</si>
  <si>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</si>
  <si>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</si>
  <si>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</si>
  <si>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</si>
  <si>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</si>
  <si>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</si>
  <si>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</si>
  <si>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</si>
  <si>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</si>
  <si>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</si>
  <si>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</si>
  <si>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</si>
  <si>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</si>
  <si>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</si>
  <si>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</si>
  <si>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</si>
  <si>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</si>
  <si>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</si>
  <si>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</si>
  <si>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</si>
  <si>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</si>
  <si>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</si>
  <si>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</si>
  <si>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</si>
  <si>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</si>
  <si>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</si>
  <si>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</si>
  <si>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</si>
  <si>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</si>
  <si>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</si>
  <si>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</si>
  <si>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</si>
  <si>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</si>
  <si>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</si>
  <si>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</si>
  <si>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</si>
  <si>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</si>
  <si>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</si>
  <si>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</si>
  <si>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</si>
  <si>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</si>
  <si>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</si>
  <si>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</si>
  <si>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</si>
  <si>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</si>
  <si>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</si>
  <si>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</si>
  <si>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</si>
  <si>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</si>
  <si>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</si>
  <si>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</si>
  <si>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</si>
  <si>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</si>
  <si>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</si>
  <si>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</si>
  <si>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</si>
  <si>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</si>
  <si>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</si>
  <si>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</si>
  <si>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</si>
  <si>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</si>
  <si>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</si>
  <si>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</si>
  <si>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</si>
  <si>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</si>
  <si>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</si>
  <si>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</si>
  <si>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</si>
  <si>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</si>
  <si>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</si>
  <si>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</si>
  <si>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</si>
  <si>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</si>
  <si>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</si>
  <si>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</si>
  <si>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</si>
  <si>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</si>
  <si>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</si>
  <si>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</si>
  <si>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</si>
  <si>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</si>
  <si>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</si>
  <si>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</si>
  <si>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</si>
  <si>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</si>
  <si>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</si>
  <si>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</si>
  <si>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</si>
  <si>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</si>
  <si>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</si>
  <si>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</si>
  <si>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</si>
  <si>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</si>
  <si>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</si>
  <si>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</si>
  <si>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</si>
  <si>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</si>
  <si>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</si>
  <si>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</si>
  <si>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</si>
  <si>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</si>
  <si>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</si>
  <si>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</si>
  <si>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</si>
  <si>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</si>
  <si>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</si>
  <si>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</si>
  <si>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</si>
  <si>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</si>
  <si>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</si>
  <si>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</si>
  <si>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</si>
  <si>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</si>
  <si>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</si>
  <si>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</si>
  <si>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</si>
  <si>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</si>
  <si>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</si>
  <si>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</si>
  <si>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</si>
  <si>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</si>
  <si>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</si>
  <si>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</si>
  <si>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</si>
  <si>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</si>
  <si>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</si>
  <si>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</si>
  <si>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</si>
  <si>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</si>
  <si>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</si>
  <si>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</si>
  <si>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</si>
  <si>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</si>
  <si>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</si>
  <si>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</si>
  <si>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</si>
  <si>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</si>
  <si>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</si>
  <si>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</si>
  <si>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</si>
  <si>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</si>
  <si>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</si>
  <si>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</si>
  <si>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</si>
  <si>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</si>
  <si>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</si>
  <si>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</si>
  <si>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</si>
  <si>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</si>
  <si>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</si>
  <si>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</si>
  <si>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</si>
  <si>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</si>
  <si>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</si>
  <si>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</si>
  <si>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</si>
  <si>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</si>
  <si>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</si>
  <si>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</si>
  <si>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</si>
  <si>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</si>
  <si>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</si>
  <si>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</si>
  <si>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</si>
  <si>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</si>
  <si>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</si>
  <si>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</si>
  <si>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</si>
  <si>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</si>
  <si>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</si>
  <si>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</si>
  <si>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</si>
  <si>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</si>
  <si>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</si>
  <si>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</si>
  <si>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</si>
  <si>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</si>
  <si>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</si>
  <si>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</si>
  <si>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</si>
  <si>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</si>
  <si>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</si>
  <si>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</si>
  <si>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</si>
  <si>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</si>
  <si>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</si>
  <si>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</si>
  <si>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</si>
  <si>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</si>
  <si>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</si>
  <si>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</si>
  <si>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</si>
  <si>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</si>
  <si>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</si>
  <si>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</si>
  <si>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</si>
  <si>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</si>
  <si>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</si>
  <si>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</si>
  <si>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</si>
  <si>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</si>
  <si>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</si>
  <si>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</si>
  <si>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</si>
  <si>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</si>
  <si>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</si>
  <si>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</si>
  <si>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</si>
  <si>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</si>
  <si>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</si>
  <si>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</si>
  <si>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</si>
  <si>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</si>
  <si>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</si>
  <si>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</si>
  <si>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</si>
  <si>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</si>
  <si>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</si>
  <si>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</si>
  <si>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</si>
  <si>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</si>
  <si>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</si>
  <si>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</si>
  <si>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</si>
  <si>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</si>
  <si>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</si>
  <si>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</si>
  <si>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</si>
  <si>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</si>
  <si>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</si>
  <si>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</si>
  <si>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</si>
  <si>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</si>
  <si>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</si>
  <si>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</si>
  <si>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</si>
  <si>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</si>
  <si>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</si>
  <si>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</si>
  <si>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</si>
  <si>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</si>
  <si>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</si>
  <si>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</si>
  <si>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</si>
  <si>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</si>
  <si>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</si>
  <si>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</si>
  <si>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</si>
  <si>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</si>
  <si>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</si>
  <si>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</si>
  <si>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</si>
  <si>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</si>
  <si>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</si>
  <si>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</si>
  <si>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</si>
  <si>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</si>
  <si>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</si>
  <si>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</si>
  <si>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</si>
  <si>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</si>
  <si>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</si>
  <si>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</si>
  <si>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</si>
  <si>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</si>
  <si>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</si>
  <si>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</si>
  <si>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</si>
  <si>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</si>
  <si>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</si>
  <si>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</si>
  <si>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</si>
  <si>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</si>
  <si>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</si>
  <si>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</si>
  <si>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</si>
  <si>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</si>
  <si>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</si>
  <si>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</si>
  <si>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</si>
  <si>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</si>
  <si>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</si>
  <si>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</si>
  <si>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</si>
  <si>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</si>
  <si>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</si>
  <si>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</si>
  <si>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</si>
  <si>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</si>
  <si>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</si>
  <si>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</si>
  <si>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</si>
  <si>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</si>
  <si>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</si>
  <si>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</si>
  <si>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</si>
  <si>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</si>
  <si>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</si>
  <si>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</si>
  <si>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</si>
  <si>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</si>
  <si>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</si>
  <si>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</si>
  <si>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</si>
  <si>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</si>
  <si>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</si>
  <si>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</si>
  <si>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</si>
  <si>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</si>
  <si>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</si>
  <si>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</si>
  <si>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</si>
  <si>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</si>
  <si>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</si>
  <si>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</si>
  <si>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</si>
  <si>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</si>
  <si>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</si>
  <si>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</si>
  <si>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</si>
  <si>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</si>
  <si>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</si>
  <si>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</si>
  <si>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</si>
  <si>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</si>
  <si>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</si>
  <si>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</si>
  <si>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</si>
  <si>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</si>
  <si>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</si>
  <si>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</si>
  <si>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</si>
  <si>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</si>
  <si>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</si>
  <si>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</si>
  <si>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</si>
  <si>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</si>
  <si>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</si>
  <si>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</si>
  <si>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</si>
  <si>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</si>
  <si>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</si>
  <si>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</si>
  <si>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</si>
  <si>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</si>
  <si>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</si>
  <si>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</si>
  <si>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</si>
  <si>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</si>
  <si>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</si>
  <si>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</si>
  <si>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</si>
  <si>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</si>
  <si>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</si>
  <si>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</si>
  <si>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</si>
  <si>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</si>
  <si>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</si>
  <si>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</si>
  <si>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</si>
  <si>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</si>
  <si>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</si>
  <si>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</si>
  <si>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</si>
  <si>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</si>
  <si>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</si>
  <si>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</si>
  <si>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</si>
  <si>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</si>
  <si>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</si>
  <si>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</si>
  <si>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</si>
  <si>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</si>
  <si>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</si>
  <si>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</si>
  <si>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</si>
  <si>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</si>
  <si>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</si>
  <si>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</si>
  <si>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</si>
  <si>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</si>
  <si>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</si>
  <si>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</si>
  <si>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</si>
  <si>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</si>
  <si>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</si>
  <si>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</si>
  <si>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</si>
  <si>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</si>
  <si>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</si>
  <si>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</si>
  <si>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</si>
  <si>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</si>
  <si>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</si>
  <si>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</si>
  <si>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</si>
  <si>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</si>
  <si>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</si>
  <si>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</si>
  <si>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</si>
  <si>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</si>
  <si>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</si>
  <si>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</si>
  <si>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</si>
  <si>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</si>
  <si>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</si>
  <si>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</si>
  <si>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</si>
  <si>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</si>
  <si>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</si>
  <si>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</si>
  <si>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</si>
  <si>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</si>
  <si>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</si>
  <si>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</si>
  <si>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</si>
  <si>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</si>
  <si>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</si>
  <si>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</si>
  <si>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</si>
  <si>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</si>
  <si>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</si>
  <si>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</si>
  <si>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</si>
  <si>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</si>
  <si>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</si>
  <si>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</si>
  <si>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</si>
  <si>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</si>
  <si>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</si>
  <si>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</si>
  <si>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</si>
  <si>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</si>
  <si>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</si>
  <si>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</si>
  <si>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</si>
  <si>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</si>
  <si>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</si>
  <si>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</si>
  <si>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</si>
  <si>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</si>
  <si>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</si>
  <si>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</si>
  <si>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</si>
  <si>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</si>
  <si>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</si>
  <si>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</si>
  <si>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</si>
  <si>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</si>
  <si>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</si>
  <si>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</si>
  <si>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</si>
  <si>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</si>
  <si>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</si>
  <si>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</si>
  <si>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</si>
  <si>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</si>
  <si>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</si>
  <si>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</si>
  <si>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</si>
  <si>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</si>
  <si>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</si>
  <si>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</si>
  <si>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</si>
  <si>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</si>
  <si>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</si>
  <si>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</si>
  <si>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</si>
  <si>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</si>
  <si>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</si>
  <si>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</si>
  <si>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</si>
  <si>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</si>
  <si>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</si>
  <si>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</si>
  <si>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</si>
  <si>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</si>
  <si>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</si>
  <si>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</si>
  <si>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</si>
  <si>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</si>
  <si>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</si>
  <si>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</si>
  <si>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</si>
  <si>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</si>
  <si>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</si>
  <si>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</si>
  <si>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</si>
  <si>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</si>
  <si>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</si>
  <si>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</si>
  <si>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</si>
  <si>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</si>
  <si>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</si>
  <si>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</si>
  <si>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</si>
  <si>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</si>
  <si>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</si>
  <si>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</si>
  <si>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</si>
  <si>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</si>
  <si>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</si>
  <si>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</si>
  <si>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</si>
  <si>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</si>
  <si>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</si>
  <si>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</si>
  <si>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</si>
  <si>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</si>
  <si>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</si>
  <si>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</si>
  <si>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</si>
  <si>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</si>
  <si>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</si>
  <si>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</si>
  <si>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</si>
  <si>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</si>
  <si>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</si>
  <si>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</si>
  <si>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</si>
  <si>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</si>
  <si>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</si>
  <si>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</si>
  <si>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</si>
  <si>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</si>
  <si>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</si>
  <si>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</si>
  <si>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</si>
  <si>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</si>
  <si>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</si>
  <si>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</si>
  <si>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</si>
  <si>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</si>
  <si>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</si>
  <si>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</si>
  <si>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</si>
  <si>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</si>
  <si>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</si>
  <si>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</si>
  <si>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</si>
  <si>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</si>
  <si>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</si>
  <si>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</si>
  <si>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</si>
  <si>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</si>
  <si>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</si>
  <si>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</si>
  <si>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</si>
  <si>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</si>
  <si>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</si>
  <si>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</si>
  <si>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</si>
  <si>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</si>
  <si>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</si>
  <si>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</si>
  <si>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</si>
  <si>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</si>
  <si>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</si>
  <si>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</si>
  <si>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</si>
  <si>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</si>
  <si>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</si>
  <si>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</si>
  <si>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</si>
  <si>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</si>
  <si>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</si>
  <si>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</si>
  <si>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</si>
  <si>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</si>
  <si>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</si>
  <si>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</si>
  <si>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</si>
  <si>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</si>
  <si>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</si>
  <si>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</si>
  <si>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</si>
  <si>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</si>
  <si>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</si>
  <si>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</si>
  <si>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</si>
  <si>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</si>
  <si>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</si>
  <si>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</si>
  <si>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</si>
  <si>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</si>
  <si>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</si>
  <si>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</si>
  <si>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</si>
  <si>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</si>
  <si>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</si>
  <si>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</si>
  <si>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</si>
  <si>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</si>
  <si>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</si>
  <si>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</si>
  <si>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</si>
  <si>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</si>
  <si>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</si>
  <si>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</si>
  <si>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</si>
  <si>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</si>
  <si>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</si>
  <si>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</si>
  <si>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</si>
  <si>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</si>
  <si>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</si>
  <si>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</si>
  <si>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</si>
  <si>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</si>
  <si>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</si>
  <si>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</si>
  <si>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Logan</t>
  </si>
  <si>
    <t>2965 Woodlawn</t>
  </si>
  <si>
    <t>Lincoln</t>
  </si>
  <si>
    <t>Pamela J. Simpson</t>
  </si>
  <si>
    <t>Pamela J. Simpson, CPA</t>
  </si>
  <si>
    <t>920 West Pershing Road</t>
  </si>
  <si>
    <t>Decatur</t>
  </si>
  <si>
    <t>IL</t>
  </si>
  <si>
    <t>(217) 872-1908</t>
  </si>
  <si>
    <t>(217) 872-1911</t>
  </si>
  <si>
    <t>pjscpa31a@aol.com</t>
  </si>
  <si>
    <t>Heather Baker, Superintendent</t>
  </si>
  <si>
    <t>065-015457</t>
  </si>
  <si>
    <t>2016 Taxable WCF Bonds</t>
  </si>
  <si>
    <t>2016 General Obligation Limited Refunding School Bonds</t>
  </si>
  <si>
    <t>x</t>
  </si>
  <si>
    <t>No historic, detailed capital asset records maintained by District for General Fixed Asset group of accounts.</t>
  </si>
  <si>
    <t>hbaker@wlb92@.org</t>
  </si>
  <si>
    <t>Lincoln Community High School</t>
  </si>
  <si>
    <t>ED-Support Services-Food Service</t>
  </si>
  <si>
    <t>10-2560-300</t>
  </si>
  <si>
    <t>Fund 10-1999 - Receipts for graduation robes $428.</t>
  </si>
  <si>
    <t>West Lincoln-Broadwell ESD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</si>
</sst>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5</xdr:row>
          <xdr:rowOff>76200</xdr:rowOff>
        </xdr:from>
        <xdr:to>
          <xdr:col>1</xdr:col>
          <xdr:colOff>2895600</xdr:colOff>
          <xdr:row>8</xdr:row>
          <xdr:rowOff>104775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17054092004</v>
      </c>
      <c r="B13" s="2037"/>
      <c r="C13" s="2037"/>
      <c r="D13" s="2037"/>
      <c r="E13" s="2037"/>
      <c r="F13" s="2037"/>
      <c r="G13" s="2037"/>
      <c r="H13" s="2038"/>
      <c r="I13" s="31"/>
      <c r="J13" s="30"/>
      <c r="K13" s="28"/>
      <c r="L13" s="30"/>
      <c r="M13" s="30"/>
      <c r="N13" s="30"/>
      <c r="O13" s="30"/>
      <c r="P13" s="30"/>
      <c r="Q13" s="30"/>
      <c r="R13" s="30"/>
      <c r="S13" s="30"/>
      <c r="T13" s="2041" t="s">
        <v>2082</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2081</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2100</v>
      </c>
      <c r="B17" s="1996"/>
      <c r="C17" s="1996"/>
      <c r="D17" s="1996"/>
      <c r="E17" s="1996"/>
      <c r="F17" s="1996"/>
      <c r="G17" s="1996"/>
      <c r="H17" s="2021"/>
      <c r="T17" s="2052" t="s">
        <v>2083</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2079</v>
      </c>
      <c r="B19" s="1981"/>
      <c r="C19" s="1981"/>
      <c r="D19" s="1981"/>
      <c r="E19" s="1981"/>
      <c r="F19" s="1981"/>
      <c r="G19" s="1981"/>
      <c r="H19" s="1961"/>
      <c r="I19" s="30"/>
      <c r="J19" s="99"/>
      <c r="K19" s="40"/>
      <c r="L19" s="38"/>
      <c r="M19" s="112" t="s">
        <v>333</v>
      </c>
      <c r="P19" s="27"/>
      <c r="Q19" s="27"/>
      <c r="R19" s="27"/>
      <c r="S19" s="31"/>
      <c r="T19" s="2035" t="s">
        <v>2084</v>
      </c>
      <c r="U19" s="1960"/>
      <c r="V19" s="1960"/>
      <c r="W19" s="1961"/>
      <c r="X19" s="2050" t="s">
        <v>2085</v>
      </c>
      <c r="Y19" s="2051"/>
      <c r="Z19" s="2048">
        <v>62526</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2080</v>
      </c>
      <c r="B21" s="1960"/>
      <c r="C21" s="1960"/>
      <c r="D21" s="1960"/>
      <c r="E21" s="1960"/>
      <c r="F21" s="1960"/>
      <c r="G21" s="1960"/>
      <c r="H21" s="1961"/>
      <c r="I21" s="2015" t="s">
        <v>699</v>
      </c>
      <c r="J21" s="2010"/>
      <c r="K21" s="2010"/>
      <c r="L21" s="2010"/>
      <c r="M21" s="2010"/>
      <c r="N21" s="2010"/>
      <c r="O21" s="2010"/>
      <c r="P21" s="2010"/>
      <c r="Q21" s="2010"/>
      <c r="R21" s="2010"/>
      <c r="S21" s="2016"/>
      <c r="T21" s="2059" t="s">
        <v>2086</v>
      </c>
      <c r="U21" s="2060"/>
      <c r="V21" s="2060"/>
      <c r="W21" s="2060"/>
      <c r="X21" s="2065" t="s">
        <v>2087</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2090</v>
      </c>
      <c r="U23" s="2058"/>
      <c r="V23" s="2058"/>
      <c r="W23" s="2058"/>
      <c r="X23" s="2062">
        <v>44469</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62656</v>
      </c>
      <c r="B25" s="1960"/>
      <c r="C25" s="1960"/>
      <c r="D25" s="1960"/>
      <c r="E25" s="1960"/>
      <c r="F25" s="1960"/>
      <c r="G25" s="1960"/>
      <c r="H25" s="1961"/>
      <c r="I25" s="113"/>
      <c r="J25" s="1984"/>
      <c r="K25" s="1984"/>
      <c r="L25" s="1984"/>
      <c r="M25" s="1984"/>
      <c r="N25" s="1984"/>
      <c r="O25" s="1984"/>
      <c r="P25" s="1984"/>
      <c r="Q25" s="1984"/>
      <c r="R25" s="1984"/>
      <c r="S25" s="1985"/>
      <c r="T25" s="2055" t="s">
        <v>2088</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2095</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v>2177322630</v>
      </c>
      <c r="B42" s="1979"/>
      <c r="C42" s="1980"/>
      <c r="D42" s="1978">
        <v>2177323623</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80" sqref="D8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2094</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79198362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1.63635E-2</v>
      </c>
      <c r="E10" s="356" t="s">
        <v>1062</v>
      </c>
      <c r="F10" s="355">
        <v>1.052E-3</v>
      </c>
      <c r="G10" s="356" t="s">
        <v>1062</v>
      </c>
      <c r="H10" s="355">
        <v>1.2375999999999999E-3</v>
      </c>
      <c r="I10" s="356" t="s">
        <v>1063</v>
      </c>
      <c r="J10" s="1754">
        <f>ROUND(D10+F10+H10,5)</f>
        <v>1.865E-2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2163870</v>
      </c>
      <c r="E16" s="356"/>
      <c r="F16" s="1755">
        <f>SUM('Acct Summary 7-8'!C17,'Acct Summary 7-8'!D17,'Acct Summary 7-8'!F17)</f>
        <v>2455833</v>
      </c>
      <c r="G16" s="356"/>
      <c r="H16" s="1755">
        <f>SUM(D16-F16)</f>
        <v>-291963</v>
      </c>
      <c r="I16" s="222"/>
      <c r="J16" s="1755">
        <f>SUM('Acct Summary 7-8'!C81,'Acct Summary 7-8'!D81,'Acct Summary 7-8'!F81,'Acct Summary 7-8'!I81)</f>
        <v>1179920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5464686.9780000001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1471000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 sqref="D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 Lincoln-Broadwell ESD 92</v>
      </c>
      <c r="E7" s="391"/>
      <c r="G7" s="252"/>
      <c r="H7" s="387"/>
      <c r="I7" s="387"/>
      <c r="J7" s="387"/>
      <c r="K7" s="387"/>
      <c r="L7" s="329"/>
      <c r="M7" s="329"/>
      <c r="N7" s="329"/>
      <c r="O7" s="329"/>
      <c r="P7" s="329"/>
    </row>
    <row r="8" spans="1:18" ht="12.75" x14ac:dyDescent="0.2">
      <c r="A8" s="329"/>
      <c r="B8" s="329"/>
      <c r="C8" s="389" t="s">
        <v>1187</v>
      </c>
      <c r="D8" s="392">
        <f>COVER!A13</f>
        <v>17054092004</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1179920</v>
      </c>
      <c r="I12" s="404"/>
      <c r="J12" s="404"/>
      <c r="K12" s="405">
        <f>TRUNC((H12/H13*100000),5)/100000</f>
        <v>0.54528229509999993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2163870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2</v>
      </c>
      <c r="P16" s="216"/>
      <c r="R16" s="384"/>
    </row>
    <row r="17" spans="1:18" s="408" customFormat="1" ht="11.25" x14ac:dyDescent="0.2">
      <c r="A17" s="218"/>
      <c r="B17" s="401"/>
      <c r="C17" s="218" t="s">
        <v>830</v>
      </c>
      <c r="D17" s="218"/>
      <c r="E17" s="218"/>
      <c r="F17" s="218" t="s">
        <v>464</v>
      </c>
      <c r="G17" s="402"/>
      <c r="H17" s="403">
        <f>SUM('Acct Summary 7-8'!C17+'Acct Summary 7-8'!D17+'Acct Summary 7-8'!F17)</f>
        <v>2455833</v>
      </c>
      <c r="I17" s="404"/>
      <c r="J17" s="416"/>
      <c r="K17" s="405">
        <f>TRUNC((H17/H18*100000),5)/100000</f>
        <v>1.1349263125</v>
      </c>
      <c r="L17" s="406"/>
      <c r="M17" s="417" t="s">
        <v>1233</v>
      </c>
      <c r="O17" s="418" t="str">
        <f>IF(AND(O16="2", J20 &gt; 2),"1",IF(AND(O16 = "1", J20 &gt; 2),"2",IF(AND(O16="1", J20 &gt;1),"1","0")))</f>
        <v>1</v>
      </c>
      <c r="P17" s="218"/>
    </row>
    <row r="18" spans="1:18" s="408" customFormat="1" ht="11.25" x14ac:dyDescent="0.2">
      <c r="A18" s="218"/>
      <c r="B18" s="401"/>
      <c r="C18" s="2119" t="s">
        <v>1384</v>
      </c>
      <c r="D18" s="2120"/>
      <c r="E18" s="218"/>
      <c r="F18" s="419" t="s">
        <v>827</v>
      </c>
      <c r="G18" s="402"/>
      <c r="H18" s="403">
        <f>SUM('Acct Summary 7-8'!C8+'Acct Summary 7-8'!D8+'Acct Summary 7-8'!F8+'Acct Summary 7-8'!I8)+H19</f>
        <v>2163870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3.3001887000000001</v>
      </c>
      <c r="K20" s="405">
        <f>IF(K17&lt;=1,"0",IF(AND(O16="2", J20 &gt; 2),TRUNC(((K12-0.1)/(K17-1)*100),5)/100,IF(AND(O16 = "1", J20 &gt; 2),TRUNC(((K12-0.1)/(K17-1)*100),5)/100,IF(AND(O16="1", J20 &gt;1),TRUNC(((K12-0.1)/(K17-1)*100),5)/100,""))))</f>
        <v>3.3001887000000001</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1179920</v>
      </c>
      <c r="I24" s="422"/>
      <c r="J24" s="422"/>
      <c r="K24" s="423">
        <f>TRUNC(((H24/H25*100000)/100000),2)</f>
        <v>172.96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6821.7583299999997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1255492.03361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1471000</v>
      </c>
      <c r="I32" s="420"/>
      <c r="J32" s="420"/>
      <c r="K32" s="423">
        <f>TRUNC(100-((((H32/H33*100))*100)/100),2)</f>
        <v>73.08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5464686.9780000001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D80" sqref="D80"/>
      <selection pane="bottomLeft" activeCell="D80" sqref="D8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469894</v>
      </c>
      <c r="D4" s="466">
        <v>67599</v>
      </c>
      <c r="E4" s="466">
        <v>19777</v>
      </c>
      <c r="F4" s="466">
        <v>96048</v>
      </c>
      <c r="G4" s="466">
        <v>16125</v>
      </c>
      <c r="H4" s="466">
        <v>118530</v>
      </c>
      <c r="I4" s="466">
        <v>546379</v>
      </c>
      <c r="J4" s="467">
        <v>8739</v>
      </c>
      <c r="K4" s="466">
        <v>9095</v>
      </c>
      <c r="L4" s="466">
        <v>11591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469894</v>
      </c>
      <c r="D13" s="1759">
        <f t="shared" ref="D13:L13" si="0">SUM(D4:D12)</f>
        <v>67599</v>
      </c>
      <c r="E13" s="1759">
        <f t="shared" si="0"/>
        <v>19777</v>
      </c>
      <c r="F13" s="1759">
        <f t="shared" si="0"/>
        <v>96048</v>
      </c>
      <c r="G13" s="1759">
        <f t="shared" si="0"/>
        <v>16125</v>
      </c>
      <c r="H13" s="1759">
        <f t="shared" si="0"/>
        <v>118530</v>
      </c>
      <c r="I13" s="1759">
        <f t="shared" si="0"/>
        <v>546379</v>
      </c>
      <c r="J13" s="1759">
        <f t="shared" si="0"/>
        <v>8739</v>
      </c>
      <c r="K13" s="1759">
        <f t="shared" si="0"/>
        <v>9095</v>
      </c>
      <c r="L13" s="1759">
        <f t="shared" si="0"/>
        <v>11591</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15000</v>
      </c>
      <c r="N16" s="484"/>
    </row>
    <row r="17" spans="1:14" s="485" customFormat="1" ht="12.75" customHeight="1" x14ac:dyDescent="0.2">
      <c r="A17" s="482" t="s">
        <v>1470</v>
      </c>
      <c r="B17" s="483">
        <v>230</v>
      </c>
      <c r="C17" s="477"/>
      <c r="D17" s="477"/>
      <c r="E17" s="477"/>
      <c r="F17" s="477"/>
      <c r="G17" s="477"/>
      <c r="H17" s="477"/>
      <c r="I17" s="477"/>
      <c r="J17" s="477"/>
      <c r="K17" s="477"/>
      <c r="L17" s="477"/>
      <c r="M17" s="467">
        <v>2144598</v>
      </c>
      <c r="N17" s="484"/>
    </row>
    <row r="18" spans="1:14" s="485" customFormat="1" ht="12.75" customHeight="1" x14ac:dyDescent="0.2">
      <c r="A18" s="482" t="s">
        <v>1471</v>
      </c>
      <c r="B18" s="483">
        <v>240</v>
      </c>
      <c r="C18" s="477"/>
      <c r="D18" s="477"/>
      <c r="E18" s="477"/>
      <c r="F18" s="477"/>
      <c r="G18" s="477"/>
      <c r="H18" s="477"/>
      <c r="I18" s="477"/>
      <c r="J18" s="477"/>
      <c r="K18" s="477"/>
      <c r="L18" s="477"/>
      <c r="M18" s="467">
        <v>29474</v>
      </c>
      <c r="N18" s="484"/>
    </row>
    <row r="19" spans="1:14" s="485" customFormat="1" ht="12.75" customHeight="1" x14ac:dyDescent="0.2">
      <c r="A19" s="482" t="s">
        <v>1472</v>
      </c>
      <c r="B19" s="483">
        <v>250</v>
      </c>
      <c r="C19" s="477"/>
      <c r="D19" s="477"/>
      <c r="E19" s="477"/>
      <c r="F19" s="477"/>
      <c r="G19" s="477"/>
      <c r="H19" s="477"/>
      <c r="I19" s="477"/>
      <c r="J19" s="477"/>
      <c r="K19" s="477"/>
      <c r="L19" s="477"/>
      <c r="M19" s="467">
        <v>215435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19777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1451223</v>
      </c>
    </row>
    <row r="23" spans="1:14" ht="13.5" customHeight="1" thickBot="1" x14ac:dyDescent="0.25">
      <c r="A23" s="1758" t="s">
        <v>664</v>
      </c>
      <c r="B23" s="1763"/>
      <c r="C23" s="468"/>
      <c r="D23" s="468"/>
      <c r="E23" s="468"/>
      <c r="F23" s="468"/>
      <c r="G23" s="468"/>
      <c r="H23" s="468"/>
      <c r="I23" s="468"/>
      <c r="J23" s="468"/>
      <c r="K23" s="468"/>
      <c r="L23" s="468"/>
      <c r="M23" s="1710">
        <f>SUM(M15:M22)</f>
        <v>2404507</v>
      </c>
      <c r="N23" s="1710">
        <f>SUM(N21:N22)</f>
        <v>1471000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11591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11591</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1471000</v>
      </c>
    </row>
    <row r="37" spans="1:14" ht="13.5" thickBot="1" x14ac:dyDescent="0.25">
      <c r="A37" s="1758" t="s">
        <v>674</v>
      </c>
      <c r="B37" s="1763"/>
      <c r="C37" s="477"/>
      <c r="D37" s="477"/>
      <c r="E37" s="477"/>
      <c r="F37" s="477"/>
      <c r="G37" s="477"/>
      <c r="H37" s="477"/>
      <c r="I37" s="477"/>
      <c r="J37" s="477"/>
      <c r="K37" s="477"/>
      <c r="L37" s="480"/>
      <c r="M37" s="468"/>
      <c r="N37" s="1710">
        <f>SUM(N36:N36)</f>
        <v>1471000</v>
      </c>
    </row>
    <row r="38" spans="1:14" s="329" customFormat="1" ht="13.5" customHeight="1" thickTop="1" x14ac:dyDescent="0.2">
      <c r="A38" s="496" t="s">
        <v>440</v>
      </c>
      <c r="B38" s="483">
        <v>714</v>
      </c>
      <c r="C38" s="466"/>
      <c r="D38" s="466"/>
      <c r="E38" s="466"/>
      <c r="F38" s="466"/>
      <c r="G38" s="466">
        <v>9973</v>
      </c>
      <c r="H38" s="466">
        <v>118530</v>
      </c>
      <c r="I38" s="466"/>
      <c r="J38" s="467">
        <v>8739</v>
      </c>
      <c r="K38" s="466">
        <v>9095</v>
      </c>
      <c r="L38" s="481"/>
      <c r="M38" s="497"/>
      <c r="N38" s="497"/>
    </row>
    <row r="39" spans="1:14" s="329" customFormat="1" ht="13.5" customHeight="1" x14ac:dyDescent="0.2">
      <c r="A39" s="496" t="s">
        <v>360</v>
      </c>
      <c r="B39" s="483">
        <v>730</v>
      </c>
      <c r="C39" s="466">
        <v>469894</v>
      </c>
      <c r="D39" s="466">
        <v>67599</v>
      </c>
      <c r="E39" s="466">
        <v>19777</v>
      </c>
      <c r="F39" s="466">
        <v>96048</v>
      </c>
      <c r="G39" s="466">
        <v>6152</v>
      </c>
      <c r="H39" s="466"/>
      <c r="I39" s="466">
        <v>546379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2404507</v>
      </c>
      <c r="N40" s="497"/>
    </row>
    <row r="41" spans="1:14" ht="13.5" customHeight="1" thickBot="1" x14ac:dyDescent="0.25">
      <c r="A41" s="1758" t="s">
        <v>676</v>
      </c>
      <c r="B41" s="1728"/>
      <c r="C41" s="1710">
        <f>(SUM(C34,C37,C38,C39))</f>
        <v>469894</v>
      </c>
      <c r="D41" s="1710">
        <f t="shared" ref="D41:L41" si="2">SUM(D34,D37,D38:D39)</f>
        <v>67599</v>
      </c>
      <c r="E41" s="1710">
        <f t="shared" si="2"/>
        <v>19777</v>
      </c>
      <c r="F41" s="1710">
        <f t="shared" si="2"/>
        <v>96048</v>
      </c>
      <c r="G41" s="1710">
        <f t="shared" si="2"/>
        <v>16125</v>
      </c>
      <c r="H41" s="1710">
        <f t="shared" si="2"/>
        <v>118530</v>
      </c>
      <c r="I41" s="1710">
        <f t="shared" si="2"/>
        <v>546379</v>
      </c>
      <c r="J41" s="1710">
        <f t="shared" si="2"/>
        <v>8739</v>
      </c>
      <c r="K41" s="1710">
        <f t="shared" si="2"/>
        <v>9095</v>
      </c>
      <c r="L41" s="1710">
        <f t="shared" si="2"/>
        <v>11591</v>
      </c>
      <c r="M41" s="1710">
        <f>SUM(M40)</f>
        <v>2404507</v>
      </c>
      <c r="N41" s="1710">
        <f>SUM(N37)</f>
        <v>1471000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0" activePane="bottomLeft" state="frozenSplit"/>
      <selection activeCell="D80" sqref="D80"/>
      <selection pane="bottomLeft" activeCell="D80" sqref="D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1542781</v>
      </c>
      <c r="D4" s="1764">
        <f>'Revenues 9-14'!D109</f>
        <v>87079</v>
      </c>
      <c r="E4" s="1764">
        <f>'Revenues 9-14'!E109</f>
        <v>326526</v>
      </c>
      <c r="F4" s="1764">
        <f>'Revenues 9-14'!F109</f>
        <v>91659</v>
      </c>
      <c r="G4" s="1764">
        <f>'Revenues 9-14'!G109</f>
        <v>89658</v>
      </c>
      <c r="H4" s="1764">
        <f>'Revenues 9-14'!H109</f>
        <v>110202</v>
      </c>
      <c r="I4" s="1764">
        <f>'Revenues 9-14'!I109</f>
        <v>23</v>
      </c>
      <c r="J4" s="1764">
        <f>'Revenues 9-14'!J109</f>
        <v>33735</v>
      </c>
      <c r="K4" s="1764">
        <f>'Revenues 9-14'!K109</f>
        <v>23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232944</v>
      </c>
      <c r="D6" s="1765">
        <f>'Revenues 9-14'!D173</f>
        <v>0</v>
      </c>
      <c r="E6" s="1765">
        <f>'Revenues 9-14'!E173</f>
        <v>0</v>
      </c>
      <c r="F6" s="1765">
        <f>'Revenues 9-14'!F173</f>
        <v>113279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96105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1871830</v>
      </c>
      <c r="D8" s="1710">
        <f t="shared" ref="D8:K8" si="0">SUM(D4:D7)</f>
        <v>87079</v>
      </c>
      <c r="E8" s="1710">
        <f t="shared" si="0"/>
        <v>326526</v>
      </c>
      <c r="F8" s="1710">
        <f t="shared" si="0"/>
        <v>204938</v>
      </c>
      <c r="G8" s="1710">
        <f t="shared" si="0"/>
        <v>89658</v>
      </c>
      <c r="H8" s="1710">
        <f t="shared" si="0"/>
        <v>110202</v>
      </c>
      <c r="I8" s="1710">
        <f t="shared" si="0"/>
        <v>23</v>
      </c>
      <c r="J8" s="1710">
        <f t="shared" si="0"/>
        <v>33735</v>
      </c>
      <c r="K8" s="1710">
        <f t="shared" si="0"/>
        <v>23</v>
      </c>
      <c r="L8" s="347"/>
    </row>
    <row r="9" spans="1:13" ht="15.75" thickTop="1" x14ac:dyDescent="0.2">
      <c r="A9" s="514" t="s">
        <v>1752</v>
      </c>
      <c r="B9" s="515">
        <v>3998</v>
      </c>
      <c r="C9" s="481">
        <v>926739</v>
      </c>
      <c r="D9" s="516"/>
      <c r="E9" s="481"/>
      <c r="F9" s="481"/>
      <c r="G9" s="517"/>
      <c r="H9" s="481"/>
      <c r="I9" s="509" t="s">
        <v>1231</v>
      </c>
      <c r="J9" s="478"/>
      <c r="K9" s="481"/>
      <c r="L9" s="347"/>
    </row>
    <row r="10" spans="1:13" s="519" customFormat="1" ht="13.5" thickBot="1" x14ac:dyDescent="0.25">
      <c r="A10" s="1758" t="s">
        <v>1235</v>
      </c>
      <c r="B10" s="1731"/>
      <c r="C10" s="1710">
        <f>SUM(C8:C9)</f>
        <v>2798569</v>
      </c>
      <c r="D10" s="1710">
        <f t="shared" ref="D10:K10" si="1">SUM(D8:D9)</f>
        <v>87079</v>
      </c>
      <c r="E10" s="1710">
        <f t="shared" si="1"/>
        <v>326526</v>
      </c>
      <c r="F10" s="1710">
        <f t="shared" si="1"/>
        <v>204938</v>
      </c>
      <c r="G10" s="1710">
        <f t="shared" si="1"/>
        <v>89658</v>
      </c>
      <c r="H10" s="1710">
        <f t="shared" si="1"/>
        <v>110202</v>
      </c>
      <c r="I10" s="1710">
        <f t="shared" si="1"/>
        <v>23</v>
      </c>
      <c r="J10" s="1710">
        <f t="shared" si="1"/>
        <v>33735</v>
      </c>
      <c r="K10" s="1710">
        <f t="shared" si="1"/>
        <v>23</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1505642</v>
      </c>
      <c r="D12" s="520" t="s">
        <v>1231</v>
      </c>
      <c r="E12" s="468" t="s">
        <v>1231</v>
      </c>
      <c r="F12" s="468" t="s">
        <v>1231</v>
      </c>
      <c r="G12" s="1764">
        <f>'Expenditures 15-22'!K229</f>
        <v>30075</v>
      </c>
      <c r="H12" s="521"/>
      <c r="I12" s="468" t="s">
        <v>1231</v>
      </c>
      <c r="J12" s="468" t="s">
        <v>1231</v>
      </c>
      <c r="K12" s="521" t="s">
        <v>1231</v>
      </c>
      <c r="L12" s="347"/>
    </row>
    <row r="13" spans="1:13" ht="15.75" customHeight="1" x14ac:dyDescent="0.2">
      <c r="A13" s="1598" t="s">
        <v>477</v>
      </c>
      <c r="B13" s="1600">
        <v>2000</v>
      </c>
      <c r="C13" s="1765">
        <f>'Expenditures 15-22'!K74</f>
        <v>457033</v>
      </c>
      <c r="D13" s="1765">
        <f>'Expenditures 15-22'!K129</f>
        <v>140311</v>
      </c>
      <c r="E13" s="469" t="s">
        <v>1231</v>
      </c>
      <c r="F13" s="1765">
        <f>'Expenditures 15-22'!K184</f>
        <v>199594</v>
      </c>
      <c r="G13" s="1765">
        <f>'Expenditures 15-22'!K279</f>
        <v>54843</v>
      </c>
      <c r="H13" s="1765">
        <f>'Expenditures 15-22'!K303</f>
        <v>16320</v>
      </c>
      <c r="I13" s="468" t="s">
        <v>1231</v>
      </c>
      <c r="J13" s="1765">
        <f>'Expenditures 15-22'!K330</f>
        <v>41398</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153253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349030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2115928</v>
      </c>
      <c r="D17" s="1710">
        <f t="shared" si="2"/>
        <v>140311</v>
      </c>
      <c r="E17" s="1710">
        <f t="shared" si="2"/>
        <v>349030</v>
      </c>
      <c r="F17" s="1710">
        <f t="shared" si="2"/>
        <v>199594</v>
      </c>
      <c r="G17" s="1710">
        <f t="shared" si="2"/>
        <v>84918</v>
      </c>
      <c r="H17" s="1710">
        <f t="shared" si="2"/>
        <v>16320</v>
      </c>
      <c r="I17" s="468"/>
      <c r="J17" s="1710">
        <f>SUM(J12:J16)</f>
        <v>41398</v>
      </c>
      <c r="K17" s="1710">
        <f>SUM(K12:K16)</f>
        <v>0</v>
      </c>
      <c r="L17" s="347"/>
    </row>
    <row r="18" spans="1:12" ht="15" customHeight="1" thickTop="1" x14ac:dyDescent="0.2">
      <c r="A18" s="1766" t="s">
        <v>1753</v>
      </c>
      <c r="B18" s="1767">
        <v>4180</v>
      </c>
      <c r="C18" s="1764">
        <f t="shared" ref="C18:H18" si="3">C9</f>
        <v>926739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3042667</v>
      </c>
      <c r="D19" s="1710">
        <f t="shared" si="4"/>
        <v>140311</v>
      </c>
      <c r="E19" s="1710">
        <f t="shared" si="4"/>
        <v>349030</v>
      </c>
      <c r="F19" s="1710">
        <f t="shared" si="4"/>
        <v>199594</v>
      </c>
      <c r="G19" s="1710">
        <f t="shared" si="4"/>
        <v>84918</v>
      </c>
      <c r="H19" s="1710">
        <f t="shared" si="4"/>
        <v>16320</v>
      </c>
      <c r="I19" s="468"/>
      <c r="J19" s="1710">
        <f>SUM(J17:J18)</f>
        <v>41398</v>
      </c>
      <c r="K19" s="1710">
        <f>SUM(K17:K18)</f>
        <v>0</v>
      </c>
      <c r="L19" s="347"/>
    </row>
    <row r="20" spans="1:12" ht="16.5" thickTop="1" thickBot="1" x14ac:dyDescent="0.25">
      <c r="A20" s="2144" t="s">
        <v>1754</v>
      </c>
      <c r="B20" s="2145"/>
      <c r="C20" s="1768">
        <f>C8-C17</f>
        <v>-244098</v>
      </c>
      <c r="D20" s="1768">
        <f t="shared" ref="D20:K20" si="5">D8-D17</f>
        <v>-53232</v>
      </c>
      <c r="E20" s="1768">
        <f t="shared" si="5"/>
        <v>-22504</v>
      </c>
      <c r="F20" s="1768">
        <f t="shared" si="5"/>
        <v>5344</v>
      </c>
      <c r="G20" s="1768">
        <f t="shared" si="5"/>
        <v>4740</v>
      </c>
      <c r="H20" s="1768">
        <f t="shared" si="5"/>
        <v>93882</v>
      </c>
      <c r="I20" s="1768">
        <f t="shared" si="5"/>
        <v>23</v>
      </c>
      <c r="J20" s="1768">
        <f t="shared" si="5"/>
        <v>-7663</v>
      </c>
      <c r="K20" s="1768">
        <f t="shared" si="5"/>
        <v>23</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400000</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v>12000</v>
      </c>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400000</v>
      </c>
      <c r="D44" s="1725">
        <f t="shared" ref="D44:K44" si="6">SUM(D24:D43)</f>
        <v>0</v>
      </c>
      <c r="E44" s="1725">
        <f t="shared" si="6"/>
        <v>0</v>
      </c>
      <c r="F44" s="1725">
        <f t="shared" si="6"/>
        <v>0</v>
      </c>
      <c r="G44" s="1725">
        <f t="shared" si="6"/>
        <v>0</v>
      </c>
      <c r="H44" s="1725">
        <f t="shared" si="6"/>
        <v>0</v>
      </c>
      <c r="I44" s="1725">
        <f t="shared" si="6"/>
        <v>0</v>
      </c>
      <c r="J44" s="1725">
        <f t="shared" si="6"/>
        <v>12000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412000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412000</v>
      </c>
      <c r="J76" s="1725">
        <f t="shared" si="7"/>
        <v>0</v>
      </c>
      <c r="K76" s="1725">
        <f t="shared" si="7"/>
        <v>0</v>
      </c>
      <c r="L76" s="524"/>
    </row>
    <row r="77" spans="1:12" ht="14.25" thickTop="1" thickBot="1" x14ac:dyDescent="0.25">
      <c r="A77" s="2136" t="s">
        <v>1239</v>
      </c>
      <c r="B77" s="2137"/>
      <c r="C77" s="1725">
        <f t="shared" ref="C77:K77" si="8">C44-C76</f>
        <v>400000</v>
      </c>
      <c r="D77" s="1725">
        <f t="shared" si="8"/>
        <v>0</v>
      </c>
      <c r="E77" s="1725">
        <f t="shared" si="8"/>
        <v>0</v>
      </c>
      <c r="F77" s="1725">
        <f t="shared" si="8"/>
        <v>0</v>
      </c>
      <c r="G77" s="1725">
        <f t="shared" si="8"/>
        <v>0</v>
      </c>
      <c r="H77" s="1725">
        <f t="shared" si="8"/>
        <v>0</v>
      </c>
      <c r="I77" s="1725">
        <f t="shared" si="8"/>
        <v>-412000</v>
      </c>
      <c r="J77" s="1725">
        <f t="shared" si="8"/>
        <v>12000</v>
      </c>
      <c r="K77" s="1725">
        <f t="shared" si="8"/>
        <v>0</v>
      </c>
      <c r="L77" s="347"/>
    </row>
    <row r="78" spans="1:12" ht="21.75" customHeight="1" thickTop="1" thickBot="1" x14ac:dyDescent="0.25">
      <c r="A78" s="2140" t="s">
        <v>618</v>
      </c>
      <c r="B78" s="2141"/>
      <c r="C78" s="1724">
        <f t="shared" ref="C78:K78" si="9">C20+C77</f>
        <v>155902</v>
      </c>
      <c r="D78" s="1724">
        <f t="shared" si="9"/>
        <v>-53232</v>
      </c>
      <c r="E78" s="1724">
        <f t="shared" si="9"/>
        <v>-22504</v>
      </c>
      <c r="F78" s="1724">
        <f t="shared" si="9"/>
        <v>5344</v>
      </c>
      <c r="G78" s="1724">
        <f t="shared" si="9"/>
        <v>4740</v>
      </c>
      <c r="H78" s="1724">
        <f t="shared" si="9"/>
        <v>93882</v>
      </c>
      <c r="I78" s="1724">
        <f t="shared" si="9"/>
        <v>-411977</v>
      </c>
      <c r="J78" s="1724">
        <f t="shared" si="9"/>
        <v>4337</v>
      </c>
      <c r="K78" s="1724">
        <f t="shared" si="9"/>
        <v>23</v>
      </c>
      <c r="L78" s="533"/>
    </row>
    <row r="79" spans="1:12" ht="13.5" thickTop="1" x14ac:dyDescent="0.2">
      <c r="A79" s="1516" t="s">
        <v>2073</v>
      </c>
      <c r="B79" s="534"/>
      <c r="C79" s="478">
        <v>313992</v>
      </c>
      <c r="D79" s="535">
        <v>120831</v>
      </c>
      <c r="E79" s="535">
        <v>42281</v>
      </c>
      <c r="F79" s="535">
        <v>90704</v>
      </c>
      <c r="G79" s="535">
        <v>11385</v>
      </c>
      <c r="H79" s="535">
        <v>24648</v>
      </c>
      <c r="I79" s="535">
        <v>958356</v>
      </c>
      <c r="J79" s="535">
        <v>4402</v>
      </c>
      <c r="K79" s="535">
        <v>9072</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10">
        <f>(SUM(C78:C80))</f>
        <v>469894</v>
      </c>
      <c r="D81" s="1710">
        <f>SUM(D78:D80)</f>
        <v>67599</v>
      </c>
      <c r="E81" s="1710">
        <f t="shared" ref="E81:K81" si="10">SUM(E78:E80)</f>
        <v>19777</v>
      </c>
      <c r="F81" s="1710">
        <f t="shared" si="10"/>
        <v>96048</v>
      </c>
      <c r="G81" s="1710">
        <f t="shared" si="10"/>
        <v>16125</v>
      </c>
      <c r="H81" s="1710">
        <f t="shared" si="10"/>
        <v>118530</v>
      </c>
      <c r="I81" s="1710">
        <f t="shared" si="10"/>
        <v>546379</v>
      </c>
      <c r="J81" s="1710">
        <f t="shared" si="10"/>
        <v>8739</v>
      </c>
      <c r="K81" s="1710">
        <f t="shared" si="10"/>
        <v>9095</v>
      </c>
      <c r="L81" s="347"/>
    </row>
    <row r="82" spans="1:12" ht="0.75" customHeight="1" thickTop="1" thickBot="1" x14ac:dyDescent="0.25">
      <c r="A82" s="536" t="s">
        <v>361</v>
      </c>
      <c r="B82" s="537"/>
      <c r="C82" s="538">
        <f>(C81-C79)</f>
        <v>155902</v>
      </c>
      <c r="D82" s="538">
        <f t="shared" ref="D82:K82" si="11">(D81-D79)</f>
        <v>-53232</v>
      </c>
      <c r="E82" s="538">
        <f t="shared" si="11"/>
        <v>-22504</v>
      </c>
      <c r="F82" s="538">
        <f t="shared" si="11"/>
        <v>5344</v>
      </c>
      <c r="G82" s="538">
        <f t="shared" si="11"/>
        <v>4740</v>
      </c>
      <c r="H82" s="538">
        <f t="shared" si="11"/>
        <v>93882</v>
      </c>
      <c r="I82" s="538">
        <f t="shared" si="11"/>
        <v>-411977</v>
      </c>
      <c r="J82" s="538">
        <f t="shared" si="11"/>
        <v>4337</v>
      </c>
      <c r="K82" s="538">
        <f t="shared" si="11"/>
        <v>23</v>
      </c>
    </row>
    <row r="83" spans="1:12" ht="14.25" hidden="1" thickTop="1" thickBot="1" x14ac:dyDescent="0.25">
      <c r="A83" s="539" t="s">
        <v>362</v>
      </c>
      <c r="B83" s="464"/>
      <c r="C83" s="540">
        <f>C82/C81</f>
        <v>0.33178121023039236</v>
      </c>
      <c r="D83" s="540">
        <f t="shared" ref="D83:K83" si="12">D82/D81</f>
        <v>-0.78746727022589091</v>
      </c>
      <c r="E83" s="540">
        <f t="shared" si="12"/>
        <v>-1.1378874450118825</v>
      </c>
      <c r="F83" s="540">
        <f t="shared" si="12"/>
        <v>5.5638847243045145E-2</v>
      </c>
      <c r="G83" s="540">
        <f t="shared" si="12"/>
        <v>0.29395348837209301</v>
      </c>
      <c r="H83" s="540">
        <f t="shared" si="12"/>
        <v>0.79205264490002536</v>
      </c>
      <c r="I83" s="540">
        <f t="shared" si="12"/>
        <v>-0.75401323989391977</v>
      </c>
      <c r="J83" s="540">
        <f t="shared" si="12"/>
        <v>0.49628103902048287</v>
      </c>
      <c r="K83" s="540">
        <f t="shared" si="12"/>
        <v>2.5288620120945573E-3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80" sqref="D80"/>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1232688</v>
      </c>
      <c r="D5" s="481">
        <v>86720</v>
      </c>
      <c r="E5" s="466">
        <v>326483</v>
      </c>
      <c r="F5" s="548">
        <v>91540</v>
      </c>
      <c r="G5" s="466">
        <v>28915</v>
      </c>
      <c r="H5" s="466"/>
      <c r="I5" s="466"/>
      <c r="J5" s="467">
        <v>33735</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9648</v>
      </c>
      <c r="D7" s="466"/>
      <c r="E7" s="468"/>
      <c r="F7" s="467"/>
      <c r="G7" s="467"/>
      <c r="H7" s="467"/>
      <c r="I7" s="468"/>
      <c r="J7" s="468"/>
      <c r="K7" s="468"/>
    </row>
    <row r="8" spans="1:12" x14ac:dyDescent="0.2">
      <c r="A8" s="463" t="s">
        <v>433</v>
      </c>
      <c r="B8" s="470">
        <v>1150</v>
      </c>
      <c r="C8" s="475"/>
      <c r="D8" s="475"/>
      <c r="E8" s="477"/>
      <c r="F8" s="477"/>
      <c r="G8" s="481">
        <v>57821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1242336</v>
      </c>
      <c r="D12" s="1729">
        <f t="shared" si="0"/>
        <v>86720</v>
      </c>
      <c r="E12" s="1729">
        <f t="shared" si="0"/>
        <v>326483</v>
      </c>
      <c r="F12" s="1729">
        <f t="shared" si="0"/>
        <v>91540</v>
      </c>
      <c r="G12" s="1729">
        <f t="shared" si="0"/>
        <v>86736</v>
      </c>
      <c r="H12" s="1729">
        <f t="shared" si="0"/>
        <v>0</v>
      </c>
      <c r="I12" s="1729">
        <f t="shared" si="0"/>
        <v>0</v>
      </c>
      <c r="J12" s="1729">
        <f t="shared" si="0"/>
        <v>33735</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135239</v>
      </c>
      <c r="D16" s="466"/>
      <c r="E16" s="466"/>
      <c r="F16" s="466"/>
      <c r="G16" s="466">
        <v>2913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135239</v>
      </c>
      <c r="D18" s="1732">
        <f t="shared" ref="D18:K18" si="1">SUM(D14:D17)</f>
        <v>0</v>
      </c>
      <c r="E18" s="1732">
        <f t="shared" si="1"/>
        <v>0</v>
      </c>
      <c r="F18" s="1732">
        <f t="shared" si="1"/>
        <v>0</v>
      </c>
      <c r="G18" s="1732">
        <f t="shared" si="1"/>
        <v>2913</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65987</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41756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107743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64</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64</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769</v>
      </c>
      <c r="D65" s="466">
        <v>114</v>
      </c>
      <c r="E65" s="466">
        <v>43</v>
      </c>
      <c r="F65" s="467">
        <v>55</v>
      </c>
      <c r="G65" s="466">
        <v>9</v>
      </c>
      <c r="H65" s="466"/>
      <c r="I65" s="466">
        <v>23</v>
      </c>
      <c r="J65" s="467"/>
      <c r="K65" s="466">
        <v>23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769</v>
      </c>
      <c r="D67" s="1710">
        <f t="shared" ref="D67:K67" si="2">SUM(D65:D66)</f>
        <v>114</v>
      </c>
      <c r="E67" s="1710">
        <f t="shared" si="2"/>
        <v>43</v>
      </c>
      <c r="F67" s="1710">
        <f t="shared" si="2"/>
        <v>55</v>
      </c>
      <c r="G67" s="1710">
        <f t="shared" si="2"/>
        <v>9</v>
      </c>
      <c r="H67" s="1710">
        <f t="shared" si="2"/>
        <v>0</v>
      </c>
      <c r="I67" s="1710">
        <f t="shared" si="2"/>
        <v>23</v>
      </c>
      <c r="J67" s="1710">
        <f t="shared" si="2"/>
        <v>0</v>
      </c>
      <c r="K67" s="1710">
        <f t="shared" si="2"/>
        <v>23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29683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782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30465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15675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16425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7460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7460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1916</v>
      </c>
      <c r="D96" s="551">
        <v>245</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110202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428</v>
      </c>
      <c r="D107" s="466"/>
      <c r="E107" s="466"/>
      <c r="F107" s="466"/>
      <c r="G107" s="466"/>
      <c r="H107" s="466"/>
      <c r="I107" s="466"/>
      <c r="J107" s="467"/>
      <c r="K107" s="466"/>
    </row>
    <row r="108" spans="1:12" ht="12.75" customHeight="1" thickBot="1" x14ac:dyDescent="0.25">
      <c r="A108" s="1730" t="s">
        <v>508</v>
      </c>
      <c r="B108" s="1734"/>
      <c r="C108" s="1729">
        <f>SUM(C95:C107)</f>
        <v>2344</v>
      </c>
      <c r="D108" s="1729">
        <f t="shared" ref="D108:K108" si="3">SUM(D95:D107)</f>
        <v>245</v>
      </c>
      <c r="E108" s="1729">
        <f t="shared" si="3"/>
        <v>0</v>
      </c>
      <c r="F108" s="1729">
        <f t="shared" si="3"/>
        <v>0</v>
      </c>
      <c r="G108" s="1729">
        <f t="shared" si="3"/>
        <v>0</v>
      </c>
      <c r="H108" s="1729">
        <f t="shared" si="3"/>
        <v>110202</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1542781</v>
      </c>
      <c r="D109" s="1737">
        <f t="shared" si="4"/>
        <v>87079</v>
      </c>
      <c r="E109" s="1737">
        <f t="shared" si="4"/>
        <v>326526</v>
      </c>
      <c r="F109" s="1737">
        <f t="shared" si="4"/>
        <v>91659</v>
      </c>
      <c r="G109" s="1737">
        <f t="shared" si="4"/>
        <v>89658</v>
      </c>
      <c r="H109" s="1737">
        <f t="shared" si="4"/>
        <v>110202</v>
      </c>
      <c r="I109" s="1737">
        <f t="shared" si="4"/>
        <v>23</v>
      </c>
      <c r="J109" s="1737">
        <f t="shared" si="4"/>
        <v>33735</v>
      </c>
      <c r="K109" s="1724">
        <f t="shared" si="4"/>
        <v>23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152011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152011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44870</v>
      </c>
      <c r="D124" s="561"/>
      <c r="E124" s="468"/>
      <c r="F124" s="548"/>
      <c r="G124" s="468"/>
      <c r="H124" s="468"/>
      <c r="I124" s="468"/>
      <c r="J124" s="468"/>
      <c r="K124" s="468"/>
    </row>
    <row r="125" spans="1:11" ht="12.75" customHeight="1" x14ac:dyDescent="0.2">
      <c r="A125" s="463" t="s">
        <v>1521</v>
      </c>
      <c r="B125" s="562">
        <v>3105</v>
      </c>
      <c r="C125" s="466">
        <v>13247</v>
      </c>
      <c r="D125" s="561"/>
      <c r="E125" s="468"/>
      <c r="F125" s="466"/>
      <c r="G125" s="468"/>
      <c r="H125" s="468"/>
      <c r="I125" s="468"/>
      <c r="J125" s="468"/>
      <c r="K125" s="468"/>
    </row>
    <row r="126" spans="1:11" ht="12.75" customHeight="1" x14ac:dyDescent="0.2">
      <c r="A126" s="463" t="s">
        <v>922</v>
      </c>
      <c r="B126" s="562">
        <v>3110</v>
      </c>
      <c r="C126" s="551">
        <v>17032</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80352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581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29025</v>
      </c>
      <c r="G151" s="467"/>
      <c r="H151" s="468"/>
      <c r="I151" s="468"/>
      <c r="J151" s="468"/>
      <c r="K151" s="468"/>
    </row>
    <row r="152" spans="1:11" ht="12.75" customHeight="1" x14ac:dyDescent="0.2">
      <c r="A152" s="463" t="s">
        <v>1117</v>
      </c>
      <c r="B152" s="562">
        <v>3510</v>
      </c>
      <c r="C152" s="551"/>
      <c r="D152" s="466"/>
      <c r="E152" s="561"/>
      <c r="F152" s="466">
        <v>84254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113279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80933</v>
      </c>
      <c r="D172" s="1744">
        <f t="shared" si="6"/>
        <v>0</v>
      </c>
      <c r="E172" s="1744">
        <f t="shared" si="6"/>
        <v>0</v>
      </c>
      <c r="F172" s="1744">
        <f t="shared" si="6"/>
        <v>113279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232944</v>
      </c>
      <c r="D173" s="1737">
        <f>SUM(D121,D172)</f>
        <v>0</v>
      </c>
      <c r="E173" s="1737">
        <f>SUM(E121,E172)</f>
        <v>0</v>
      </c>
      <c r="F173" s="1737">
        <f t="shared" ref="F173:K173" si="7">SUM(F121,F172)</f>
        <v>113279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26652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7142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33794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18270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18270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1457</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42584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44041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96105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96105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1871830</v>
      </c>
      <c r="D275" s="1737">
        <f t="shared" si="12"/>
        <v>87079</v>
      </c>
      <c r="E275" s="1737">
        <f t="shared" si="12"/>
        <v>326526</v>
      </c>
      <c r="F275" s="1737">
        <f t="shared" si="12"/>
        <v>204938</v>
      </c>
      <c r="G275" s="1737">
        <f t="shared" si="12"/>
        <v>89658</v>
      </c>
      <c r="H275" s="1737">
        <f t="shared" si="12"/>
        <v>110202</v>
      </c>
      <c r="I275" s="1737">
        <f t="shared" si="12"/>
        <v>23</v>
      </c>
      <c r="J275" s="1737">
        <f t="shared" si="12"/>
        <v>33735</v>
      </c>
      <c r="K275" s="1724">
        <f t="shared" si="12"/>
        <v>23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2" activePane="bottomLeft" state="frozen"/>
      <selection activeCell="D80" sqref="D80"/>
      <selection pane="bottomLeft" activeCell="E63" sqref="E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886164</v>
      </c>
      <c r="D5" s="466">
        <v>185928</v>
      </c>
      <c r="E5" s="466">
        <v>3678</v>
      </c>
      <c r="F5" s="466">
        <v>27996</v>
      </c>
      <c r="G5" s="466">
        <v>4323</v>
      </c>
      <c r="H5" s="466"/>
      <c r="I5" s="467"/>
      <c r="J5" s="467"/>
      <c r="K5" s="1693">
        <f>SUM(C5:J5)</f>
        <v>1108089</v>
      </c>
      <c r="L5" s="466">
        <v>1099166</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230016</v>
      </c>
      <c r="D8" s="466">
        <v>23829</v>
      </c>
      <c r="E8" s="466">
        <v>735</v>
      </c>
      <c r="F8" s="466">
        <v>1444</v>
      </c>
      <c r="G8" s="466"/>
      <c r="H8" s="466">
        <v>66550</v>
      </c>
      <c r="I8" s="467"/>
      <c r="J8" s="467"/>
      <c r="K8" s="1693">
        <f t="shared" si="0"/>
        <v>322574</v>
      </c>
      <c r="L8" s="466">
        <v>292555</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v>5258</v>
      </c>
      <c r="D10" s="466"/>
      <c r="E10" s="466">
        <v>2201</v>
      </c>
      <c r="F10" s="466">
        <v>18143</v>
      </c>
      <c r="G10" s="466"/>
      <c r="H10" s="466"/>
      <c r="I10" s="467"/>
      <c r="J10" s="467"/>
      <c r="K10" s="1693">
        <f t="shared" si="0"/>
        <v>25602</v>
      </c>
      <c r="L10" s="466">
        <v>27000</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c r="G13" s="466"/>
      <c r="H13" s="466"/>
      <c r="I13" s="467"/>
      <c r="J13" s="467"/>
      <c r="K13" s="1693">
        <f t="shared" si="0"/>
        <v>0</v>
      </c>
      <c r="L13" s="466">
        <v>150</v>
      </c>
    </row>
    <row r="14" spans="1:14" x14ac:dyDescent="0.2">
      <c r="A14" s="1526" t="s">
        <v>1020</v>
      </c>
      <c r="B14" s="615">
        <v>1500</v>
      </c>
      <c r="C14" s="466">
        <v>15120</v>
      </c>
      <c r="D14" s="466">
        <v>1702</v>
      </c>
      <c r="E14" s="466">
        <v>18036</v>
      </c>
      <c r="F14" s="466">
        <v>3250</v>
      </c>
      <c r="G14" s="466"/>
      <c r="H14" s="466">
        <v>11269</v>
      </c>
      <c r="I14" s="467"/>
      <c r="J14" s="467"/>
      <c r="K14" s="1693">
        <f t="shared" si="0"/>
        <v>49377</v>
      </c>
      <c r="L14" s="466">
        <v>45818</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1136558</v>
      </c>
      <c r="D33" s="1692">
        <f t="shared" ref="D33:L33" si="1">SUM(D5:D32)</f>
        <v>211459</v>
      </c>
      <c r="E33" s="1692">
        <f t="shared" si="1"/>
        <v>24650</v>
      </c>
      <c r="F33" s="1692">
        <f t="shared" si="1"/>
        <v>50833</v>
      </c>
      <c r="G33" s="1692">
        <f t="shared" si="1"/>
        <v>4323</v>
      </c>
      <c r="H33" s="1692">
        <f t="shared" si="1"/>
        <v>77819</v>
      </c>
      <c r="I33" s="1692">
        <f t="shared" si="1"/>
        <v>0</v>
      </c>
      <c r="J33" s="1692">
        <f t="shared" si="1"/>
        <v>0</v>
      </c>
      <c r="K33" s="1692">
        <f t="shared" si="1"/>
        <v>1505642</v>
      </c>
      <c r="L33" s="1692">
        <f t="shared" si="1"/>
        <v>1464689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c r="D38" s="466"/>
      <c r="E38" s="466">
        <v>3018</v>
      </c>
      <c r="F38" s="466"/>
      <c r="G38" s="466"/>
      <c r="H38" s="466"/>
      <c r="I38" s="467"/>
      <c r="J38" s="467"/>
      <c r="K38" s="1693">
        <f t="shared" si="2"/>
        <v>3018</v>
      </c>
      <c r="L38" s="466">
        <v>3500</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c r="D40" s="466"/>
      <c r="E40" s="466"/>
      <c r="F40" s="466"/>
      <c r="G40" s="466"/>
      <c r="H40" s="466"/>
      <c r="I40" s="467"/>
      <c r="J40" s="467"/>
      <c r="K40" s="1693">
        <f t="shared" si="2"/>
        <v>0</v>
      </c>
      <c r="L40" s="466">
        <v>298</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0</v>
      </c>
      <c r="D42" s="1692">
        <f t="shared" ref="D42:L42" si="3">SUM(D36:D41)</f>
        <v>0</v>
      </c>
      <c r="E42" s="1692">
        <f t="shared" si="3"/>
        <v>3018</v>
      </c>
      <c r="F42" s="1692">
        <f t="shared" si="3"/>
        <v>0</v>
      </c>
      <c r="G42" s="1692">
        <f t="shared" si="3"/>
        <v>0</v>
      </c>
      <c r="H42" s="1692">
        <f t="shared" si="3"/>
        <v>0</v>
      </c>
      <c r="I42" s="1692">
        <f t="shared" si="3"/>
        <v>0</v>
      </c>
      <c r="J42" s="1692">
        <f t="shared" si="3"/>
        <v>0</v>
      </c>
      <c r="K42" s="1692">
        <f t="shared" si="3"/>
        <v>3018</v>
      </c>
      <c r="L42" s="1692">
        <f t="shared" si="3"/>
        <v>3798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32805</v>
      </c>
      <c r="D44" s="481"/>
      <c r="E44" s="481">
        <v>5044</v>
      </c>
      <c r="F44" s="481"/>
      <c r="G44" s="481"/>
      <c r="H44" s="481"/>
      <c r="I44" s="467"/>
      <c r="J44" s="467"/>
      <c r="K44" s="1694">
        <f>SUM(C44:J44)</f>
        <v>37849</v>
      </c>
      <c r="L44" s="481">
        <v>55461</v>
      </c>
    </row>
    <row r="45" spans="1:14" x14ac:dyDescent="0.2">
      <c r="A45" s="1526" t="s">
        <v>869</v>
      </c>
      <c r="B45" s="615">
        <v>2220</v>
      </c>
      <c r="C45" s="466"/>
      <c r="D45" s="466"/>
      <c r="E45" s="466"/>
      <c r="F45" s="466">
        <v>1702</v>
      </c>
      <c r="G45" s="466"/>
      <c r="H45" s="466"/>
      <c r="I45" s="467"/>
      <c r="J45" s="467"/>
      <c r="K45" s="1694">
        <f>SUM(C45:J45)</f>
        <v>1702</v>
      </c>
      <c r="L45" s="466">
        <v>2240</v>
      </c>
    </row>
    <row r="46" spans="1:14" x14ac:dyDescent="0.2">
      <c r="A46" s="1526" t="s">
        <v>870</v>
      </c>
      <c r="B46" s="615">
        <v>2230</v>
      </c>
      <c r="C46" s="466"/>
      <c r="D46" s="466"/>
      <c r="E46" s="466">
        <v>1365</v>
      </c>
      <c r="F46" s="466"/>
      <c r="G46" s="466"/>
      <c r="H46" s="466"/>
      <c r="I46" s="467"/>
      <c r="J46" s="467"/>
      <c r="K46" s="1694">
        <f>SUM(C46:J46)</f>
        <v>1365</v>
      </c>
      <c r="L46" s="466">
        <v>1500</v>
      </c>
    </row>
    <row r="47" spans="1:14" ht="12.75" customHeight="1" thickBot="1" x14ac:dyDescent="0.25">
      <c r="A47" s="1690" t="s">
        <v>582</v>
      </c>
      <c r="B47" s="1691" t="s">
        <v>32</v>
      </c>
      <c r="C47" s="1692">
        <f>SUM(C44:C46)</f>
        <v>32805</v>
      </c>
      <c r="D47" s="1692">
        <f t="shared" ref="D47:K47" si="4">SUM(D44:D46)</f>
        <v>0</v>
      </c>
      <c r="E47" s="1692">
        <f t="shared" si="4"/>
        <v>6409</v>
      </c>
      <c r="F47" s="1692">
        <f t="shared" si="4"/>
        <v>1702</v>
      </c>
      <c r="G47" s="1692">
        <f t="shared" si="4"/>
        <v>0</v>
      </c>
      <c r="H47" s="1692">
        <f t="shared" si="4"/>
        <v>0</v>
      </c>
      <c r="I47" s="1692">
        <f t="shared" si="4"/>
        <v>0</v>
      </c>
      <c r="J47" s="1692">
        <f t="shared" si="4"/>
        <v>0</v>
      </c>
      <c r="K47" s="1692">
        <f t="shared" si="4"/>
        <v>40916</v>
      </c>
      <c r="L47" s="1692">
        <f>SUM(L44:L46)</f>
        <v>59201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2955</v>
      </c>
      <c r="D49" s="481"/>
      <c r="E49" s="481">
        <v>15888</v>
      </c>
      <c r="F49" s="481">
        <v>668</v>
      </c>
      <c r="G49" s="481"/>
      <c r="H49" s="481">
        <v>2441</v>
      </c>
      <c r="I49" s="467"/>
      <c r="J49" s="467"/>
      <c r="K49" s="1694">
        <f>SUM(C49:J49)</f>
        <v>21952</v>
      </c>
      <c r="L49" s="481">
        <v>20460</v>
      </c>
    </row>
    <row r="50" spans="1:14" x14ac:dyDescent="0.2">
      <c r="A50" s="1526" t="s">
        <v>872</v>
      </c>
      <c r="B50" s="615">
        <v>2320</v>
      </c>
      <c r="C50" s="466">
        <v>55066</v>
      </c>
      <c r="D50" s="466">
        <v>12606</v>
      </c>
      <c r="E50" s="466">
        <v>1086</v>
      </c>
      <c r="F50" s="466"/>
      <c r="G50" s="466"/>
      <c r="H50" s="466">
        <v>50</v>
      </c>
      <c r="I50" s="467"/>
      <c r="J50" s="467"/>
      <c r="K50" s="1694">
        <f>SUM(C50:J50)</f>
        <v>68808</v>
      </c>
      <c r="L50" s="466">
        <v>68760</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58021</v>
      </c>
      <c r="D53" s="1692">
        <f t="shared" ref="D53:L53" si="5">SUM(D49:D52)</f>
        <v>12606</v>
      </c>
      <c r="E53" s="1692">
        <f t="shared" si="5"/>
        <v>16974</v>
      </c>
      <c r="F53" s="1692">
        <f t="shared" si="5"/>
        <v>668</v>
      </c>
      <c r="G53" s="1692">
        <f t="shared" si="5"/>
        <v>0</v>
      </c>
      <c r="H53" s="1692">
        <f t="shared" si="5"/>
        <v>2491</v>
      </c>
      <c r="I53" s="1692">
        <f t="shared" si="5"/>
        <v>0</v>
      </c>
      <c r="J53" s="1692">
        <f t="shared" si="5"/>
        <v>0</v>
      </c>
      <c r="K53" s="1692">
        <f t="shared" si="5"/>
        <v>90760</v>
      </c>
      <c r="L53" s="1692">
        <f t="shared" si="5"/>
        <v>89220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161503</v>
      </c>
      <c r="D55" s="481">
        <v>29088</v>
      </c>
      <c r="E55" s="481"/>
      <c r="F55" s="481">
        <v>401</v>
      </c>
      <c r="G55" s="481"/>
      <c r="H55" s="481">
        <v>385</v>
      </c>
      <c r="I55" s="467"/>
      <c r="J55" s="467"/>
      <c r="K55" s="1694">
        <f>SUM(C55:J55)</f>
        <v>191377</v>
      </c>
      <c r="L55" s="481">
        <v>195150</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161503</v>
      </c>
      <c r="D57" s="1696">
        <f t="shared" ref="D57:K57" si="6">SUM(D55:D56)</f>
        <v>29088</v>
      </c>
      <c r="E57" s="1696">
        <f t="shared" si="6"/>
        <v>0</v>
      </c>
      <c r="F57" s="1696">
        <f t="shared" si="6"/>
        <v>401</v>
      </c>
      <c r="G57" s="1696">
        <f t="shared" si="6"/>
        <v>0</v>
      </c>
      <c r="H57" s="1696">
        <f t="shared" si="6"/>
        <v>385</v>
      </c>
      <c r="I57" s="1696">
        <f t="shared" si="6"/>
        <v>0</v>
      </c>
      <c r="J57" s="1696">
        <f t="shared" si="6"/>
        <v>0</v>
      </c>
      <c r="K57" s="1696">
        <f t="shared" si="6"/>
        <v>191377</v>
      </c>
      <c r="L57" s="1692">
        <f>SUM(L55:L56)</f>
        <v>195150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36477</v>
      </c>
      <c r="D60" s="466"/>
      <c r="E60" s="466">
        <v>1597</v>
      </c>
      <c r="F60" s="466">
        <v>1828</v>
      </c>
      <c r="G60" s="466"/>
      <c r="H60" s="466"/>
      <c r="I60" s="467"/>
      <c r="J60" s="467"/>
      <c r="K60" s="1694">
        <f t="shared" si="7"/>
        <v>39902</v>
      </c>
      <c r="L60" s="466">
        <v>40550</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17984</v>
      </c>
      <c r="D63" s="466"/>
      <c r="E63" s="466">
        <v>61720</v>
      </c>
      <c r="F63" s="466">
        <v>6779</v>
      </c>
      <c r="G63" s="466"/>
      <c r="H63" s="466"/>
      <c r="I63" s="467"/>
      <c r="J63" s="467"/>
      <c r="K63" s="1694">
        <f t="shared" si="7"/>
        <v>86483</v>
      </c>
      <c r="L63" s="466">
        <v>88690</v>
      </c>
    </row>
    <row r="64" spans="1:14" s="610" customFormat="1" x14ac:dyDescent="0.2">
      <c r="A64" s="1531" t="s">
        <v>103</v>
      </c>
      <c r="B64" s="631">
        <v>2570</v>
      </c>
      <c r="C64" s="481"/>
      <c r="D64" s="481"/>
      <c r="E64" s="481">
        <v>4453</v>
      </c>
      <c r="F64" s="481">
        <v>124</v>
      </c>
      <c r="G64" s="481"/>
      <c r="H64" s="481"/>
      <c r="I64" s="467"/>
      <c r="J64" s="467"/>
      <c r="K64" s="1694">
        <f t="shared" si="7"/>
        <v>4577</v>
      </c>
      <c r="L64" s="481">
        <v>5425</v>
      </c>
    </row>
    <row r="65" spans="1:14" s="343" customFormat="1" ht="12.75" customHeight="1" thickBot="1" x14ac:dyDescent="0.25">
      <c r="A65" s="1690" t="s">
        <v>743</v>
      </c>
      <c r="B65" s="1691" t="s">
        <v>35</v>
      </c>
      <c r="C65" s="1692">
        <f>SUM(C59:C64)</f>
        <v>54461</v>
      </c>
      <c r="D65" s="1692">
        <f t="shared" ref="D65:L65" si="8">SUM(D59:D64)</f>
        <v>0</v>
      </c>
      <c r="E65" s="1692">
        <f t="shared" si="8"/>
        <v>67770</v>
      </c>
      <c r="F65" s="1692">
        <f t="shared" si="8"/>
        <v>8731</v>
      </c>
      <c r="G65" s="1692">
        <f t="shared" si="8"/>
        <v>0</v>
      </c>
      <c r="H65" s="1692">
        <f t="shared" si="8"/>
        <v>0</v>
      </c>
      <c r="I65" s="1692">
        <f t="shared" si="8"/>
        <v>0</v>
      </c>
      <c r="J65" s="1692">
        <f t="shared" si="8"/>
        <v>0</v>
      </c>
      <c r="K65" s="1692">
        <f t="shared" si="8"/>
        <v>130962</v>
      </c>
      <c r="L65" s="1692">
        <f t="shared" si="8"/>
        <v>134665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306790</v>
      </c>
      <c r="D74" s="1699">
        <f t="shared" ref="D74:K74" si="10">SUM(D42,D47,D53,D57,D65,D72,D73)</f>
        <v>41694</v>
      </c>
      <c r="E74" s="1699">
        <f t="shared" si="10"/>
        <v>94171</v>
      </c>
      <c r="F74" s="1699">
        <f t="shared" si="10"/>
        <v>11502</v>
      </c>
      <c r="G74" s="1699">
        <f t="shared" si="10"/>
        <v>0</v>
      </c>
      <c r="H74" s="1699">
        <f t="shared" si="10"/>
        <v>2876</v>
      </c>
      <c r="I74" s="1699">
        <f t="shared" si="10"/>
        <v>0</v>
      </c>
      <c r="J74" s="1699">
        <f t="shared" si="10"/>
        <v>0</v>
      </c>
      <c r="K74" s="1699">
        <f t="shared" si="10"/>
        <v>457033</v>
      </c>
      <c r="L74" s="1699">
        <f>SUM(L42,L47,L53,L57,L65,L72,L73)</f>
        <v>482034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v>93685</v>
      </c>
      <c r="F79" s="617"/>
      <c r="G79" s="617"/>
      <c r="H79" s="466">
        <v>59568</v>
      </c>
      <c r="I79" s="477"/>
      <c r="J79" s="477"/>
      <c r="K79" s="1693">
        <f t="shared" si="11"/>
        <v>153253</v>
      </c>
      <c r="L79" s="466">
        <v>160000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93685</v>
      </c>
      <c r="F84" s="617"/>
      <c r="G84" s="617"/>
      <c r="H84" s="1692">
        <f>SUM(H78:H83)</f>
        <v>59568</v>
      </c>
      <c r="I84" s="477"/>
      <c r="J84" s="477"/>
      <c r="K84" s="1692">
        <f>SUM(K78:K83)</f>
        <v>153253</v>
      </c>
      <c r="L84" s="1692">
        <f>SUM(L78:L83)</f>
        <v>160000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93685</v>
      </c>
      <c r="F102" s="617"/>
      <c r="G102" s="617"/>
      <c r="H102" s="1699">
        <f>SUM(H84,H92,H100,H101)</f>
        <v>59568</v>
      </c>
      <c r="I102" s="477"/>
      <c r="J102" s="477"/>
      <c r="K102" s="1699">
        <f>SUM(K84,K92,K100,K101)</f>
        <v>153253</v>
      </c>
      <c r="L102" s="1699">
        <f>SUM(L84,L92,L100,L101)</f>
        <v>160000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1443348</v>
      </c>
      <c r="D114" s="1692">
        <f t="shared" ref="D114:K114" si="13">SUM(D33,D74,D75,D102,D112,D113)</f>
        <v>253153</v>
      </c>
      <c r="E114" s="1692">
        <f t="shared" si="13"/>
        <v>212506</v>
      </c>
      <c r="F114" s="1692">
        <f t="shared" si="13"/>
        <v>62335</v>
      </c>
      <c r="G114" s="1692">
        <f t="shared" si="13"/>
        <v>4323</v>
      </c>
      <c r="H114" s="1692">
        <f>SUM(H33,H74,H75,H102,H112,H113)</f>
        <v>140263</v>
      </c>
      <c r="I114" s="1692">
        <f t="shared" si="13"/>
        <v>0</v>
      </c>
      <c r="J114" s="1692">
        <f t="shared" si="13"/>
        <v>0</v>
      </c>
      <c r="K114" s="1692">
        <f t="shared" si="13"/>
        <v>2115928</v>
      </c>
      <c r="L114" s="1692">
        <f>SUM(L33,L74,L75,L102,L112,L113)</f>
        <v>2106723</v>
      </c>
    </row>
    <row r="115" spans="1:14" ht="13.5" thickTop="1" x14ac:dyDescent="0.2">
      <c r="A115" s="2174" t="s">
        <v>1053</v>
      </c>
      <c r="B115" s="2175"/>
      <c r="C115" s="619"/>
      <c r="D115" s="619"/>
      <c r="E115" s="619"/>
      <c r="F115" s="619"/>
      <c r="G115" s="619"/>
      <c r="H115" s="619"/>
      <c r="I115" s="619"/>
      <c r="J115" s="619"/>
      <c r="K115" s="1706">
        <f>'Revenues 9-14'!C275-'Expenditures 15-22'!K114</f>
        <v>-244098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57750</v>
      </c>
      <c r="D124" s="466">
        <v>1817</v>
      </c>
      <c r="E124" s="466">
        <v>26828</v>
      </c>
      <c r="F124" s="466">
        <v>53916</v>
      </c>
      <c r="G124" s="466"/>
      <c r="H124" s="466"/>
      <c r="I124" s="467"/>
      <c r="J124" s="467"/>
      <c r="K124" s="1692">
        <f>SUM(C124:J124)</f>
        <v>140311</v>
      </c>
      <c r="L124" s="466">
        <v>145000</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57750</v>
      </c>
      <c r="D127" s="1692">
        <f t="shared" ref="D127:L127" si="14">SUM(D122:D126)</f>
        <v>1817</v>
      </c>
      <c r="E127" s="1692">
        <f t="shared" si="14"/>
        <v>26828</v>
      </c>
      <c r="F127" s="1692">
        <f t="shared" si="14"/>
        <v>53916</v>
      </c>
      <c r="G127" s="1692">
        <f t="shared" si="14"/>
        <v>0</v>
      </c>
      <c r="H127" s="1692">
        <f t="shared" si="14"/>
        <v>0</v>
      </c>
      <c r="I127" s="1692">
        <f t="shared" si="14"/>
        <v>0</v>
      </c>
      <c r="J127" s="1692">
        <f t="shared" si="14"/>
        <v>0</v>
      </c>
      <c r="K127" s="1692">
        <f t="shared" si="14"/>
        <v>140311</v>
      </c>
      <c r="L127" s="1692">
        <f t="shared" si="14"/>
        <v>145000</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57750</v>
      </c>
      <c r="D129" s="1699">
        <f t="shared" ref="D129:L129" si="15">SUM(D120,D127,D128)</f>
        <v>1817</v>
      </c>
      <c r="E129" s="1699">
        <f t="shared" si="15"/>
        <v>26828</v>
      </c>
      <c r="F129" s="1699">
        <f t="shared" si="15"/>
        <v>53916</v>
      </c>
      <c r="G129" s="1699">
        <f t="shared" si="15"/>
        <v>0</v>
      </c>
      <c r="H129" s="1699">
        <f t="shared" si="15"/>
        <v>0</v>
      </c>
      <c r="I129" s="1699">
        <f t="shared" si="15"/>
        <v>0</v>
      </c>
      <c r="J129" s="1699">
        <f t="shared" si="15"/>
        <v>0</v>
      </c>
      <c r="K129" s="1699">
        <f t="shared" si="15"/>
        <v>140311</v>
      </c>
      <c r="L129" s="1699">
        <f t="shared" si="15"/>
        <v>145000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2">
        <f>SUM(C129,C130,C139,C149,C150)</f>
        <v>57750</v>
      </c>
      <c r="D151" s="1692">
        <f t="shared" ref="D151:K151" si="16">SUM(D129,D130,D139,D149,D150)</f>
        <v>1817</v>
      </c>
      <c r="E151" s="1692">
        <f t="shared" si="16"/>
        <v>26828</v>
      </c>
      <c r="F151" s="1692">
        <f t="shared" si="16"/>
        <v>53916</v>
      </c>
      <c r="G151" s="1692">
        <f t="shared" si="16"/>
        <v>0</v>
      </c>
      <c r="H151" s="1692">
        <f t="shared" si="16"/>
        <v>0</v>
      </c>
      <c r="I151" s="1692">
        <f t="shared" si="16"/>
        <v>0</v>
      </c>
      <c r="J151" s="1692">
        <f t="shared" si="16"/>
        <v>0</v>
      </c>
      <c r="K151" s="1692">
        <f t="shared" si="16"/>
        <v>140311</v>
      </c>
      <c r="L151" s="1692">
        <f>SUM(L129,L130,L139,L149,L150)</f>
        <v>145000</v>
      </c>
    </row>
    <row r="152" spans="1:14" ht="12.75" customHeight="1" thickTop="1" x14ac:dyDescent="0.2">
      <c r="A152" s="2194" t="s">
        <v>1240</v>
      </c>
      <c r="B152" s="2195"/>
      <c r="C152" s="619"/>
      <c r="D152" s="619"/>
      <c r="E152" s="619"/>
      <c r="F152" s="619"/>
      <c r="G152" s="619"/>
      <c r="H152" s="619"/>
      <c r="I152" s="619"/>
      <c r="J152" s="617"/>
      <c r="K152" s="1706">
        <f>'Revenues 9-14'!D275-'Expenditures 15-22'!K151</f>
        <v>-53232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65530</v>
      </c>
      <c r="I169" s="617"/>
      <c r="J169" s="617"/>
      <c r="K169" s="1693">
        <f>SUM(C169:H169)</f>
        <v>65530</v>
      </c>
      <c r="L169" s="657">
        <v>333000</v>
      </c>
    </row>
    <row r="170" spans="1:14" ht="33.75" customHeight="1" x14ac:dyDescent="0.2">
      <c r="A170" s="670" t="s">
        <v>1769</v>
      </c>
      <c r="B170" s="672" t="s">
        <v>31</v>
      </c>
      <c r="C170" s="617"/>
      <c r="D170" s="617"/>
      <c r="E170" s="617"/>
      <c r="F170" s="617"/>
      <c r="G170" s="617"/>
      <c r="H170" s="569">
        <v>283000</v>
      </c>
      <c r="I170" s="617"/>
      <c r="J170" s="617"/>
      <c r="K170" s="1693">
        <f>SUM(C170:J170)</f>
        <v>283000</v>
      </c>
      <c r="L170" s="569">
        <v>0</v>
      </c>
    </row>
    <row r="171" spans="1:14" ht="15.75" customHeight="1" x14ac:dyDescent="0.2">
      <c r="A171" s="622" t="s">
        <v>790</v>
      </c>
      <c r="B171" s="673" t="s">
        <v>86</v>
      </c>
      <c r="C171" s="617"/>
      <c r="D171" s="617"/>
      <c r="E171" s="466"/>
      <c r="F171" s="617"/>
      <c r="G171" s="617"/>
      <c r="H171" s="569">
        <v>500</v>
      </c>
      <c r="I171" s="477"/>
      <c r="J171" s="617"/>
      <c r="K171" s="1693">
        <f>SUM(C171:J171)</f>
        <v>500</v>
      </c>
      <c r="L171" s="569">
        <v>0</v>
      </c>
    </row>
    <row r="172" spans="1:14" ht="12.75" customHeight="1" thickBot="1" x14ac:dyDescent="0.25">
      <c r="A172" s="1690" t="s">
        <v>659</v>
      </c>
      <c r="B172" s="1691" t="s">
        <v>513</v>
      </c>
      <c r="C172" s="617"/>
      <c r="D172" s="617"/>
      <c r="E172" s="1699">
        <f>SUM(E168,E169,E170,E171)</f>
        <v>0</v>
      </c>
      <c r="F172" s="617"/>
      <c r="G172" s="617"/>
      <c r="H172" s="1699">
        <f>SUM(H168,H169,H170,H171)</f>
        <v>349030</v>
      </c>
      <c r="I172" s="639"/>
      <c r="J172" s="617"/>
      <c r="K172" s="1699">
        <f>SUM(K168,K169,K170,K171)</f>
        <v>349030</v>
      </c>
      <c r="L172" s="1699">
        <f>SUM(L168,L169,L170,L171)</f>
        <v>333000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349030</v>
      </c>
      <c r="I174" s="639"/>
      <c r="J174" s="617"/>
      <c r="K174" s="1699">
        <f>SUM(K160,K172,K173)</f>
        <v>349030</v>
      </c>
      <c r="L174" s="1699">
        <f>SUM(L160,L172,L173)</f>
        <v>333000</v>
      </c>
    </row>
    <row r="175" spans="1:14" ht="13.5" thickTop="1" x14ac:dyDescent="0.2">
      <c r="A175" s="2174" t="s">
        <v>1053</v>
      </c>
      <c r="B175" s="2175"/>
      <c r="C175" s="617"/>
      <c r="D175" s="617"/>
      <c r="E175" s="617"/>
      <c r="F175" s="617"/>
      <c r="G175" s="617"/>
      <c r="H175" s="619"/>
      <c r="I175" s="617"/>
      <c r="J175" s="617"/>
      <c r="K175" s="1706">
        <f>'Revenues 9-14'!E275-'Expenditures 15-22'!K174</f>
        <v>-22504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101144</v>
      </c>
      <c r="D182" s="466">
        <v>1818</v>
      </c>
      <c r="E182" s="466">
        <v>14468</v>
      </c>
      <c r="F182" s="466">
        <v>19852</v>
      </c>
      <c r="G182" s="466">
        <v>62312</v>
      </c>
      <c r="H182" s="466"/>
      <c r="I182" s="467"/>
      <c r="J182" s="467"/>
      <c r="K182" s="1693">
        <f>SUM(C182:J182)</f>
        <v>199594</v>
      </c>
      <c r="L182" s="466">
        <v>206930</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101144</v>
      </c>
      <c r="D184" s="1699">
        <f t="shared" ref="D184:J184" si="17">SUM(D180,D182,D183)</f>
        <v>1818</v>
      </c>
      <c r="E184" s="1699">
        <f t="shared" si="17"/>
        <v>14468</v>
      </c>
      <c r="F184" s="1699">
        <f t="shared" si="17"/>
        <v>19852</v>
      </c>
      <c r="G184" s="1699">
        <f t="shared" si="17"/>
        <v>62312</v>
      </c>
      <c r="H184" s="1699">
        <f t="shared" si="17"/>
        <v>0</v>
      </c>
      <c r="I184" s="1699">
        <f t="shared" si="17"/>
        <v>0</v>
      </c>
      <c r="J184" s="1699">
        <f t="shared" si="17"/>
        <v>0</v>
      </c>
      <c r="K184" s="1699">
        <f>SUM(K180,K182,K183)</f>
        <v>199594</v>
      </c>
      <c r="L184" s="1699">
        <f>SUM(L180, L182:L183)</f>
        <v>206930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101144</v>
      </c>
      <c r="D210" s="1692">
        <f>SUM(D184,D185)</f>
        <v>1818</v>
      </c>
      <c r="E210" s="1692">
        <f>SUM(E184,E185,E196)</f>
        <v>14468</v>
      </c>
      <c r="F210" s="1692">
        <f>SUM(F184,F185)</f>
        <v>19852</v>
      </c>
      <c r="G210" s="1692">
        <f>SUM(G184,G185)</f>
        <v>62312</v>
      </c>
      <c r="H210" s="1692">
        <f>SUM(H184,H185,H196,H208,H209)</f>
        <v>0</v>
      </c>
      <c r="I210" s="1692">
        <f>SUM(I184,I185)</f>
        <v>0</v>
      </c>
      <c r="J210" s="1692">
        <f>SUM(J184,J185)</f>
        <v>0</v>
      </c>
      <c r="K210" s="1693">
        <f>SUM(K184,K185,K196,K208,K209)</f>
        <v>199594</v>
      </c>
      <c r="L210" s="1692">
        <f>SUM(L184,L185,L196,L208,L209)</f>
        <v>206930</v>
      </c>
    </row>
    <row r="211" spans="1:14" ht="13.5" thickTop="1" x14ac:dyDescent="0.2">
      <c r="A211" s="2174" t="s">
        <v>1053</v>
      </c>
      <c r="B211" s="2175"/>
      <c r="C211" s="619"/>
      <c r="D211" s="619"/>
      <c r="E211" s="619"/>
      <c r="F211" s="619"/>
      <c r="G211" s="619"/>
      <c r="H211" s="619"/>
      <c r="I211" s="617"/>
      <c r="J211" s="617"/>
      <c r="K211" s="1706">
        <f>'Revenues 9-14'!F275-'Expenditures 15-22'!K210</f>
        <v>5344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11780</v>
      </c>
      <c r="E215" s="617"/>
      <c r="F215" s="617"/>
      <c r="G215" s="617"/>
      <c r="H215" s="617"/>
      <c r="I215" s="617"/>
      <c r="J215" s="617"/>
      <c r="K215" s="1693">
        <f>D215</f>
        <v>11780</v>
      </c>
      <c r="L215" s="466">
        <v>12000</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17757</v>
      </c>
      <c r="E217" s="617"/>
      <c r="F217" s="617"/>
      <c r="G217" s="617"/>
      <c r="H217" s="617"/>
      <c r="I217" s="617"/>
      <c r="J217" s="617"/>
      <c r="K217" s="1693">
        <f t="shared" si="19"/>
        <v>17757</v>
      </c>
      <c r="L217" s="466">
        <v>17000</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v>262</v>
      </c>
      <c r="E219" s="617"/>
      <c r="F219" s="617"/>
      <c r="G219" s="617"/>
      <c r="H219" s="617"/>
      <c r="I219" s="617"/>
      <c r="J219" s="617"/>
      <c r="K219" s="1693">
        <f t="shared" si="19"/>
        <v>262</v>
      </c>
      <c r="L219" s="466">
        <v>500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v>276</v>
      </c>
      <c r="E223" s="617"/>
      <c r="F223" s="617"/>
      <c r="G223" s="617"/>
      <c r="H223" s="617"/>
      <c r="I223" s="617"/>
      <c r="J223" s="617"/>
      <c r="K223" s="1693">
        <f t="shared" si="19"/>
        <v>276</v>
      </c>
      <c r="L223" s="466">
        <v>340</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30075</v>
      </c>
      <c r="E229" s="617"/>
      <c r="F229" s="617"/>
      <c r="G229" s="617"/>
      <c r="H229" s="617"/>
      <c r="I229" s="617"/>
      <c r="J229" s="617"/>
      <c r="K229" s="1692">
        <f>SUM(K215:K228)</f>
        <v>30075</v>
      </c>
      <c r="L229" s="1692">
        <f>SUM(L215:L228)</f>
        <v>29840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9713</v>
      </c>
      <c r="E240" s="617"/>
      <c r="F240" s="617"/>
      <c r="G240" s="617"/>
      <c r="H240" s="617"/>
      <c r="I240" s="617"/>
      <c r="J240" s="617"/>
      <c r="K240" s="1694">
        <f>D240</f>
        <v>9713</v>
      </c>
      <c r="L240" s="481">
        <v>12300</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9713</v>
      </c>
      <c r="E243" s="617"/>
      <c r="F243" s="617"/>
      <c r="G243" s="617"/>
      <c r="H243" s="617"/>
      <c r="I243" s="617"/>
      <c r="J243" s="617"/>
      <c r="K243" s="1692">
        <f>SUM(K240:K242)</f>
        <v>9713</v>
      </c>
      <c r="L243" s="1692">
        <f>SUM(L240:L242)</f>
        <v>12300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420</v>
      </c>
      <c r="E245" s="617"/>
      <c r="F245" s="617"/>
      <c r="G245" s="617"/>
      <c r="H245" s="617"/>
      <c r="I245" s="617"/>
      <c r="J245" s="617"/>
      <c r="K245" s="1694">
        <f>D245</f>
        <v>420</v>
      </c>
      <c r="L245" s="481">
        <v>420</v>
      </c>
    </row>
    <row r="246" spans="1:12" x14ac:dyDescent="0.2">
      <c r="A246" s="1526" t="s">
        <v>872</v>
      </c>
      <c r="B246" s="615">
        <v>2320</v>
      </c>
      <c r="C246" s="617"/>
      <c r="D246" s="466">
        <v>3121</v>
      </c>
      <c r="E246" s="617"/>
      <c r="F246" s="617"/>
      <c r="G246" s="617"/>
      <c r="H246" s="617"/>
      <c r="I246" s="617"/>
      <c r="J246" s="617"/>
      <c r="K246" s="1694">
        <f t="shared" ref="K246:K256" si="21">D246</f>
        <v>3121</v>
      </c>
      <c r="L246" s="466">
        <v>3150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3541</v>
      </c>
      <c r="E257" s="617"/>
      <c r="F257" s="617"/>
      <c r="G257" s="617"/>
      <c r="H257" s="617"/>
      <c r="I257" s="617"/>
      <c r="J257" s="617"/>
      <c r="K257" s="1692">
        <f>SUM(K245:K256)</f>
        <v>3541</v>
      </c>
      <c r="L257" s="1692">
        <f>SUM(L245:L256)</f>
        <v>3570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5714</v>
      </c>
      <c r="E259" s="617"/>
      <c r="F259" s="617"/>
      <c r="G259" s="617"/>
      <c r="H259" s="617"/>
      <c r="I259" s="617"/>
      <c r="J259" s="617"/>
      <c r="K259" s="1694">
        <f>D259</f>
        <v>5714</v>
      </c>
      <c r="L259" s="481">
        <v>6000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5714</v>
      </c>
      <c r="E261" s="617"/>
      <c r="F261" s="617"/>
      <c r="G261" s="617"/>
      <c r="H261" s="617"/>
      <c r="I261" s="617"/>
      <c r="J261" s="617"/>
      <c r="K261" s="1692">
        <f>SUM(K259:K260)</f>
        <v>5714</v>
      </c>
      <c r="L261" s="1692">
        <f>SUM(L259:L260)</f>
        <v>6000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7336</v>
      </c>
      <c r="E264" s="617"/>
      <c r="F264" s="617"/>
      <c r="G264" s="617"/>
      <c r="H264" s="617"/>
      <c r="I264" s="617"/>
      <c r="J264" s="617"/>
      <c r="K264" s="1694">
        <f t="shared" ref="K264:K269" si="22">D264</f>
        <v>7336</v>
      </c>
      <c r="L264" s="466">
        <v>6900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8971</v>
      </c>
      <c r="E266" s="617"/>
      <c r="F266" s="617"/>
      <c r="G266" s="617"/>
      <c r="H266" s="617"/>
      <c r="I266" s="617"/>
      <c r="J266" s="617"/>
      <c r="K266" s="1694">
        <f t="shared" si="22"/>
        <v>8971</v>
      </c>
      <c r="L266" s="466">
        <v>8425</v>
      </c>
    </row>
    <row r="267" spans="1:14" x14ac:dyDescent="0.2">
      <c r="A267" s="1526" t="s">
        <v>1010</v>
      </c>
      <c r="B267" s="615">
        <v>2550</v>
      </c>
      <c r="C267" s="617"/>
      <c r="D267" s="466">
        <v>16032</v>
      </c>
      <c r="E267" s="617"/>
      <c r="F267" s="617"/>
      <c r="G267" s="617"/>
      <c r="H267" s="617"/>
      <c r="I267" s="617"/>
      <c r="J267" s="617"/>
      <c r="K267" s="1694">
        <f t="shared" si="22"/>
        <v>16032</v>
      </c>
      <c r="L267" s="466">
        <v>16425</v>
      </c>
    </row>
    <row r="268" spans="1:14" x14ac:dyDescent="0.2">
      <c r="A268" s="1526" t="s">
        <v>102</v>
      </c>
      <c r="B268" s="615">
        <v>2560</v>
      </c>
      <c r="C268" s="617"/>
      <c r="D268" s="466">
        <v>3536</v>
      </c>
      <c r="E268" s="617"/>
      <c r="F268" s="617"/>
      <c r="G268" s="617"/>
      <c r="H268" s="617"/>
      <c r="I268" s="617"/>
      <c r="J268" s="617"/>
      <c r="K268" s="1694">
        <f t="shared" si="22"/>
        <v>3536</v>
      </c>
      <c r="L268" s="466">
        <v>3800</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35875</v>
      </c>
      <c r="E270" s="617"/>
      <c r="F270" s="617"/>
      <c r="G270" s="617"/>
      <c r="H270" s="617"/>
      <c r="I270" s="617"/>
      <c r="J270" s="617"/>
      <c r="K270" s="1692">
        <f>SUM(K263:K269)</f>
        <v>35875</v>
      </c>
      <c r="L270" s="1692">
        <f>SUM(L263:L269)</f>
        <v>35550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54843</v>
      </c>
      <c r="E279" s="617"/>
      <c r="F279" s="617"/>
      <c r="G279" s="617"/>
      <c r="H279" s="617"/>
      <c r="I279" s="617"/>
      <c r="J279" s="617"/>
      <c r="K279" s="1699">
        <f>SUM(K238,K243,K257,K261,K270,K277,K278)</f>
        <v>54843</v>
      </c>
      <c r="L279" s="1699">
        <f>SUM(L238,L243,L257,L261,L270,L277,L278)</f>
        <v>57420</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2">
        <f>SUM(D229,D279,D280,D285)</f>
        <v>84918</v>
      </c>
      <c r="E295" s="617"/>
      <c r="F295" s="617"/>
      <c r="G295" s="617"/>
      <c r="H295" s="1692">
        <f>H293</f>
        <v>0</v>
      </c>
      <c r="I295" s="617"/>
      <c r="J295" s="617"/>
      <c r="K295" s="1692">
        <f>SUM(K229,K279,K280,K285,K293,K294)</f>
        <v>84918</v>
      </c>
      <c r="L295" s="1692">
        <f>SUM(L229,L279,L280,L285,L293,L294)</f>
        <v>87260</v>
      </c>
    </row>
    <row r="296" spans="1:14" ht="13.5" thickTop="1" x14ac:dyDescent="0.2">
      <c r="A296" s="2174" t="s">
        <v>1053</v>
      </c>
      <c r="B296" s="2175"/>
      <c r="C296" s="617"/>
      <c r="D296" s="619"/>
      <c r="E296" s="617"/>
      <c r="F296" s="617"/>
      <c r="G296" s="617"/>
      <c r="H296" s="688"/>
      <c r="I296" s="617"/>
      <c r="J296" s="617"/>
      <c r="K296" s="1706">
        <f>'Revenues 9-14'!G275-'Expenditures 15-22'!K295</f>
        <v>4740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3082</v>
      </c>
      <c r="F301" s="466">
        <v>230</v>
      </c>
      <c r="G301" s="466">
        <v>13008</v>
      </c>
      <c r="H301" s="466"/>
      <c r="I301" s="467"/>
      <c r="J301" s="467"/>
      <c r="K301" s="1693">
        <f>SUM(C301:J301)</f>
        <v>16320</v>
      </c>
      <c r="L301" s="467">
        <v>20000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3082</v>
      </c>
      <c r="F303" s="1699">
        <f t="shared" si="23"/>
        <v>230</v>
      </c>
      <c r="G303" s="1699">
        <f t="shared" si="23"/>
        <v>13008</v>
      </c>
      <c r="H303" s="1699">
        <f t="shared" si="23"/>
        <v>0</v>
      </c>
      <c r="I303" s="1699">
        <f t="shared" si="23"/>
        <v>0</v>
      </c>
      <c r="J303" s="1699">
        <f t="shared" si="23"/>
        <v>0</v>
      </c>
      <c r="K303" s="1699">
        <f t="shared" si="23"/>
        <v>16320</v>
      </c>
      <c r="L303" s="1699">
        <f t="shared" si="23"/>
        <v>20000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2">
        <f>SUM(C303)</f>
        <v>0</v>
      </c>
      <c r="D312" s="1692">
        <f>SUM(D303)</f>
        <v>0</v>
      </c>
      <c r="E312" s="1692">
        <f>SUM(E303,E310)</f>
        <v>3082</v>
      </c>
      <c r="F312" s="1692">
        <f>SUM(F303)</f>
        <v>230</v>
      </c>
      <c r="G312" s="1692">
        <f>SUM(G303)</f>
        <v>13008</v>
      </c>
      <c r="H312" s="1692">
        <f>SUM(H303,H310)</f>
        <v>0</v>
      </c>
      <c r="I312" s="1692">
        <f>SUM(I303)</f>
        <v>0</v>
      </c>
      <c r="J312" s="1692">
        <f>SUM(J303)</f>
        <v>0</v>
      </c>
      <c r="K312" s="1692">
        <f>SUM(K303,K310,K311)</f>
        <v>16320</v>
      </c>
      <c r="L312" s="1692">
        <f>SUM(L303,L310,L311)</f>
        <v>20000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93882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v>41398</v>
      </c>
      <c r="F322" s="467"/>
      <c r="G322" s="467"/>
      <c r="H322" s="467"/>
      <c r="I322" s="467"/>
      <c r="J322" s="467"/>
      <c r="K322" s="1693">
        <f t="shared" si="24"/>
        <v>41398</v>
      </c>
      <c r="L322" s="467">
        <v>44000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41398</v>
      </c>
      <c r="F330" s="1692">
        <f t="shared" si="25"/>
        <v>0</v>
      </c>
      <c r="G330" s="1692">
        <f t="shared" si="25"/>
        <v>0</v>
      </c>
      <c r="H330" s="1692">
        <f t="shared" si="25"/>
        <v>0</v>
      </c>
      <c r="I330" s="1692">
        <f t="shared" si="25"/>
        <v>0</v>
      </c>
      <c r="J330" s="1692">
        <f t="shared" si="25"/>
        <v>0</v>
      </c>
      <c r="K330" s="1692">
        <f>SUM(K319:K329)</f>
        <v>41398</v>
      </c>
      <c r="L330" s="1692">
        <f>SUM(L319:L329)</f>
        <v>44000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41398</v>
      </c>
      <c r="F342" s="1692">
        <f>SUM(F330)</f>
        <v>0</v>
      </c>
      <c r="G342" s="1692">
        <f>SUM(G330)</f>
        <v>0</v>
      </c>
      <c r="H342" s="1692">
        <f>SUM(H330,H334,H340)</f>
        <v>0</v>
      </c>
      <c r="I342" s="1692">
        <f>SUM(I330)</f>
        <v>0</v>
      </c>
      <c r="J342" s="1692">
        <f>SUM(J330)</f>
        <v>0</v>
      </c>
      <c r="K342" s="1692">
        <f>SUM(K330,K334,K340)</f>
        <v>41398</v>
      </c>
      <c r="L342" s="1699">
        <f>SUM(L330,L340,L341)</f>
        <v>44000</v>
      </c>
    </row>
    <row r="343" spans="1:14" ht="12.75" customHeight="1" thickTop="1" x14ac:dyDescent="0.2">
      <c r="A343" s="2187" t="s">
        <v>1053</v>
      </c>
      <c r="B343" s="2188"/>
      <c r="C343" s="617"/>
      <c r="D343" s="617"/>
      <c r="E343" s="617"/>
      <c r="F343" s="617"/>
      <c r="G343" s="617"/>
      <c r="H343" s="617"/>
      <c r="I343" s="617"/>
      <c r="J343" s="617"/>
      <c r="K343" s="1706">
        <f>'Revenues 9-14'!J275-'Expenditures 15-22'!K342</f>
        <v>-7663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c r="G349" s="466"/>
      <c r="H349" s="466"/>
      <c r="I349" s="467"/>
      <c r="J349" s="467"/>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23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80" sqref="D8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1232688</v>
      </c>
      <c r="C4" s="1546">
        <v>0</v>
      </c>
      <c r="D4" s="1774">
        <f>B4-C4</f>
        <v>1232688</v>
      </c>
      <c r="E4" s="1546">
        <v>1295962</v>
      </c>
      <c r="F4" s="1774">
        <f>E4-C4</f>
        <v>1295962</v>
      </c>
    </row>
    <row r="5" spans="1:6" ht="13.7" customHeight="1" x14ac:dyDescent="0.2">
      <c r="A5" s="716" t="s">
        <v>925</v>
      </c>
      <c r="B5" s="1772">
        <f>'Revenues 9-14'!D5</f>
        <v>86720</v>
      </c>
      <c r="C5" s="585">
        <v>0</v>
      </c>
      <c r="D5" s="1775">
        <f t="shared" ref="D5:D18" si="0">B5-C5</f>
        <v>86720</v>
      </c>
      <c r="E5" s="585">
        <v>83317</v>
      </c>
      <c r="F5" s="1775">
        <f>E5-C5</f>
        <v>83317</v>
      </c>
    </row>
    <row r="6" spans="1:6" ht="13.7" customHeight="1" x14ac:dyDescent="0.2">
      <c r="A6" s="716" t="s">
        <v>431</v>
      </c>
      <c r="B6" s="1772">
        <f>'Revenues 9-14'!E5</f>
        <v>326483</v>
      </c>
      <c r="C6" s="585">
        <v>0</v>
      </c>
      <c r="D6" s="1775">
        <f t="shared" si="0"/>
        <v>326483</v>
      </c>
      <c r="E6" s="585">
        <v>333378</v>
      </c>
      <c r="F6" s="1775">
        <f t="shared" ref="F6:F18" si="1">E6-C6</f>
        <v>333378</v>
      </c>
    </row>
    <row r="7" spans="1:6" ht="13.7" customHeight="1" x14ac:dyDescent="0.2">
      <c r="A7" s="716" t="s">
        <v>157</v>
      </c>
      <c r="B7" s="1772">
        <f>'Revenues 9-14'!F5</f>
        <v>91540</v>
      </c>
      <c r="C7" s="585">
        <v>0</v>
      </c>
      <c r="D7" s="1775">
        <f t="shared" si="0"/>
        <v>91540</v>
      </c>
      <c r="E7" s="585">
        <v>98016</v>
      </c>
      <c r="F7" s="1775">
        <f t="shared" si="1"/>
        <v>98016</v>
      </c>
    </row>
    <row r="8" spans="1:6" ht="13.7" customHeight="1" x14ac:dyDescent="0.2">
      <c r="A8" s="716" t="s">
        <v>1241</v>
      </c>
      <c r="B8" s="1772">
        <f>'Revenues 9-14'!G5</f>
        <v>28915</v>
      </c>
      <c r="C8" s="585">
        <v>0</v>
      </c>
      <c r="D8" s="1775">
        <f t="shared" si="0"/>
        <v>28915</v>
      </c>
      <c r="E8" s="585">
        <v>24512</v>
      </c>
      <c r="F8" s="1775">
        <f t="shared" si="1"/>
        <v>24512</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0</v>
      </c>
      <c r="C10" s="585">
        <v>0</v>
      </c>
      <c r="D10" s="1775">
        <f t="shared" si="0"/>
        <v>0</v>
      </c>
      <c r="E10" s="585">
        <v>0</v>
      </c>
      <c r="F10" s="1775">
        <f t="shared" si="1"/>
        <v>0</v>
      </c>
    </row>
    <row r="11" spans="1:6" x14ac:dyDescent="0.2">
      <c r="A11" s="716" t="s">
        <v>429</v>
      </c>
      <c r="B11" s="1772">
        <f>'Revenues 9-14'!J5</f>
        <v>33735</v>
      </c>
      <c r="C11" s="585">
        <v>0</v>
      </c>
      <c r="D11" s="1775">
        <f t="shared" si="0"/>
        <v>33735</v>
      </c>
      <c r="E11" s="585">
        <v>37255</v>
      </c>
      <c r="F11" s="1775">
        <f t="shared" si="1"/>
        <v>37255</v>
      </c>
    </row>
    <row r="12" spans="1:6" ht="13.7" customHeight="1" x14ac:dyDescent="0.2">
      <c r="A12" s="716" t="s">
        <v>159</v>
      </c>
      <c r="B12" s="1772">
        <f>'Revenues 9-14'!K5</f>
        <v>0</v>
      </c>
      <c r="C12" s="585">
        <v>0</v>
      </c>
      <c r="D12" s="1775">
        <f t="shared" si="0"/>
        <v>0</v>
      </c>
      <c r="E12" s="585">
        <v>0</v>
      </c>
      <c r="F12" s="1775">
        <f t="shared" si="1"/>
        <v>0</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9648</v>
      </c>
      <c r="C14" s="585">
        <v>0</v>
      </c>
      <c r="D14" s="1775">
        <f t="shared" si="0"/>
        <v>9648</v>
      </c>
      <c r="E14" s="585">
        <v>0</v>
      </c>
      <c r="F14" s="1775">
        <f t="shared" si="1"/>
        <v>0</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57821</v>
      </c>
      <c r="C16" s="585">
        <v>0</v>
      </c>
      <c r="D16" s="1775">
        <f t="shared" si="0"/>
        <v>57821</v>
      </c>
      <c r="E16" s="585">
        <v>49016</v>
      </c>
      <c r="F16" s="1775">
        <f t="shared" si="1"/>
        <v>49016</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1867550</v>
      </c>
      <c r="C19" s="1773">
        <f>SUM(C4:C18)</f>
        <v>0</v>
      </c>
      <c r="D19" s="1773">
        <f>SUM(D4:D18)</f>
        <v>1867550</v>
      </c>
      <c r="E19" s="1773">
        <f>SUM(E4:E18)</f>
        <v>1921456</v>
      </c>
      <c r="F19" s="1773">
        <f>SUM(F4:F18)</f>
        <v>1921456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D80" sqref="D8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2038</v>
      </c>
      <c r="D2" s="724" t="s">
        <v>2045</v>
      </c>
      <c r="E2" s="724" t="s">
        <v>2046</v>
      </c>
      <c r="F2" s="1909"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2091</v>
      </c>
      <c r="B31" s="734">
        <v>42433</v>
      </c>
      <c r="C31" s="735">
        <v>750000</v>
      </c>
      <c r="D31" s="736">
        <v>1</v>
      </c>
      <c r="E31" s="735">
        <v>579000</v>
      </c>
      <c r="F31" s="735">
        <v>0</v>
      </c>
      <c r="G31" s="735"/>
      <c r="H31" s="735">
        <v>188000</v>
      </c>
      <c r="I31" s="1778">
        <f>((E31+F31)-H31)+G31</f>
        <v>391000</v>
      </c>
      <c r="J31" s="735">
        <v>371223</v>
      </c>
      <c r="K31" s="737"/>
    </row>
    <row r="32" spans="1:11" ht="12" customHeight="1" x14ac:dyDescent="0.2">
      <c r="A32" s="733" t="s">
        <v>2092</v>
      </c>
      <c r="B32" s="734">
        <v>42619</v>
      </c>
      <c r="C32" s="735">
        <v>1175000</v>
      </c>
      <c r="D32" s="736">
        <v>3</v>
      </c>
      <c r="E32" s="735">
        <v>1175000</v>
      </c>
      <c r="F32" s="735">
        <v>0</v>
      </c>
      <c r="G32" s="735"/>
      <c r="H32" s="735">
        <v>95000</v>
      </c>
      <c r="I32" s="1778">
        <f>((E32+F32)-H32)+G32</f>
        <v>1080000</v>
      </c>
      <c r="J32" s="735">
        <v>1080000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1925000</v>
      </c>
      <c r="D49" s="746"/>
      <c r="E49" s="1778">
        <f t="shared" ref="E49:J49" si="2">SUM(E31:E48)</f>
        <v>1754000</v>
      </c>
      <c r="F49" s="1778">
        <f t="shared" si="2"/>
        <v>0</v>
      </c>
      <c r="G49" s="1778">
        <f t="shared" si="2"/>
        <v>0</v>
      </c>
      <c r="H49" s="1778">
        <f t="shared" si="2"/>
        <v>283000</v>
      </c>
      <c r="I49" s="1778">
        <f t="shared" si="2"/>
        <v>1471000</v>
      </c>
      <c r="J49" s="1778">
        <f t="shared" si="2"/>
        <v>1451223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80" sqref="D8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9648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9648</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9648</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9648</v>
      </c>
      <c r="I23" s="1780">
        <f>SUM(I14:I16,I21,I22)</f>
        <v>0</v>
      </c>
      <c r="J23" s="1780">
        <f>SUM(J14:J16,J21,J22)</f>
        <v>0</v>
      </c>
      <c r="K23" s="1780">
        <f>SUM(K14:K16,K21,K22)</f>
        <v>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0" sqref="D8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15000</v>
      </c>
      <c r="D5" s="842"/>
      <c r="E5" s="842"/>
      <c r="F5" s="1782">
        <f>(C5+D5)-E5</f>
        <v>15000</v>
      </c>
      <c r="G5" s="838"/>
      <c r="H5" s="843"/>
      <c r="I5" s="843"/>
      <c r="J5" s="843"/>
      <c r="K5" s="794"/>
      <c r="L5" s="1791">
        <f>F5-K5</f>
        <v>15000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3641928</v>
      </c>
      <c r="D8" s="845"/>
      <c r="E8" s="845"/>
      <c r="F8" s="1782">
        <f>(C8+D8)-E8</f>
        <v>3641928</v>
      </c>
      <c r="G8" s="844">
        <v>50</v>
      </c>
      <c r="H8" s="766">
        <v>1424727</v>
      </c>
      <c r="I8" s="766">
        <v>72603</v>
      </c>
      <c r="J8" s="766"/>
      <c r="K8" s="1791">
        <f>(H8+I8)-J8</f>
        <v>1497330</v>
      </c>
      <c r="L8" s="1791">
        <f>F8-K8</f>
        <v>2144598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215614</v>
      </c>
      <c r="D10" s="847"/>
      <c r="E10" s="847"/>
      <c r="F10" s="1786">
        <f>(C10+D10)-E10</f>
        <v>215614</v>
      </c>
      <c r="G10" s="844">
        <v>20</v>
      </c>
      <c r="H10" s="848">
        <v>179235</v>
      </c>
      <c r="I10" s="848">
        <v>6905</v>
      </c>
      <c r="J10" s="848"/>
      <c r="K10" s="1791">
        <f>(H10+I10)-J10</f>
        <v>186140</v>
      </c>
      <c r="L10" s="1791">
        <f>F10-K10</f>
        <v>29474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727990</v>
      </c>
      <c r="D12" s="845"/>
      <c r="E12" s="845"/>
      <c r="F12" s="1782">
        <f>(C12+D12)-E12</f>
        <v>727990</v>
      </c>
      <c r="G12" s="844">
        <v>10</v>
      </c>
      <c r="H12" s="766">
        <v>619927</v>
      </c>
      <c r="I12" s="766">
        <v>27691</v>
      </c>
      <c r="J12" s="766"/>
      <c r="K12" s="1791">
        <f>(H12+I12)-J12</f>
        <v>647618</v>
      </c>
      <c r="L12" s="1791">
        <f>F12-K12</f>
        <v>80372</v>
      </c>
    </row>
    <row r="13" spans="1:14" ht="14.25" thickTop="1" thickBot="1" x14ac:dyDescent="0.25">
      <c r="A13" s="849" t="s">
        <v>1184</v>
      </c>
      <c r="B13" s="841">
        <v>252</v>
      </c>
      <c r="C13" s="845">
        <v>335801</v>
      </c>
      <c r="D13" s="845">
        <v>125643</v>
      </c>
      <c r="E13" s="845">
        <v>45495</v>
      </c>
      <c r="F13" s="1782">
        <f>(C13+D13)-E13</f>
        <v>415949</v>
      </c>
      <c r="G13" s="844">
        <v>5</v>
      </c>
      <c r="H13" s="766">
        <v>264553</v>
      </c>
      <c r="I13" s="766">
        <v>61828</v>
      </c>
      <c r="J13" s="766">
        <v>45495</v>
      </c>
      <c r="K13" s="1791">
        <f>(H13+I13)-J13</f>
        <v>280886</v>
      </c>
      <c r="L13" s="1791">
        <f>F13-K13</f>
        <v>135063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4936333</v>
      </c>
      <c r="D16" s="1782">
        <f>SUM(D3,D5:D6,D8:D10,D12:D15)</f>
        <v>125643</v>
      </c>
      <c r="E16" s="1782">
        <f>SUM(E3,E5:E6,E8:E10,E12:E15)</f>
        <v>45495</v>
      </c>
      <c r="F16" s="1782">
        <f>SUM(F3,F5:F6,F8:F10,F12:F15)</f>
        <v>5016481</v>
      </c>
      <c r="G16" s="844"/>
      <c r="H16" s="1782">
        <f>SUM(H3,H6,H8:H10,H12:H14,)</f>
        <v>2488442</v>
      </c>
      <c r="I16" s="1782">
        <f>SUM(I3,I6,I8:I10,I12:I14,)</f>
        <v>169027</v>
      </c>
      <c r="J16" s="1782">
        <f>SUM(J3,J6,J8:J10,J12:J14,)</f>
        <v>45495</v>
      </c>
      <c r="K16" s="1782">
        <f>(H16+I16)-J16</f>
        <v>2611974</v>
      </c>
      <c r="L16" s="1782">
        <f>F16-K16</f>
        <v>2404507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169027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D80" sqref="D80"/>
      <selection pane="bottomLeft" activeCell="D80" sqref="D8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2115928</v>
      </c>
      <c r="G8" s="866"/>
    </row>
    <row r="9" spans="1:7" x14ac:dyDescent="0.2">
      <c r="A9" s="870" t="s">
        <v>480</v>
      </c>
      <c r="B9" s="871" t="s">
        <v>1989</v>
      </c>
      <c r="C9" s="872"/>
      <c r="D9" s="870" t="s">
        <v>522</v>
      </c>
      <c r="E9" s="869"/>
      <c r="F9" s="1935">
        <f>'Expenditures 15-22'!K151</f>
        <v>140311</v>
      </c>
      <c r="G9" s="873"/>
    </row>
    <row r="10" spans="1:7" x14ac:dyDescent="0.2">
      <c r="A10" s="870" t="s">
        <v>520</v>
      </c>
      <c r="B10" s="871" t="s">
        <v>1990</v>
      </c>
      <c r="C10" s="872"/>
      <c r="D10" s="870" t="s">
        <v>522</v>
      </c>
      <c r="E10" s="869"/>
      <c r="F10" s="1935">
        <f>'Expenditures 15-22'!K174</f>
        <v>349030</v>
      </c>
      <c r="G10" s="873"/>
    </row>
    <row r="11" spans="1:7" x14ac:dyDescent="0.2">
      <c r="A11" s="870" t="s">
        <v>481</v>
      </c>
      <c r="B11" s="871" t="s">
        <v>1991</v>
      </c>
      <c r="C11" s="872"/>
      <c r="D11" s="870" t="s">
        <v>522</v>
      </c>
      <c r="E11" s="869"/>
      <c r="F11" s="1935">
        <f>'Expenditures 15-22'!K210</f>
        <v>199594</v>
      </c>
      <c r="G11" s="873"/>
    </row>
    <row r="12" spans="1:7" x14ac:dyDescent="0.2">
      <c r="A12" s="870" t="s">
        <v>482</v>
      </c>
      <c r="B12" s="871" t="s">
        <v>1992</v>
      </c>
      <c r="C12" s="872"/>
      <c r="D12" s="870" t="s">
        <v>522</v>
      </c>
      <c r="E12" s="869"/>
      <c r="F12" s="1935">
        <f>'Expenditures 15-22'!K295</f>
        <v>84918</v>
      </c>
      <c r="G12" s="873"/>
    </row>
    <row r="13" spans="1:7" x14ac:dyDescent="0.2">
      <c r="A13" s="870" t="s">
        <v>108</v>
      </c>
      <c r="B13" s="871" t="s">
        <v>1993</v>
      </c>
      <c r="C13" s="872"/>
      <c r="D13" s="870" t="s">
        <v>522</v>
      </c>
      <c r="E13" s="869"/>
      <c r="F13" s="1935">
        <f>'Expenditures 15-22'!K342</f>
        <v>41398</v>
      </c>
      <c r="G13" s="874"/>
    </row>
    <row r="14" spans="1:7" ht="12" customHeight="1" thickBot="1" x14ac:dyDescent="0.25">
      <c r="A14" s="1792"/>
      <c r="B14" s="1793"/>
      <c r="C14" s="1794"/>
      <c r="D14" s="1795" t="s">
        <v>522</v>
      </c>
      <c r="E14" s="1796" t="s">
        <v>1015</v>
      </c>
      <c r="F14" s="1797">
        <f>SUM(F8:F13)</f>
        <v>2931179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64</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153253</v>
      </c>
      <c r="G53" s="866"/>
    </row>
    <row r="54" spans="1:7" x14ac:dyDescent="0.2">
      <c r="A54" s="870" t="s">
        <v>479</v>
      </c>
      <c r="B54" s="870" t="s">
        <v>1552</v>
      </c>
      <c r="C54" s="890" t="s">
        <v>1039</v>
      </c>
      <c r="D54" s="886" t="s">
        <v>1157</v>
      </c>
      <c r="E54" s="869"/>
      <c r="F54" s="1939">
        <f>'Expenditures 15-22'!G114</f>
        <v>4323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283000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62312</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502952</v>
      </c>
      <c r="G76" s="866"/>
    </row>
    <row r="77" spans="1:8" s="894" customFormat="1" ht="12" customHeight="1" thickTop="1" thickBot="1" x14ac:dyDescent="0.25">
      <c r="A77" s="1801"/>
      <c r="B77" s="1798"/>
      <c r="C77" s="1794"/>
      <c r="D77" s="1799" t="s">
        <v>2012</v>
      </c>
      <c r="E77" s="1796"/>
      <c r="F77" s="1802">
        <f>(F14-F76)</f>
        <v>2428227</v>
      </c>
      <c r="G77" s="870"/>
    </row>
    <row r="78" spans="1:8" s="894" customFormat="1" ht="12" customHeight="1" thickTop="1" x14ac:dyDescent="0.2">
      <c r="A78" s="1803"/>
      <c r="B78" s="1798"/>
      <c r="C78" s="1794"/>
      <c r="D78" s="1799" t="s">
        <v>2059</v>
      </c>
      <c r="E78" s="1796"/>
      <c r="F78" s="899">
        <v>193.11</v>
      </c>
      <c r="G78" s="900"/>
      <c r="H78" s="870"/>
    </row>
    <row r="79" spans="1:8" s="894" customFormat="1" ht="12" customHeight="1" thickBot="1" x14ac:dyDescent="0.25">
      <c r="A79" s="1804"/>
      <c r="B79" s="1798"/>
      <c r="C79" s="1794"/>
      <c r="D79" s="1799" t="s">
        <v>2013</v>
      </c>
      <c r="E79" s="1796" t="s">
        <v>1015</v>
      </c>
      <c r="F79" s="1805">
        <f>IF(F78&gt;0,F77/F78," Complete Line 78")</f>
        <v>12574.320335560042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30465</v>
      </c>
      <c r="G94" s="913"/>
    </row>
    <row r="95" spans="1:7" x14ac:dyDescent="0.2">
      <c r="A95" s="909" t="s">
        <v>142</v>
      </c>
      <c r="B95" s="909" t="s">
        <v>177</v>
      </c>
      <c r="C95" s="911">
        <v>1700</v>
      </c>
      <c r="D95" s="919" t="str">
        <f>'Revenues 9-14'!A82</f>
        <v>Total District/School Activity Income</v>
      </c>
      <c r="E95" s="907"/>
      <c r="F95" s="1811">
        <f>SUM('Revenues 9-14'!C82,'Revenues 9-14'!D82)</f>
        <v>16425</v>
      </c>
      <c r="G95" s="913"/>
    </row>
    <row r="96" spans="1:7" x14ac:dyDescent="0.2">
      <c r="A96" s="909" t="s">
        <v>479</v>
      </c>
      <c r="B96" s="909" t="s">
        <v>178</v>
      </c>
      <c r="C96" s="911">
        <f>'Revenues 9-14'!B84</f>
        <v>1811</v>
      </c>
      <c r="D96" s="912" t="str">
        <f>'Revenues 9-14'!A84</f>
        <v>Rentals - Regular Textbooks</v>
      </c>
      <c r="E96" s="907"/>
      <c r="F96" s="1811">
        <f>'Revenues 9-14'!C84</f>
        <v>7460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80352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581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113279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33794</v>
      </c>
      <c r="G129" s="931"/>
    </row>
    <row r="130" spans="1:7" x14ac:dyDescent="0.2">
      <c r="A130" s="928" t="s">
        <v>689</v>
      </c>
      <c r="B130" s="928" t="s">
        <v>804</v>
      </c>
      <c r="C130" s="933">
        <v>4300</v>
      </c>
      <c r="D130" s="934" t="str">
        <f>'Revenues 9-14'!A211</f>
        <v>Total Title I</v>
      </c>
      <c r="E130" s="907"/>
      <c r="F130" s="1811">
        <f>SUM('Revenues 9-14'!C211,'Revenues 9-14'!D211,'Revenues 9-14'!F211,'Revenues 9-14'!G211)</f>
        <v>18270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42584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343210</v>
      </c>
    </row>
    <row r="179" spans="1:7" ht="12" customHeight="1" x14ac:dyDescent="0.2">
      <c r="A179" s="1792"/>
      <c r="B179" s="1806"/>
      <c r="C179" s="1807"/>
      <c r="D179" s="1808" t="s">
        <v>2015</v>
      </c>
      <c r="E179" s="1809"/>
      <c r="F179" s="1811">
        <f>'PCTC-OEPP 27-28'!F77-F178</f>
        <v>2085017</v>
      </c>
    </row>
    <row r="180" spans="1:7" ht="12" customHeight="1" x14ac:dyDescent="0.2">
      <c r="A180" s="1792"/>
      <c r="B180" s="1806"/>
      <c r="C180" s="1807"/>
      <c r="D180" s="1808" t="s">
        <v>1924</v>
      </c>
      <c r="E180" s="1809"/>
      <c r="F180" s="1811">
        <f>'Cap Outlay Deprec 26'!I18</f>
        <v>169027</v>
      </c>
    </row>
    <row r="181" spans="1:7" ht="12" customHeight="1" x14ac:dyDescent="0.2">
      <c r="A181" s="1792"/>
      <c r="B181" s="1806"/>
      <c r="C181" s="1807"/>
      <c r="D181" s="1808" t="s">
        <v>2016</v>
      </c>
      <c r="E181" s="1809"/>
      <c r="F181" s="1811">
        <f>F179+F180</f>
        <v>2254044</v>
      </c>
    </row>
    <row r="182" spans="1:7" ht="12" customHeight="1" x14ac:dyDescent="0.2">
      <c r="A182" s="1792"/>
      <c r="B182" s="1812"/>
      <c r="C182" s="1807"/>
      <c r="D182" s="1808" t="str">
        <f>D78</f>
        <v>9 Month ADA from District Average Daily Attendance/Prior General State Aid Inquiry 2017-2018</v>
      </c>
      <c r="E182" s="1809"/>
      <c r="F182" s="1813">
        <f>'PCTC-OEPP 27-28'!F78</f>
        <v>193.11</v>
      </c>
      <c r="G182" s="931"/>
    </row>
    <row r="183" spans="1:7" ht="12" customHeight="1" thickBot="1" x14ac:dyDescent="0.25">
      <c r="A183" s="1792"/>
      <c r="B183" s="1812"/>
      <c r="C183" s="1807"/>
      <c r="D183" s="1808" t="s">
        <v>2017</v>
      </c>
      <c r="E183" s="1809" t="s">
        <v>1626</v>
      </c>
      <c r="F183" s="1814">
        <f>F181/F182</f>
        <v>11672.331831598571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D80" sqref="D80"/>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7" t="s">
        <v>2098</v>
      </c>
      <c r="C17" s="1958" t="s">
        <v>2096</v>
      </c>
      <c r="D17" s="1867">
        <v>61266</v>
      </c>
      <c r="E17" s="1562">
        <f t="shared" ref="E17:E141" si="1">IF(D17&lt;=25000,D17,IF(D17&gt;25000,25000,0))</f>
        <v>25000</v>
      </c>
      <c r="F17" s="1815">
        <f t="shared" si="0"/>
        <v>25000</v>
      </c>
      <c r="G17" s="1816">
        <f>IF(F17=0,0,D17-F17)</f>
        <v>36266</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61266</v>
      </c>
      <c r="E141" s="1563">
        <f t="shared" si="1"/>
        <v>25000</v>
      </c>
      <c r="F141" s="1817">
        <f>SUM(F17:F140)</f>
        <v>25000</v>
      </c>
      <c r="G141" s="1818">
        <f>SUM(G17:G140)</f>
        <v>36266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80" sqref="D8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v>6665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1531394</v>
      </c>
      <c r="F19" s="1822"/>
      <c r="G19" s="1824">
        <f>'Expenditures 15-22'!K33-SUM('Expenditures 15-22'!G33,'Expenditures 15-22'!I33)+'Expenditures 15-22'!D229</f>
        <v>1531394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3018</v>
      </c>
      <c r="F21" s="1825"/>
      <c r="G21" s="1828">
        <f>'Expenditures 15-22'!K42-SUM('Expenditures 15-22'!G42,'Expenditures 15-22'!I42)+'Expenditures 15-22'!K120-SUM('Expenditures 15-22'!G120,'Expenditures 15-22'!I120)+'Expenditures 15-22'!K180-SUM('Expenditures 15-22'!G180,'Expenditures 15-22'!I180)+'Expenditures 15-22'!D238</f>
        <v>3018</v>
      </c>
      <c r="H21" s="988"/>
      <c r="I21" s="162"/>
    </row>
    <row r="22" spans="1:9" s="669" customFormat="1" ht="12" customHeight="1" x14ac:dyDescent="0.2">
      <c r="A22" s="995" t="s">
        <v>585</v>
      </c>
      <c r="B22" s="996"/>
      <c r="C22" s="994">
        <v>2200</v>
      </c>
      <c r="D22" s="1825"/>
      <c r="E22" s="1827">
        <f>'Expenditures 15-22'!K47-SUM('Expenditures 15-22'!G47,'Expenditures 15-22'!I47)+'Expenditures 15-22'!D243</f>
        <v>50629</v>
      </c>
      <c r="F22" s="1825"/>
      <c r="G22" s="1828">
        <f>'Expenditures 15-22'!K47-SUM('Expenditures 15-22'!G47,'Expenditures 15-22'!I47)+'Expenditures 15-22'!D243</f>
        <v>50629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135699</v>
      </c>
      <c r="F23" s="1825"/>
      <c r="G23" s="1827">
        <f>'Expenditures 15-22'!K53-SUM('Expenditures 15-22'!G53,'Expenditures 15-22'!I53)+'Expenditures 15-22'!D257+'Expenditures 15-22'!K330-SUM('Expenditures 15-22'!G330,'Expenditures 15-22'!I330)</f>
        <v>135699</v>
      </c>
      <c r="H23" s="988"/>
      <c r="I23" s="162"/>
    </row>
    <row r="24" spans="1:9" s="669" customFormat="1" ht="12" customHeight="1" x14ac:dyDescent="0.2">
      <c r="A24" s="995" t="s">
        <v>587</v>
      </c>
      <c r="B24" s="996"/>
      <c r="C24" s="994">
        <v>2400</v>
      </c>
      <c r="D24" s="1825"/>
      <c r="E24" s="1827">
        <f>'Expenditures 15-22'!K57-SUM('Expenditures 15-22'!G57,'Expenditures 15-22'!I57)+'Expenditures 15-22'!D261</f>
        <v>197091</v>
      </c>
      <c r="F24" s="1825"/>
      <c r="G24" s="1828">
        <f>'Expenditures 15-22'!K57-SUM('Expenditures 15-22'!G57,'Expenditures 15-22'!I57)+'Expenditures 15-22'!D261</f>
        <v>197091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47238</v>
      </c>
      <c r="E27" s="1827">
        <f>E8</f>
        <v>0</v>
      </c>
      <c r="F27" s="1827">
        <f>'Expenditures 15-22'!K60-SUM('Expenditures 15-22'!G60,'Expenditures 15-22'!I60)+'Expenditures 15-22'!D264-E8</f>
        <v>47238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149282</v>
      </c>
      <c r="F28" s="1829">
        <f>'Expenditures 15-22'!K61-SUM('Expenditures 15-22'!G61,'Expenditures 15-22'!I61)+'Expenditures 15-22'!K124-SUM('Expenditures 15-22'!G124,'Expenditures 15-22'!I124)+'Expenditures 15-22'!D266-E9</f>
        <v>149282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153314</v>
      </c>
      <c r="F29" s="1825"/>
      <c r="G29" s="1828">
        <f>'Expenditures 15-22'!K62-SUM('Expenditures 15-22'!G62,'Expenditures 15-22'!I62)+'Expenditures 15-22'!K125-SUM('Expenditures 15-22'!G125,'Expenditures 15-22'!I125)+'Expenditures 15-22'!K182-SUM('Expenditures 15-22'!G182,'Expenditures 15-22'!I182)+'Expenditures 15-22'!D267</f>
        <v>153314</v>
      </c>
      <c r="H29" s="986"/>
    </row>
    <row r="30" spans="1:9" ht="12" customHeight="1" x14ac:dyDescent="0.2">
      <c r="A30" s="995" t="s">
        <v>102</v>
      </c>
      <c r="B30" s="998"/>
      <c r="C30" s="994">
        <v>2560</v>
      </c>
      <c r="D30" s="1825"/>
      <c r="E30" s="1827">
        <f>'Expenditures 15-22'!K63-SUM('Expenditures 15-22'!G63,'Expenditures 15-22'!I63)+'Expenditures 15-22'!D268-E10</f>
        <v>90019</v>
      </c>
      <c r="F30" s="1825"/>
      <c r="G30" s="1827">
        <f>'Expenditures 15-22'!K63-SUM('Expenditures 15-22'!G63,'Expenditures 15-22'!I63)+'Expenditures 15-22'!D268-E10</f>
        <v>90019</v>
      </c>
    </row>
    <row r="31" spans="1:9" ht="12" customHeight="1" x14ac:dyDescent="0.2">
      <c r="A31" s="995" t="s">
        <v>103</v>
      </c>
      <c r="B31" s="998"/>
      <c r="C31" s="994">
        <v>2570</v>
      </c>
      <c r="D31" s="1827">
        <f>'Expenditures 15-22'!K64-SUM('Expenditures 15-22'!G64,'Expenditures 15-22'!I64)+'Expenditures 15-22'!D269-E12</f>
        <v>4577</v>
      </c>
      <c r="E31" s="1827">
        <f>E12</f>
        <v>0</v>
      </c>
      <c r="F31" s="1827">
        <f>'Expenditures 15-22'!K64-SUM('Expenditures 15-22'!G64,'Expenditures 15-22'!I64)+'Expenditures 15-22'!D269-E12</f>
        <v>4577</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-36266</v>
      </c>
      <c r="F40" s="1825"/>
      <c r="G40" s="1829">
        <f>-'Contracts Paid in CY 29'!G141</f>
        <v>-36266</v>
      </c>
    </row>
    <row r="41" spans="1:7" ht="12" customHeight="1" x14ac:dyDescent="0.2">
      <c r="A41" s="999" t="s">
        <v>158</v>
      </c>
      <c r="B41" s="1000"/>
      <c r="C41" s="1001"/>
      <c r="D41" s="1829">
        <f>SUM(D19:D39)</f>
        <v>51815</v>
      </c>
      <c r="E41" s="1829">
        <f>SUM(E19:E40)</f>
        <v>2274180</v>
      </c>
      <c r="F41" s="1829">
        <f>SUM(F19:F39)</f>
        <v>201097</v>
      </c>
      <c r="G41" s="1829">
        <f>SUM(G19:G40)</f>
        <v>2124898</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51815</v>
      </c>
      <c r="F43" s="1830" t="s">
        <v>495</v>
      </c>
      <c r="G43" s="1831">
        <f>F41</f>
        <v>201097</v>
      </c>
    </row>
    <row r="44" spans="1:7" ht="12" customHeight="1" x14ac:dyDescent="0.2">
      <c r="A44" s="988"/>
      <c r="B44" s="162"/>
      <c r="C44" s="1002"/>
      <c r="D44" s="1830" t="s">
        <v>494</v>
      </c>
      <c r="E44" s="1831">
        <f>E41</f>
        <v>2274180</v>
      </c>
      <c r="F44" s="1830" t="s">
        <v>494</v>
      </c>
      <c r="G44" s="1831">
        <f>G41</f>
        <v>2124898</v>
      </c>
    </row>
    <row r="45" spans="1:7" ht="12" customHeight="1" x14ac:dyDescent="0.2">
      <c r="A45" s="988"/>
      <c r="B45" s="162"/>
      <c r="C45" s="162"/>
      <c r="D45" s="1832" t="s">
        <v>1063</v>
      </c>
      <c r="E45" s="1833">
        <f>(E43/E44)</f>
        <v>2.2784036443905056E-2</v>
      </c>
      <c r="F45" s="1832" t="s">
        <v>1063</v>
      </c>
      <c r="G45" s="1833">
        <f>(G43/G44)</f>
        <v>9.4638424997341056E-2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80" sqref="D80"/>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West Lincoln-Broadwell ESD 92</v>
      </c>
      <c r="D6" s="2326"/>
      <c r="E6" s="2326"/>
      <c r="F6" s="1877"/>
    </row>
    <row r="7" spans="1:10" ht="11.25" customHeight="1" thickBot="1" x14ac:dyDescent="0.3">
      <c r="A7" s="1875"/>
      <c r="B7" s="1876"/>
      <c r="C7" s="2327">
        <f>COVER!A13</f>
        <v>17054092004</v>
      </c>
      <c r="D7" s="2327"/>
      <c r="E7" s="2327"/>
      <c r="F7" s="1877"/>
    </row>
    <row r="8" spans="1:10" ht="25.5" customHeight="1" thickBot="1" x14ac:dyDescent="0.25">
      <c r="A8" s="1918" t="s">
        <v>2025</v>
      </c>
      <c r="B8" s="1878" t="s">
        <v>2093</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5" bottom="0.25"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80" sqref="D8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West Lincoln-Broadwell ESD 92</v>
      </c>
      <c r="J6" s="2336"/>
      <c r="Q6" s="1686"/>
    </row>
    <row r="7" spans="1:17" x14ac:dyDescent="0.2">
      <c r="A7" s="2337" t="s">
        <v>924</v>
      </c>
      <c r="B7" s="2338"/>
      <c r="C7" s="2338"/>
      <c r="D7" s="2338"/>
      <c r="E7" s="2339"/>
      <c r="F7" s="1018"/>
      <c r="G7" s="1010"/>
      <c r="H7" s="1017" t="s">
        <v>390</v>
      </c>
      <c r="I7" s="2340">
        <f>COVER!A13</f>
        <v>17054092004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68808</v>
      </c>
      <c r="F12" s="1040"/>
      <c r="G12" s="1834">
        <f t="shared" ref="G12:G18" si="0">SUM(E12:F12)</f>
        <v>68808</v>
      </c>
      <c r="H12" s="1041">
        <v>70000</v>
      </c>
      <c r="I12" s="1040"/>
      <c r="J12" s="1834">
        <f t="shared" ref="J12:J18" si="1">SUM(H12:I12)</f>
        <v>70000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4577</v>
      </c>
      <c r="F16" s="1040"/>
      <c r="G16" s="1834">
        <f t="shared" si="0"/>
        <v>4577</v>
      </c>
      <c r="H16" s="1041">
        <v>4650</v>
      </c>
      <c r="I16" s="1040"/>
      <c r="J16" s="1834">
        <f t="shared" si="1"/>
        <v>4650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73385</v>
      </c>
      <c r="F19" s="1836">
        <f t="shared" si="2"/>
        <v>0</v>
      </c>
      <c r="G19" s="1836">
        <f t="shared" si="2"/>
        <v>73385</v>
      </c>
      <c r="H19" s="1836">
        <f t="shared" si="2"/>
        <v>74650</v>
      </c>
      <c r="I19" s="1836">
        <f t="shared" si="2"/>
        <v>0</v>
      </c>
      <c r="J19" s="1836">
        <f t="shared" si="2"/>
        <v>74650</v>
      </c>
    </row>
    <row r="20" spans="1:10" ht="13.5" thickTop="1" x14ac:dyDescent="0.2">
      <c r="A20" s="1036">
        <v>9</v>
      </c>
      <c r="B20" s="2347" t="s">
        <v>1703</v>
      </c>
      <c r="C20" s="2347"/>
      <c r="D20" s="2348"/>
      <c r="E20" s="1047"/>
      <c r="F20" s="1047"/>
      <c r="G20" s="1047"/>
      <c r="H20" s="1047"/>
      <c r="I20" s="1047"/>
      <c r="J20" s="1837">
        <f>IF(AND(G19&gt;0,J19&gt;0),(((J19-G19)/G19)),"Enter Budget Data")</f>
        <v>1.7237855147509709E-2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West Lincoln-Broadwell ESD 92</v>
      </c>
    </row>
    <row r="65" spans="2:2" x14ac:dyDescent="0.2">
      <c r="B65" s="1071">
        <f>COVER!A13</f>
        <v>17054092004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0" sqref="D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Packager Shell Object" dvAspect="DVASPECT_ICON" shapeId="35843" r:id="rId6">
          <objectPr defaultSize="0" r:id="rId7">
            <anchor moveWithCells="1">
              <from>
                <xdr:col>1</xdr:col>
                <xdr:colOff>1971675</xdr:colOff>
                <xdr:row>5</xdr:row>
                <xdr:rowOff>76200</xdr:rowOff>
              </from>
              <to>
                <xdr:col>1</xdr:col>
                <xdr:colOff>2895600</xdr:colOff>
                <xdr:row>8</xdr:row>
                <xdr:rowOff>104775</xdr:rowOff>
              </to>
            </anchor>
          </objectPr>
        </oleObject>
      </mc:Choice>
      <mc:Fallback>
        <oleObject progId="Packager Shell Object" dvAspect="DVASPECT_ICON" shapeId="3584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80" sqref="D8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1871830</v>
      </c>
      <c r="C8" s="1838">
        <f>'Acct Summary 7-8'!D8</f>
        <v>87079</v>
      </c>
      <c r="D8" s="1838">
        <f>'Acct Summary 7-8'!F8</f>
        <v>204938</v>
      </c>
      <c r="E8" s="1838">
        <f>'Acct Summary 7-8'!I8</f>
        <v>23</v>
      </c>
      <c r="F8" s="1838">
        <f>SUM(B8:E8)</f>
        <v>2163870</v>
      </c>
    </row>
    <row r="9" spans="1:8" s="1080" customFormat="1" ht="14.25" customHeight="1" thickBot="1" x14ac:dyDescent="0.25">
      <c r="A9" s="1079" t="s">
        <v>1436</v>
      </c>
      <c r="B9" s="1839">
        <f>'Acct Summary 7-8'!C17</f>
        <v>2115928</v>
      </c>
      <c r="C9" s="1839">
        <f>'Acct Summary 7-8'!D17</f>
        <v>140311</v>
      </c>
      <c r="D9" s="1839">
        <f>'Acct Summary 7-8'!F17</f>
        <v>199594</v>
      </c>
      <c r="E9" s="1838"/>
      <c r="F9" s="1838">
        <f>SUM(B9:E9)</f>
        <v>2455833</v>
      </c>
    </row>
    <row r="10" spans="1:8" s="1080" customFormat="1" ht="14.25" thickTop="1" thickBot="1" x14ac:dyDescent="0.25">
      <c r="A10" s="1081" t="s">
        <v>1437</v>
      </c>
      <c r="B10" s="1840">
        <f>(B8-B9)</f>
        <v>-244098</v>
      </c>
      <c r="C10" s="1840">
        <f>(C8-C9)</f>
        <v>-53232</v>
      </c>
      <c r="D10" s="1840">
        <f>(D8-D9)</f>
        <v>5344</v>
      </c>
      <c r="E10" s="1839">
        <f>(E8-E9)</f>
        <v>23</v>
      </c>
      <c r="F10" s="1841">
        <f>SUM(F8-F9)</f>
        <v>-291963</v>
      </c>
    </row>
    <row r="11" spans="1:8" s="1080" customFormat="1" ht="14.25" thickTop="1" thickBot="1" x14ac:dyDescent="0.25">
      <c r="A11" s="1082" t="s">
        <v>1785</v>
      </c>
      <c r="B11" s="1842">
        <f>'Acct Summary 7-8'!C81</f>
        <v>469894</v>
      </c>
      <c r="C11" s="1842">
        <f>'Acct Summary 7-8'!D81</f>
        <v>67599</v>
      </c>
      <c r="D11" s="1842">
        <f>'Acct Summary 7-8'!F81</f>
        <v>96048</v>
      </c>
      <c r="E11" s="1842">
        <f>'Acct Summary 7-8'!I81</f>
        <v>546379</v>
      </c>
      <c r="F11" s="1843">
        <f>SUM(B11:E11)</f>
        <v>1179920</v>
      </c>
    </row>
    <row r="12" spans="1:8" ht="16.5" customHeight="1" thickTop="1" x14ac:dyDescent="0.2">
      <c r="A12" s="1083"/>
      <c r="B12" s="1084"/>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17054092004</v>
      </c>
    </row>
    <row r="3" spans="1:2" x14ac:dyDescent="0.2">
      <c r="A3" t="s">
        <v>1013</v>
      </c>
      <c r="B3" s="138" t="str">
        <f>COVER!A15</f>
        <v>Logan</v>
      </c>
    </row>
    <row r="4" spans="1:2" x14ac:dyDescent="0.2">
      <c r="A4" t="s">
        <v>1064</v>
      </c>
      <c r="B4" s="138" t="str">
        <f>COVER!A17</f>
        <v>West Lincoln-Broadwell ESD 92</v>
      </c>
    </row>
    <row r="5" spans="1:2" x14ac:dyDescent="0.2">
      <c r="A5" t="s">
        <v>728</v>
      </c>
      <c r="B5" s="138" t="str">
        <f>COVER!A38</f>
        <v>Heather Baker, Superintendent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065-015457</v>
      </c>
    </row>
    <row r="16" spans="1:2" x14ac:dyDescent="0.2">
      <c r="A16" t="s">
        <v>442</v>
      </c>
      <c r="B16" s="138" t="str">
        <f>COVER!T13</f>
        <v>Pamela J. Simpson, CPA</v>
      </c>
    </row>
    <row r="17" spans="1:2" x14ac:dyDescent="0.2">
      <c r="A17" t="s">
        <v>939</v>
      </c>
      <c r="B17" s="138" t="str">
        <f>COVER!T15</f>
        <v>Pamela J. Simpson</v>
      </c>
    </row>
    <row r="18" spans="1:2" x14ac:dyDescent="0.2">
      <c r="A18" t="s">
        <v>1212</v>
      </c>
      <c r="B18" s="138" t="str">
        <f>COVER!T17</f>
        <v>920 West Pershing Road</v>
      </c>
    </row>
    <row r="19" spans="1:2" x14ac:dyDescent="0.2">
      <c r="A19" t="s">
        <v>941</v>
      </c>
      <c r="B19" s="138" t="str">
        <f>COVER!T25</f>
        <v>pjscpa31a@aol.com</v>
      </c>
    </row>
    <row r="20" spans="1:2" x14ac:dyDescent="0.2">
      <c r="A20" t="s">
        <v>942</v>
      </c>
      <c r="B20" s="138" t="str">
        <f>COVER!T19</f>
        <v>Decatur</v>
      </c>
    </row>
    <row r="21" spans="1:2" x14ac:dyDescent="0.2">
      <c r="A21" t="s">
        <v>500</v>
      </c>
      <c r="B21" s="138" t="str">
        <f>COVER!X19</f>
        <v>IL</v>
      </c>
    </row>
    <row r="22" spans="1:2" x14ac:dyDescent="0.2">
      <c r="A22" t="s">
        <v>943</v>
      </c>
      <c r="B22" s="138">
        <f>COVER!Z19</f>
        <v>62526</v>
      </c>
    </row>
    <row r="23" spans="1:2" x14ac:dyDescent="0.2">
      <c r="A23" t="s">
        <v>1214</v>
      </c>
      <c r="B23" s="138" t="str">
        <f>COVER!T21</f>
        <v>(217) 872-1908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469894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469894</v>
      </c>
      <c r="D92" s="2" t="str">
        <f t="shared" si="0"/>
        <v>Error?</v>
      </c>
    </row>
    <row r="93" spans="1:4" x14ac:dyDescent="0.2">
      <c r="A93" s="5">
        <v>32</v>
      </c>
      <c r="B93" s="138">
        <f>'Assets-Liab 5-6'!C41</f>
        <v>469894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67599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67599</v>
      </c>
      <c r="D123" s="2" t="str">
        <f t="shared" si="0"/>
        <v>Error?</v>
      </c>
    </row>
    <row r="124" spans="1:4" x14ac:dyDescent="0.2">
      <c r="A124" s="5">
        <v>63</v>
      </c>
      <c r="B124" s="138">
        <f>'Assets-Liab 5-6'!D41</f>
        <v>67599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19777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19777</v>
      </c>
      <c r="D140" s="2" t="str">
        <f t="shared" si="1"/>
        <v>Error?</v>
      </c>
    </row>
    <row r="141" spans="1:4" x14ac:dyDescent="0.2">
      <c r="A141" s="5">
        <v>80</v>
      </c>
      <c r="B141" s="138">
        <f>'Assets-Liab 5-6'!E41</f>
        <v>19777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96048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96048</v>
      </c>
      <c r="D170" s="2" t="str">
        <f t="shared" si="1"/>
        <v>Error?</v>
      </c>
    </row>
    <row r="171" spans="1:4" x14ac:dyDescent="0.2">
      <c r="A171" s="5">
        <v>110</v>
      </c>
      <c r="B171" s="138">
        <f>'Assets-Liab 5-6'!F41</f>
        <v>96048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16125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6152</v>
      </c>
      <c r="D189" s="2" t="str">
        <f t="shared" si="1"/>
        <v>Error?</v>
      </c>
    </row>
    <row r="190" spans="1:4" x14ac:dyDescent="0.2">
      <c r="A190" s="5">
        <v>129</v>
      </c>
      <c r="B190" s="138">
        <f>'Assets-Liab 5-6'!G41</f>
        <v>16125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118530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118530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2144598</v>
      </c>
      <c r="D274" s="2" t="str">
        <f t="shared" si="3"/>
        <v>Error?</v>
      </c>
    </row>
    <row r="275" spans="1:4" x14ac:dyDescent="0.2">
      <c r="A275" s="5">
        <v>214</v>
      </c>
      <c r="B275" s="138">
        <f>'Assets-Liab 5-6'!M18</f>
        <v>29474</v>
      </c>
      <c r="D275" s="2" t="str">
        <f t="shared" si="3"/>
        <v>Error?</v>
      </c>
    </row>
    <row r="276" spans="1:4" x14ac:dyDescent="0.2">
      <c r="A276" s="5">
        <v>215</v>
      </c>
      <c r="B276" s="138">
        <f>'Assets-Liab 5-6'!M19</f>
        <v>215435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2404507</v>
      </c>
      <c r="C279" s="2" t="s">
        <v>594</v>
      </c>
      <c r="D279" s="2" t="str">
        <f t="shared" si="3"/>
        <v>Error?</v>
      </c>
    </row>
    <row r="280" spans="1:4" x14ac:dyDescent="0.2">
      <c r="A280" s="5">
        <v>219</v>
      </c>
      <c r="B280" s="138">
        <f>'Assets-Liab 5-6'!M40</f>
        <v>2404507</v>
      </c>
      <c r="D280" s="2" t="str">
        <f t="shared" si="3"/>
        <v>Error?</v>
      </c>
    </row>
    <row r="281" spans="1:4" x14ac:dyDescent="0.2">
      <c r="A281" s="5">
        <v>220</v>
      </c>
      <c r="B281" s="138">
        <f>'Assets-Liab 5-6'!M41</f>
        <v>2404507</v>
      </c>
      <c r="C281" s="2" t="s">
        <v>594</v>
      </c>
      <c r="D281" s="2" t="str">
        <f t="shared" si="3"/>
        <v>Error?</v>
      </c>
    </row>
    <row r="282" spans="1:4" x14ac:dyDescent="0.2">
      <c r="A282" s="5">
        <v>221</v>
      </c>
      <c r="B282" s="138">
        <f>'Assets-Liab 5-6'!N21</f>
        <v>19777</v>
      </c>
      <c r="D282" s="2" t="str">
        <f t="shared" si="3"/>
        <v>Error?</v>
      </c>
    </row>
    <row r="283" spans="1:4" x14ac:dyDescent="0.2">
      <c r="A283" s="5">
        <v>222</v>
      </c>
      <c r="B283" s="138">
        <f>'Assets-Liab 5-6'!N22</f>
        <v>1451223</v>
      </c>
      <c r="D283" s="2" t="str">
        <f t="shared" si="3"/>
        <v>Error?</v>
      </c>
    </row>
    <row r="284" spans="1:4" x14ac:dyDescent="0.2">
      <c r="A284" s="5">
        <v>223</v>
      </c>
      <c r="B284" s="138">
        <f>'Assets-Liab 5-6'!N23</f>
        <v>1471000</v>
      </c>
      <c r="C284" s="2" t="s">
        <v>594</v>
      </c>
      <c r="D284" s="2" t="str">
        <f t="shared" si="3"/>
        <v>Error?</v>
      </c>
    </row>
    <row r="285" spans="1:4" x14ac:dyDescent="0.2">
      <c r="A285" s="5">
        <v>224</v>
      </c>
      <c r="B285" s="138">
        <f>'Assets-Liab 5-6'!N36</f>
        <v>1471000</v>
      </c>
      <c r="D285" s="2" t="str">
        <f t="shared" si="3"/>
        <v>Error?</v>
      </c>
    </row>
    <row r="286" spans="1:4" x14ac:dyDescent="0.2">
      <c r="A286" s="10">
        <v>225</v>
      </c>
      <c r="D286" s="2" t="str">
        <f t="shared" si="3"/>
        <v>OK</v>
      </c>
    </row>
    <row r="287" spans="1:4" x14ac:dyDescent="0.2">
      <c r="A287" s="5">
        <v>226</v>
      </c>
      <c r="B287" s="138">
        <f>'Assets-Liab 5-6'!N37</f>
        <v>1471000</v>
      </c>
      <c r="C287" s="2" t="s">
        <v>594</v>
      </c>
      <c r="D287" s="2" t="str">
        <f t="shared" si="3"/>
        <v>Error?</v>
      </c>
    </row>
    <row r="288" spans="1:4" x14ac:dyDescent="0.2">
      <c r="A288" s="5">
        <v>227</v>
      </c>
      <c r="B288" s="138">
        <f>'Assets-Liab 5-6'!N41</f>
        <v>1471000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400000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886164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15120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1136558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32805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32805</v>
      </c>
      <c r="C731" s="2" t="s">
        <v>594</v>
      </c>
      <c r="D731" s="2" t="str">
        <f t="shared" si="10"/>
        <v>Error?</v>
      </c>
    </row>
    <row r="732" spans="1:4" x14ac:dyDescent="0.2">
      <c r="A732" s="5">
        <v>671</v>
      </c>
      <c r="B732" s="138">
        <f>'Expenditures 15-22'!C49</f>
        <v>2955</v>
      </c>
      <c r="D732" s="2" t="str">
        <f t="shared" si="10"/>
        <v>Error?</v>
      </c>
    </row>
    <row r="733" spans="1:4" x14ac:dyDescent="0.2">
      <c r="A733" s="5">
        <v>672</v>
      </c>
      <c r="B733" s="138">
        <f>'Expenditures 15-22'!C50</f>
        <v>55066</v>
      </c>
      <c r="D733" s="2" t="str">
        <f t="shared" si="10"/>
        <v>Error?</v>
      </c>
    </row>
    <row r="734" spans="1:4" x14ac:dyDescent="0.2">
      <c r="A734" s="5">
        <v>673</v>
      </c>
      <c r="B734" s="138">
        <f>'Expenditures 15-22'!C53</f>
        <v>58021</v>
      </c>
      <c r="C734" s="2" t="s">
        <v>594</v>
      </c>
      <c r="D734" s="2" t="str">
        <f t="shared" si="10"/>
        <v>Error?</v>
      </c>
    </row>
    <row r="735" spans="1:4" x14ac:dyDescent="0.2">
      <c r="A735" s="5">
        <v>674</v>
      </c>
      <c r="B735" s="138">
        <f>'Expenditures 15-22'!C55</f>
        <v>161503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161503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36477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17984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54461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306790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1443348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185928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211459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12606</v>
      </c>
      <c r="D791" s="2" t="str">
        <f t="shared" si="11"/>
        <v>Error?</v>
      </c>
    </row>
    <row r="792" spans="1:4" x14ac:dyDescent="0.2">
      <c r="A792" s="5">
        <v>731</v>
      </c>
      <c r="B792" s="138">
        <f>'Expenditures 15-22'!D53</f>
        <v>12606</v>
      </c>
      <c r="C792" s="2" t="s">
        <v>594</v>
      </c>
      <c r="D792" s="2" t="str">
        <f t="shared" si="11"/>
        <v>Error?</v>
      </c>
    </row>
    <row r="793" spans="1:4" x14ac:dyDescent="0.2">
      <c r="A793" s="5">
        <v>732</v>
      </c>
      <c r="B793" s="138">
        <f>'Expenditures 15-22'!D55</f>
        <v>29088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29088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41694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253153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18036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24650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3018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3018</v>
      </c>
      <c r="C843" s="2" t="s">
        <v>594</v>
      </c>
      <c r="D843" s="2" t="str">
        <f t="shared" si="12"/>
        <v>Error?</v>
      </c>
    </row>
    <row r="844" spans="1:4" x14ac:dyDescent="0.2">
      <c r="A844" s="5">
        <v>783</v>
      </c>
      <c r="B844" s="138">
        <f>'Expenditures 15-22'!E44</f>
        <v>5044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1365</v>
      </c>
      <c r="D846" s="2" t="str">
        <f t="shared" si="12"/>
        <v>Error?</v>
      </c>
    </row>
    <row r="847" spans="1:4" x14ac:dyDescent="0.2">
      <c r="A847" s="5">
        <v>786</v>
      </c>
      <c r="B847" s="138">
        <f>'Expenditures 15-22'!E47</f>
        <v>6409</v>
      </c>
      <c r="C847" s="2" t="s">
        <v>594</v>
      </c>
      <c r="D847" s="2" t="str">
        <f t="shared" si="12"/>
        <v>Error?</v>
      </c>
    </row>
    <row r="848" spans="1:4" x14ac:dyDescent="0.2">
      <c r="A848" s="5">
        <v>787</v>
      </c>
      <c r="B848" s="138">
        <f>'Expenditures 15-22'!E49</f>
        <v>15888</v>
      </c>
      <c r="D848" s="2" t="str">
        <f t="shared" si="12"/>
        <v>Error?</v>
      </c>
    </row>
    <row r="849" spans="1:4" x14ac:dyDescent="0.2">
      <c r="A849" s="5">
        <v>788</v>
      </c>
      <c r="B849" s="138">
        <f>'Expenditures 15-22'!E50</f>
        <v>1086</v>
      </c>
      <c r="D849" s="2" t="str">
        <f t="shared" si="12"/>
        <v>Error?</v>
      </c>
    </row>
    <row r="850" spans="1:4" x14ac:dyDescent="0.2">
      <c r="A850" s="5">
        <v>789</v>
      </c>
      <c r="B850" s="138">
        <f>'Expenditures 15-22'!E53</f>
        <v>16974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1597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61720</v>
      </c>
      <c r="D858" s="2" t="str">
        <f t="shared" si="12"/>
        <v>Error?</v>
      </c>
    </row>
    <row r="859" spans="1:4" x14ac:dyDescent="0.2">
      <c r="A859" s="5">
        <v>798</v>
      </c>
      <c r="B859" s="138">
        <f>'Expenditures 15-22'!E64</f>
        <v>4453</v>
      </c>
      <c r="D859" s="2" t="str">
        <f t="shared" si="12"/>
        <v>Error?</v>
      </c>
    </row>
    <row r="860" spans="1:4" x14ac:dyDescent="0.2">
      <c r="A860" s="10">
        <v>799</v>
      </c>
      <c r="D860" s="2" t="str">
        <f t="shared" si="12"/>
        <v>OK</v>
      </c>
    </row>
    <row r="861" spans="1:4" x14ac:dyDescent="0.2">
      <c r="A861" s="5">
        <v>800</v>
      </c>
      <c r="B861" s="138">
        <f>'Expenditures 15-22'!E65</f>
        <v>67770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94171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212506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27996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3250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50833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1702</v>
      </c>
      <c r="C905" s="2" t="s">
        <v>594</v>
      </c>
      <c r="D905" s="2" t="str">
        <f t="shared" si="13"/>
        <v>Error?</v>
      </c>
    </row>
    <row r="906" spans="1:4" x14ac:dyDescent="0.2">
      <c r="A906" s="5">
        <v>845</v>
      </c>
      <c r="B906" s="138">
        <f>'Expenditures 15-22'!F49</f>
        <v>668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668</v>
      </c>
      <c r="C908" s="2" t="s">
        <v>594</v>
      </c>
      <c r="D908" s="2" t="str">
        <f t="shared" si="13"/>
        <v>Error?</v>
      </c>
    </row>
    <row r="909" spans="1:4" x14ac:dyDescent="0.2">
      <c r="A909" s="5">
        <v>848</v>
      </c>
      <c r="B909" s="138">
        <f>'Expenditures 15-22'!F55</f>
        <v>401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6779</v>
      </c>
      <c r="D916" s="2" t="str">
        <f t="shared" si="13"/>
        <v>Error?</v>
      </c>
    </row>
    <row r="917" spans="1:4" x14ac:dyDescent="0.2">
      <c r="A917" s="5">
        <v>856</v>
      </c>
      <c r="B917" s="138">
        <f>'Expenditures 15-22'!F64</f>
        <v>124</v>
      </c>
      <c r="D917" s="2" t="str">
        <f t="shared" si="13"/>
        <v>Error?</v>
      </c>
    </row>
    <row r="918" spans="1:4" x14ac:dyDescent="0.2">
      <c r="A918" s="10">
        <v>857</v>
      </c>
      <c r="D918" s="2" t="str">
        <f t="shared" si="13"/>
        <v>OK</v>
      </c>
    </row>
    <row r="919" spans="1:4" x14ac:dyDescent="0.2">
      <c r="A919" s="5">
        <v>858</v>
      </c>
      <c r="B919" s="138">
        <f>'Expenditures 15-22'!F65</f>
        <v>8731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11502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62335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4323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11269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77819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2441</v>
      </c>
      <c r="D1022" s="2" t="str">
        <f t="shared" si="14"/>
        <v>Error?</v>
      </c>
    </row>
    <row r="1023" spans="1:4" x14ac:dyDescent="0.2">
      <c r="A1023" s="5">
        <v>962</v>
      </c>
      <c r="B1023" s="138">
        <f>'Expenditures 15-22'!H50</f>
        <v>50</v>
      </c>
      <c r="D1023" s="2" t="str">
        <f t="shared" ref="D1023:D1086" si="15">IF(ISBLANK(B1023),"OK",IF(A1023-B1023=0,"OK","Error?"))</f>
        <v>Error?</v>
      </c>
    </row>
    <row r="1024" spans="1:4" x14ac:dyDescent="0.2">
      <c r="A1024" s="5">
        <v>963</v>
      </c>
      <c r="B1024" s="138">
        <f>'Expenditures 15-22'!H53</f>
        <v>2491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2876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59568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140263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1108089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49377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1505642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3018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3018</v>
      </c>
      <c r="C1115" s="2" t="s">
        <v>594</v>
      </c>
      <c r="D1115" s="2" t="str">
        <f t="shared" si="16"/>
        <v>Error?</v>
      </c>
    </row>
    <row r="1116" spans="1:4" x14ac:dyDescent="0.2">
      <c r="A1116" s="5">
        <v>1055</v>
      </c>
      <c r="B1116" s="138">
        <f>'Expenditures 15-22'!K44</f>
        <v>37849</v>
      </c>
      <c r="C1116" s="2" t="s">
        <v>594</v>
      </c>
      <c r="D1116" s="2" t="str">
        <f t="shared" si="16"/>
        <v>Error?</v>
      </c>
    </row>
    <row r="1117" spans="1:4" x14ac:dyDescent="0.2">
      <c r="A1117" s="5">
        <v>1056</v>
      </c>
      <c r="B1117" s="138">
        <f>'Expenditures 15-22'!K45</f>
        <v>1702</v>
      </c>
      <c r="C1117" s="2" t="s">
        <v>594</v>
      </c>
      <c r="D1117" s="2" t="str">
        <f t="shared" si="16"/>
        <v>Error?</v>
      </c>
    </row>
    <row r="1118" spans="1:4" x14ac:dyDescent="0.2">
      <c r="A1118" s="5">
        <v>1057</v>
      </c>
      <c r="B1118" s="138">
        <f>'Expenditures 15-22'!K46</f>
        <v>1365</v>
      </c>
      <c r="C1118" s="2" t="s">
        <v>594</v>
      </c>
      <c r="D1118" s="2" t="str">
        <f t="shared" si="16"/>
        <v>Error?</v>
      </c>
    </row>
    <row r="1119" spans="1:4" x14ac:dyDescent="0.2">
      <c r="A1119" s="5">
        <v>1058</v>
      </c>
      <c r="B1119" s="138">
        <f>'Expenditures 15-22'!K47</f>
        <v>40916</v>
      </c>
      <c r="C1119" s="2" t="s">
        <v>594</v>
      </c>
      <c r="D1119" s="2" t="str">
        <f t="shared" si="16"/>
        <v>Error?</v>
      </c>
    </row>
    <row r="1120" spans="1:4" x14ac:dyDescent="0.2">
      <c r="A1120" s="5">
        <v>1059</v>
      </c>
      <c r="B1120" s="138">
        <f>'Expenditures 15-22'!K49</f>
        <v>21952</v>
      </c>
      <c r="C1120" s="2" t="s">
        <v>594</v>
      </c>
      <c r="D1120" s="2" t="str">
        <f t="shared" si="16"/>
        <v>Error?</v>
      </c>
    </row>
    <row r="1121" spans="1:4" x14ac:dyDescent="0.2">
      <c r="A1121" s="5">
        <v>1060</v>
      </c>
      <c r="B1121" s="138">
        <f>'Expenditures 15-22'!K50</f>
        <v>68808</v>
      </c>
      <c r="C1121" s="2" t="s">
        <v>594</v>
      </c>
      <c r="D1121" s="2" t="str">
        <f t="shared" si="16"/>
        <v>Error?</v>
      </c>
    </row>
    <row r="1122" spans="1:4" x14ac:dyDescent="0.2">
      <c r="A1122" s="5">
        <v>1061</v>
      </c>
      <c r="B1122" s="138">
        <f>'Expenditures 15-22'!K53</f>
        <v>90760</v>
      </c>
      <c r="C1122" s="2" t="s">
        <v>594</v>
      </c>
      <c r="D1122" s="2" t="str">
        <f t="shared" si="16"/>
        <v>Error?</v>
      </c>
    </row>
    <row r="1123" spans="1:4" x14ac:dyDescent="0.2">
      <c r="A1123" s="5">
        <v>1062</v>
      </c>
      <c r="B1123" s="138">
        <f>'Expenditures 15-22'!K55</f>
        <v>191377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191377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39902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86483</v>
      </c>
      <c r="C1130" s="2" t="s">
        <v>594</v>
      </c>
      <c r="D1130" s="2" t="str">
        <f t="shared" si="16"/>
        <v>Error?</v>
      </c>
    </row>
    <row r="1131" spans="1:4" x14ac:dyDescent="0.2">
      <c r="A1131" s="5">
        <v>1070</v>
      </c>
      <c r="B1131" s="138">
        <f>'Expenditures 15-22'!K64</f>
        <v>4577</v>
      </c>
      <c r="C1131" s="2" t="s">
        <v>594</v>
      </c>
      <c r="D1131" s="2" t="str">
        <f t="shared" si="16"/>
        <v>Error?</v>
      </c>
    </row>
    <row r="1132" spans="1:4" x14ac:dyDescent="0.2">
      <c r="A1132" s="10">
        <v>1071</v>
      </c>
      <c r="D1132" s="2" t="str">
        <f t="shared" si="16"/>
        <v>OK</v>
      </c>
    </row>
    <row r="1133" spans="1:4" x14ac:dyDescent="0.2">
      <c r="A1133" s="5">
        <v>1072</v>
      </c>
      <c r="B1133" s="138">
        <f>'Expenditures 15-22'!K65</f>
        <v>130962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457033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153253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2115928</v>
      </c>
      <c r="C1152" s="2" t="s">
        <v>594</v>
      </c>
      <c r="D1152" s="2" t="str">
        <f t="shared" si="17"/>
        <v>Error?</v>
      </c>
    </row>
    <row r="1153" spans="1:4" x14ac:dyDescent="0.2">
      <c r="A1153" s="5">
        <v>1092</v>
      </c>
      <c r="B1153" s="138">
        <f>'Expenditures 15-22'!K115</f>
        <v>-244098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57750</v>
      </c>
      <c r="D1221" s="2" t="str">
        <f t="shared" si="18"/>
        <v>Error?</v>
      </c>
    </row>
    <row r="1222" spans="1:4" x14ac:dyDescent="0.2">
      <c r="A1222" s="10">
        <v>1161</v>
      </c>
      <c r="D1222" s="2" t="str">
        <f t="shared" si="18"/>
        <v>OK</v>
      </c>
    </row>
    <row r="1223" spans="1:4" x14ac:dyDescent="0.2">
      <c r="A1223" s="5">
        <v>1162</v>
      </c>
      <c r="B1223" s="138">
        <f>'Expenditures 15-22'!C127</f>
        <v>57750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57750</v>
      </c>
      <c r="C1225" s="2" t="s">
        <v>594</v>
      </c>
      <c r="D1225" s="2" t="str">
        <f t="shared" si="18"/>
        <v>Error?</v>
      </c>
    </row>
    <row r="1226" spans="1:4" x14ac:dyDescent="0.2">
      <c r="A1226" s="5">
        <v>1165</v>
      </c>
      <c r="B1226" s="138">
        <f>'Expenditures 15-22'!C151</f>
        <v>57750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1817</v>
      </c>
      <c r="D1229" s="2" t="str">
        <f t="shared" si="18"/>
        <v>Error?</v>
      </c>
    </row>
    <row r="1230" spans="1:4" x14ac:dyDescent="0.2">
      <c r="A1230" s="10">
        <v>1169</v>
      </c>
      <c r="D1230" s="2" t="str">
        <f t="shared" si="18"/>
        <v>OK</v>
      </c>
    </row>
    <row r="1231" spans="1:4" x14ac:dyDescent="0.2">
      <c r="A1231" s="5">
        <v>1170</v>
      </c>
      <c r="B1231" s="138">
        <f>'Expenditures 15-22'!D127</f>
        <v>1817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1817</v>
      </c>
      <c r="C1233" s="2" t="s">
        <v>594</v>
      </c>
      <c r="D1233" s="2" t="str">
        <f t="shared" si="18"/>
        <v>Error?</v>
      </c>
    </row>
    <row r="1234" spans="1:4" x14ac:dyDescent="0.2">
      <c r="A1234" s="5">
        <v>1173</v>
      </c>
      <c r="B1234" s="138">
        <f>'Expenditures 15-22'!D151</f>
        <v>1817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26828</v>
      </c>
      <c r="D1237" s="2" t="str">
        <f t="shared" si="18"/>
        <v>Error?</v>
      </c>
    </row>
    <row r="1238" spans="1:4" x14ac:dyDescent="0.2">
      <c r="A1238" s="10">
        <v>1177</v>
      </c>
      <c r="D1238" s="2" t="str">
        <f t="shared" si="18"/>
        <v>OK</v>
      </c>
    </row>
    <row r="1239" spans="1:4" x14ac:dyDescent="0.2">
      <c r="A1239" s="5">
        <v>1178</v>
      </c>
      <c r="B1239" s="138">
        <f>'Expenditures 15-22'!E127</f>
        <v>26828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26828</v>
      </c>
      <c r="C1241" s="2" t="s">
        <v>594</v>
      </c>
      <c r="D1241" s="2" t="str">
        <f t="shared" si="18"/>
        <v>Error?</v>
      </c>
    </row>
    <row r="1242" spans="1:4" x14ac:dyDescent="0.2">
      <c r="A1242" s="5">
        <v>1181</v>
      </c>
      <c r="B1242" s="138">
        <f>'Expenditures 15-22'!E151</f>
        <v>26828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53916</v>
      </c>
      <c r="D1245" s="2" t="str">
        <f t="shared" si="18"/>
        <v>Error?</v>
      </c>
    </row>
    <row r="1246" spans="1:4" x14ac:dyDescent="0.2">
      <c r="A1246" s="10">
        <v>1185</v>
      </c>
      <c r="D1246" s="2" t="str">
        <f t="shared" si="18"/>
        <v>OK</v>
      </c>
    </row>
    <row r="1247" spans="1:4" x14ac:dyDescent="0.2">
      <c r="A1247" s="5">
        <v>1186</v>
      </c>
      <c r="B1247" s="138">
        <f>'Expenditures 15-22'!F127</f>
        <v>53916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53916</v>
      </c>
      <c r="C1249" s="2" t="s">
        <v>594</v>
      </c>
      <c r="D1249" s="2" t="str">
        <f t="shared" si="18"/>
        <v>Error?</v>
      </c>
    </row>
    <row r="1250" spans="1:4" x14ac:dyDescent="0.2">
      <c r="A1250" s="5">
        <v>1189</v>
      </c>
      <c r="B1250" s="138">
        <f>'Expenditures 15-22'!F151</f>
        <v>53916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140311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140311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140311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140311</v>
      </c>
      <c r="C1288" s="2" t="s">
        <v>594</v>
      </c>
      <c r="D1288" s="2" t="str">
        <f t="shared" si="19"/>
        <v>Error?</v>
      </c>
    </row>
    <row r="1289" spans="1:4" x14ac:dyDescent="0.2">
      <c r="A1289" s="5">
        <v>1228</v>
      </c>
      <c r="B1289" s="138">
        <f>'Expenditures 15-22'!K152</f>
        <v>-53232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65530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283000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349030</v>
      </c>
      <c r="C1317" s="2" t="s">
        <v>594</v>
      </c>
      <c r="D1317" s="2" t="str">
        <f t="shared" si="19"/>
        <v>Error?</v>
      </c>
    </row>
    <row r="1318" spans="1:4" x14ac:dyDescent="0.2">
      <c r="A1318" s="5">
        <v>1257</v>
      </c>
      <c r="B1318" s="138">
        <f>'Expenditures 15-22'!H174</f>
        <v>349030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65530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283000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349030</v>
      </c>
      <c r="C1331" s="2" t="s">
        <v>594</v>
      </c>
      <c r="D1331" s="2" t="str">
        <f t="shared" si="19"/>
        <v>Error?</v>
      </c>
    </row>
    <row r="1332" spans="1:4" x14ac:dyDescent="0.2">
      <c r="A1332" s="5">
        <v>1271</v>
      </c>
      <c r="B1332" s="138">
        <f>'Expenditures 15-22'!K174</f>
        <v>349030</v>
      </c>
      <c r="C1332" s="2" t="s">
        <v>594</v>
      </c>
      <c r="D1332" s="2" t="str">
        <f t="shared" si="19"/>
        <v>Error?</v>
      </c>
    </row>
    <row r="1333" spans="1:4" x14ac:dyDescent="0.2">
      <c r="A1333" s="5">
        <v>1272</v>
      </c>
      <c r="B1333" s="138">
        <f>'Expenditures 15-22'!K175</f>
        <v>-22504</v>
      </c>
      <c r="C1333" s="2" t="s">
        <v>594</v>
      </c>
      <c r="D1333" s="2" t="str">
        <f t="shared" si="19"/>
        <v>Error?</v>
      </c>
    </row>
    <row r="1334" spans="1:4" x14ac:dyDescent="0.2">
      <c r="A1334" s="10">
        <v>1273</v>
      </c>
      <c r="D1334" s="2" t="str">
        <f t="shared" si="19"/>
        <v>OK</v>
      </c>
    </row>
    <row r="1335" spans="1:4" x14ac:dyDescent="0.2">
      <c r="A1335" s="5">
        <v>1274</v>
      </c>
      <c r="B1335" s="138">
        <f>'Expenditures 15-22'!C182</f>
        <v>101144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101144</v>
      </c>
      <c r="C1339" s="2" t="s">
        <v>594</v>
      </c>
      <c r="D1339" s="2" t="str">
        <f t="shared" si="19"/>
        <v>Error?</v>
      </c>
    </row>
    <row r="1340" spans="1:4" x14ac:dyDescent="0.2">
      <c r="A1340" s="5">
        <v>1279</v>
      </c>
      <c r="B1340" s="138">
        <f>'Expenditures 15-22'!C210</f>
        <v>101144</v>
      </c>
      <c r="C1340" s="2" t="s">
        <v>594</v>
      </c>
      <c r="D1340" s="2" t="str">
        <f t="shared" si="19"/>
        <v>Error?</v>
      </c>
    </row>
    <row r="1341" spans="1:4" x14ac:dyDescent="0.2">
      <c r="A1341" s="5">
        <v>1280</v>
      </c>
      <c r="B1341" s="138">
        <f>'Expenditures 15-22'!D182</f>
        <v>1818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1818</v>
      </c>
      <c r="C1345" s="2" t="s">
        <v>594</v>
      </c>
      <c r="D1345" s="2" t="str">
        <f t="shared" si="20"/>
        <v>Error?</v>
      </c>
    </row>
    <row r="1346" spans="1:4" x14ac:dyDescent="0.2">
      <c r="A1346" s="5">
        <v>1285</v>
      </c>
      <c r="B1346" s="138">
        <f>'Expenditures 15-22'!D210</f>
        <v>1818</v>
      </c>
      <c r="C1346" s="2" t="s">
        <v>594</v>
      </c>
      <c r="D1346" s="2" t="str">
        <f t="shared" si="20"/>
        <v>Error?</v>
      </c>
    </row>
    <row r="1347" spans="1:4" x14ac:dyDescent="0.2">
      <c r="A1347" s="5">
        <v>1286</v>
      </c>
      <c r="B1347" s="138">
        <f>'Expenditures 15-22'!E182</f>
        <v>14468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14468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14468</v>
      </c>
      <c r="C1353" s="2" t="s">
        <v>594</v>
      </c>
      <c r="D1353" s="2" t="str">
        <f t="shared" si="20"/>
        <v>Error?</v>
      </c>
    </row>
    <row r="1354" spans="1:4" x14ac:dyDescent="0.2">
      <c r="A1354" s="5">
        <v>1293</v>
      </c>
      <c r="B1354" s="138">
        <f>'Expenditures 15-22'!F182</f>
        <v>19852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19852</v>
      </c>
      <c r="C1358" s="2" t="s">
        <v>594</v>
      </c>
      <c r="D1358" s="2" t="str">
        <f t="shared" si="20"/>
        <v>Error?</v>
      </c>
    </row>
    <row r="1359" spans="1:4" x14ac:dyDescent="0.2">
      <c r="A1359" s="5">
        <v>1298</v>
      </c>
      <c r="B1359" s="138">
        <f>'Expenditures 15-22'!F210</f>
        <v>19852</v>
      </c>
      <c r="C1359" s="2" t="s">
        <v>594</v>
      </c>
      <c r="D1359" s="2" t="str">
        <f t="shared" si="20"/>
        <v>Error?</v>
      </c>
    </row>
    <row r="1360" spans="1:4" x14ac:dyDescent="0.2">
      <c r="A1360" s="5">
        <v>1299</v>
      </c>
      <c r="B1360" s="138">
        <f>'Expenditures 15-22'!G182</f>
        <v>62312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62312</v>
      </c>
      <c r="C1364" s="2" t="s">
        <v>594</v>
      </c>
      <c r="D1364" s="2" t="str">
        <f t="shared" si="20"/>
        <v>Error?</v>
      </c>
    </row>
    <row r="1365" spans="1:4" x14ac:dyDescent="0.2">
      <c r="A1365" s="5">
        <v>1304</v>
      </c>
      <c r="B1365" s="138">
        <f>'Expenditures 15-22'!G210</f>
        <v>62312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199594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199594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199594</v>
      </c>
      <c r="C1388" s="2" t="s">
        <v>594</v>
      </c>
      <c r="D1388" s="2" t="str">
        <f t="shared" si="20"/>
        <v>Error?</v>
      </c>
    </row>
    <row r="1389" spans="1:4" x14ac:dyDescent="0.2">
      <c r="A1389" s="5">
        <v>1328</v>
      </c>
      <c r="B1389" s="138">
        <f>'Expenditures 15-22'!K211</f>
        <v>5344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30075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9713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9713</v>
      </c>
      <c r="C1421" s="2" t="s">
        <v>594</v>
      </c>
      <c r="D1421" s="2" t="str">
        <f t="shared" si="21"/>
        <v>Error?</v>
      </c>
    </row>
    <row r="1422" spans="1:4" x14ac:dyDescent="0.2">
      <c r="A1422" s="5">
        <v>1361</v>
      </c>
      <c r="B1422" s="138">
        <f>'Expenditures 15-22'!D245</f>
        <v>420</v>
      </c>
      <c r="D1422" s="2" t="str">
        <f t="shared" si="21"/>
        <v>Error?</v>
      </c>
    </row>
    <row r="1423" spans="1:4" x14ac:dyDescent="0.2">
      <c r="A1423" s="5">
        <v>1362</v>
      </c>
      <c r="B1423" s="138">
        <f>'Expenditures 15-22'!D246</f>
        <v>3121</v>
      </c>
      <c r="D1423" s="2" t="str">
        <f t="shared" si="21"/>
        <v>Error?</v>
      </c>
    </row>
    <row r="1424" spans="1:4" x14ac:dyDescent="0.2">
      <c r="A1424" s="5">
        <v>1363</v>
      </c>
      <c r="B1424" s="138">
        <f>'Expenditures 15-22'!D257</f>
        <v>3541</v>
      </c>
      <c r="C1424" s="2" t="s">
        <v>594</v>
      </c>
      <c r="D1424" s="2" t="str">
        <f t="shared" si="21"/>
        <v>Error?</v>
      </c>
    </row>
    <row r="1425" spans="1:4" x14ac:dyDescent="0.2">
      <c r="A1425" s="5">
        <v>1364</v>
      </c>
      <c r="B1425" s="138">
        <f>'Expenditures 15-22'!D259</f>
        <v>5714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5714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7336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8971</v>
      </c>
      <c r="D1431" s="2" t="str">
        <f t="shared" si="21"/>
        <v>Error?</v>
      </c>
    </row>
    <row r="1432" spans="1:4" x14ac:dyDescent="0.2">
      <c r="A1432" s="5">
        <v>1371</v>
      </c>
      <c r="B1432" s="138">
        <f>'Expenditures 15-22'!D267</f>
        <v>16032</v>
      </c>
      <c r="D1432" s="2" t="str">
        <f t="shared" si="21"/>
        <v>Error?</v>
      </c>
    </row>
    <row r="1433" spans="1:4" x14ac:dyDescent="0.2">
      <c r="A1433" s="5">
        <v>1372</v>
      </c>
      <c r="B1433" s="138">
        <f>'Expenditures 15-22'!D268</f>
        <v>3536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35875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54843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84918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276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30075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9713</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9713</v>
      </c>
      <c r="C1485" s="2" t="s">
        <v>594</v>
      </c>
      <c r="D1485" s="2" t="str">
        <f t="shared" si="22"/>
        <v>Error?</v>
      </c>
    </row>
    <row r="1486" spans="1:4" x14ac:dyDescent="0.2">
      <c r="A1486" s="5">
        <v>1425</v>
      </c>
      <c r="B1486" s="138">
        <f>'Expenditures 15-22'!K245</f>
        <v>420</v>
      </c>
      <c r="C1486" s="2" t="s">
        <v>594</v>
      </c>
      <c r="D1486" s="2" t="str">
        <f t="shared" si="22"/>
        <v>Error?</v>
      </c>
    </row>
    <row r="1487" spans="1:4" x14ac:dyDescent="0.2">
      <c r="A1487" s="5">
        <v>1426</v>
      </c>
      <c r="B1487" s="138">
        <f>'Expenditures 15-22'!K246</f>
        <v>3121</v>
      </c>
      <c r="C1487" s="2" t="s">
        <v>594</v>
      </c>
      <c r="D1487" s="2" t="str">
        <f t="shared" si="22"/>
        <v>Error?</v>
      </c>
    </row>
    <row r="1488" spans="1:4" x14ac:dyDescent="0.2">
      <c r="A1488" s="5">
        <v>1427</v>
      </c>
      <c r="B1488" s="138">
        <f>'Expenditures 15-22'!K257</f>
        <v>3541</v>
      </c>
      <c r="C1488" s="2" t="s">
        <v>594</v>
      </c>
      <c r="D1488" s="2" t="str">
        <f t="shared" si="22"/>
        <v>Error?</v>
      </c>
    </row>
    <row r="1489" spans="1:4" x14ac:dyDescent="0.2">
      <c r="A1489" s="5">
        <v>1428</v>
      </c>
      <c r="B1489" s="138">
        <f>'Expenditures 15-22'!K259</f>
        <v>5714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5714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7336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8971</v>
      </c>
      <c r="C1495" s="2" t="s">
        <v>594</v>
      </c>
      <c r="D1495" s="2" t="str">
        <f t="shared" si="22"/>
        <v>Error?</v>
      </c>
    </row>
    <row r="1496" spans="1:4" x14ac:dyDescent="0.2">
      <c r="A1496" s="5">
        <v>1435</v>
      </c>
      <c r="B1496" s="138">
        <f>'Expenditures 15-22'!K267</f>
        <v>16032</v>
      </c>
      <c r="C1496" s="2" t="s">
        <v>594</v>
      </c>
      <c r="D1496" s="2" t="str">
        <f t="shared" si="22"/>
        <v>Error?</v>
      </c>
    </row>
    <row r="1497" spans="1:4" x14ac:dyDescent="0.2">
      <c r="A1497" s="5">
        <v>1436</v>
      </c>
      <c r="B1497" s="138">
        <f>'Expenditures 15-22'!K268</f>
        <v>3536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35875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54843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84918</v>
      </c>
      <c r="C1517" s="2" t="s">
        <v>594</v>
      </c>
      <c r="D1517" s="2" t="str">
        <f t="shared" si="22"/>
        <v>Error?</v>
      </c>
    </row>
    <row r="1518" spans="1:4" x14ac:dyDescent="0.2">
      <c r="A1518" s="5">
        <v>1457</v>
      </c>
      <c r="B1518" s="138">
        <f>'Expenditures 15-22'!K296</f>
        <v>4740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3082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3082</v>
      </c>
      <c r="C1535" s="2" t="s">
        <v>594</v>
      </c>
      <c r="D1535" s="2" t="str">
        <f t="shared" ref="D1535:D1598" si="23">IF(ISBLANK(B1535),"OK",IF(A1535-B1535=0,"OK","Error?"))</f>
        <v>Error?</v>
      </c>
    </row>
    <row r="1536" spans="1:4" x14ac:dyDescent="0.2">
      <c r="A1536" s="5">
        <v>1475</v>
      </c>
      <c r="B1536" s="138">
        <f>'Expenditures 15-22'!E312</f>
        <v>3082</v>
      </c>
      <c r="C1536" s="2" t="s">
        <v>594</v>
      </c>
      <c r="D1536" s="2" t="str">
        <f t="shared" si="23"/>
        <v>Error?</v>
      </c>
    </row>
    <row r="1537" spans="1:4" x14ac:dyDescent="0.2">
      <c r="A1537" s="5">
        <v>1476</v>
      </c>
      <c r="B1537" s="138">
        <f>'Expenditures 15-22'!F301</f>
        <v>230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230</v>
      </c>
      <c r="C1541" s="2" t="s">
        <v>594</v>
      </c>
      <c r="D1541" s="2" t="str">
        <f t="shared" si="23"/>
        <v>Error?</v>
      </c>
    </row>
    <row r="1542" spans="1:4" x14ac:dyDescent="0.2">
      <c r="A1542" s="5">
        <v>1481</v>
      </c>
      <c r="B1542" s="138">
        <f>'Expenditures 15-22'!F312</f>
        <v>230</v>
      </c>
      <c r="C1542" s="2" t="s">
        <v>594</v>
      </c>
      <c r="D1542" s="2" t="str">
        <f t="shared" si="23"/>
        <v>Error?</v>
      </c>
    </row>
    <row r="1543" spans="1:4" x14ac:dyDescent="0.2">
      <c r="A1543" s="5">
        <v>1482</v>
      </c>
      <c r="B1543" s="138">
        <f>'Expenditures 15-22'!G301</f>
        <v>13008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13008</v>
      </c>
      <c r="C1547" s="2" t="s">
        <v>594</v>
      </c>
      <c r="D1547" s="2" t="str">
        <f t="shared" si="23"/>
        <v>Error?</v>
      </c>
    </row>
    <row r="1548" spans="1:4" x14ac:dyDescent="0.2">
      <c r="A1548" s="5">
        <v>1487</v>
      </c>
      <c r="B1548" s="138">
        <f>'Expenditures 15-22'!G312</f>
        <v>13008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16320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16320</v>
      </c>
      <c r="C1559" s="2" t="s">
        <v>594</v>
      </c>
      <c r="D1559" s="2" t="str">
        <f t="shared" si="23"/>
        <v>Error?</v>
      </c>
    </row>
    <row r="1560" spans="1:4" x14ac:dyDescent="0.2">
      <c r="A1560" s="5">
        <v>1499</v>
      </c>
      <c r="B1560" s="138">
        <f>'Expenditures 15-22'!K312</f>
        <v>16320</v>
      </c>
      <c r="C1560" s="2" t="s">
        <v>594</v>
      </c>
      <c r="D1560" s="2" t="str">
        <f t="shared" si="23"/>
        <v>Error?</v>
      </c>
    </row>
    <row r="1561" spans="1:4" x14ac:dyDescent="0.2">
      <c r="A1561" s="5">
        <v>1500</v>
      </c>
      <c r="B1561" s="138">
        <f>'Expenditures 15-22'!K313</f>
        <v>93882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313992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469894</v>
      </c>
      <c r="C1630" s="2" t="s">
        <v>594</v>
      </c>
      <c r="D1630" s="2" t="str">
        <f t="shared" si="24"/>
        <v>Error?</v>
      </c>
    </row>
    <row r="1631" spans="1:4" x14ac:dyDescent="0.2">
      <c r="A1631" s="5">
        <v>1570</v>
      </c>
      <c r="B1631" s="138">
        <f>'Acct Summary 7-8'!D79</f>
        <v>120831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67599</v>
      </c>
      <c r="C1644" s="2" t="s">
        <v>594</v>
      </c>
      <c r="D1644" s="2" t="str">
        <f t="shared" si="24"/>
        <v>Error?</v>
      </c>
    </row>
    <row r="1645" spans="1:4" x14ac:dyDescent="0.2">
      <c r="A1645" s="5">
        <v>1584</v>
      </c>
      <c r="B1645" s="138">
        <f>'Acct Summary 7-8'!E79</f>
        <v>42281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19777</v>
      </c>
      <c r="C1658" s="2" t="s">
        <v>594</v>
      </c>
      <c r="D1658" s="2" t="str">
        <f t="shared" si="24"/>
        <v>Error?</v>
      </c>
    </row>
    <row r="1659" spans="1:4" x14ac:dyDescent="0.2">
      <c r="A1659" s="5">
        <v>1598</v>
      </c>
      <c r="B1659" s="138">
        <f>'Acct Summary 7-8'!F79</f>
        <v>90704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96048</v>
      </c>
      <c r="C1672" s="2" t="s">
        <v>594</v>
      </c>
      <c r="D1672" s="2" t="str">
        <f t="shared" si="25"/>
        <v>Error?</v>
      </c>
    </row>
    <row r="1673" spans="1:4" x14ac:dyDescent="0.2">
      <c r="A1673" s="5">
        <v>1612</v>
      </c>
      <c r="B1673" s="138">
        <f>'Acct Summary 7-8'!G79</f>
        <v>11385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16125</v>
      </c>
      <c r="C1686" s="2" t="s">
        <v>594</v>
      </c>
      <c r="D1686" s="2" t="str">
        <f t="shared" si="25"/>
        <v>Error?</v>
      </c>
    </row>
    <row r="1687" spans="1:4" x14ac:dyDescent="0.2">
      <c r="A1687" s="5">
        <v>1626</v>
      </c>
      <c r="B1687" s="138">
        <f>'Acct Summary 7-8'!H79</f>
        <v>24648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118530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1232688</v>
      </c>
      <c r="C1744" s="2" t="s">
        <v>594</v>
      </c>
      <c r="D1744" s="2" t="str">
        <f t="shared" si="26"/>
        <v>Error?</v>
      </c>
    </row>
    <row r="1745" spans="1:5" x14ac:dyDescent="0.2">
      <c r="A1745" s="5">
        <v>1684</v>
      </c>
      <c r="B1745" s="138">
        <f>'Tax Sched 23'!B5</f>
        <v>86720</v>
      </c>
      <c r="C1745" s="2" t="s">
        <v>594</v>
      </c>
      <c r="D1745" s="2" t="str">
        <f t="shared" si="26"/>
        <v>Error?</v>
      </c>
    </row>
    <row r="1746" spans="1:5" x14ac:dyDescent="0.2">
      <c r="A1746" s="5">
        <v>1685</v>
      </c>
      <c r="B1746" s="138">
        <f>'Tax Sched 23'!B6</f>
        <v>326483</v>
      </c>
      <c r="C1746" s="2" t="s">
        <v>594</v>
      </c>
      <c r="D1746" s="2" t="str">
        <f t="shared" si="26"/>
        <v>Error?</v>
      </c>
    </row>
    <row r="1747" spans="1:5" x14ac:dyDescent="0.2">
      <c r="A1747" s="5">
        <v>1686</v>
      </c>
      <c r="B1747" s="138">
        <f>'Tax Sched 23'!B7</f>
        <v>91540</v>
      </c>
      <c r="C1747" s="2" t="s">
        <v>594</v>
      </c>
      <c r="D1747" s="2" t="str">
        <f t="shared" si="26"/>
        <v>Error?</v>
      </c>
    </row>
    <row r="1748" spans="1:5" x14ac:dyDescent="0.2">
      <c r="A1748" s="5">
        <v>1687</v>
      </c>
      <c r="B1748" s="138">
        <f>'Tax Sched 23'!B8</f>
        <v>28915</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33735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9648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1867550</v>
      </c>
      <c r="C1759" s="2" t="s">
        <v>594</v>
      </c>
      <c r="D1759" s="2" t="str">
        <f t="shared" si="26"/>
        <v>Error?</v>
      </c>
    </row>
    <row r="1760" spans="1:5" x14ac:dyDescent="0.2">
      <c r="A1760" s="5">
        <v>1699</v>
      </c>
      <c r="B1760" s="138">
        <f>'Tax Sched 23'!D4</f>
        <v>1232688</v>
      </c>
      <c r="C1760" s="2" t="s">
        <v>594</v>
      </c>
      <c r="D1760" s="2" t="str">
        <f t="shared" si="26"/>
        <v>Error?</v>
      </c>
    </row>
    <row r="1761" spans="1:5" x14ac:dyDescent="0.2">
      <c r="A1761" s="5">
        <v>1700</v>
      </c>
      <c r="B1761" s="138">
        <f>'Tax Sched 23'!D5</f>
        <v>86720</v>
      </c>
      <c r="C1761" s="2" t="s">
        <v>594</v>
      </c>
      <c r="D1761" s="2" t="str">
        <f t="shared" si="26"/>
        <v>Error?</v>
      </c>
    </row>
    <row r="1762" spans="1:5" s="8" customFormat="1" x14ac:dyDescent="0.2">
      <c r="A1762" s="5">
        <v>1701</v>
      </c>
      <c r="B1762" s="138">
        <f>'Tax Sched 23'!D6</f>
        <v>326483</v>
      </c>
      <c r="C1762" s="2" t="s">
        <v>594</v>
      </c>
      <c r="D1762" s="2" t="str">
        <f t="shared" si="26"/>
        <v>Error?</v>
      </c>
      <c r="E1762" s="9"/>
    </row>
    <row r="1763" spans="1:5" x14ac:dyDescent="0.2">
      <c r="A1763" s="5">
        <v>1702</v>
      </c>
      <c r="B1763" s="138">
        <f>'Tax Sched 23'!D7</f>
        <v>91540</v>
      </c>
      <c r="C1763" s="2" t="s">
        <v>594</v>
      </c>
      <c r="D1763" s="2" t="str">
        <f t="shared" si="26"/>
        <v>Error?</v>
      </c>
    </row>
    <row r="1764" spans="1:5" x14ac:dyDescent="0.2">
      <c r="A1764" s="5">
        <v>1703</v>
      </c>
      <c r="B1764" s="138">
        <f>'Tax Sched 23'!D8</f>
        <v>28915</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33735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9648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1867550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1295962</v>
      </c>
      <c r="C1792" s="2" t="s">
        <v>594</v>
      </c>
      <c r="D1792" s="2" t="str">
        <f t="shared" si="27"/>
        <v>Error?</v>
      </c>
    </row>
    <row r="1793" spans="1:4" x14ac:dyDescent="0.2">
      <c r="A1793" s="5">
        <v>1732</v>
      </c>
      <c r="B1793" s="138">
        <f>'Tax Sched 23'!F5</f>
        <v>83317</v>
      </c>
      <c r="C1793" s="2" t="s">
        <v>594</v>
      </c>
      <c r="D1793" s="2" t="str">
        <f t="shared" si="27"/>
        <v>Error?</v>
      </c>
    </row>
    <row r="1794" spans="1:4" x14ac:dyDescent="0.2">
      <c r="A1794" s="5">
        <v>1733</v>
      </c>
      <c r="B1794" s="138">
        <f>'Tax Sched 23'!F6</f>
        <v>333378</v>
      </c>
      <c r="C1794" s="2" t="s">
        <v>594</v>
      </c>
      <c r="D1794" s="2" t="str">
        <f t="shared" si="27"/>
        <v>Error?</v>
      </c>
    </row>
    <row r="1795" spans="1:4" x14ac:dyDescent="0.2">
      <c r="A1795" s="5">
        <v>1734</v>
      </c>
      <c r="B1795" s="138">
        <f>'Tax Sched 23'!F7</f>
        <v>98016</v>
      </c>
      <c r="C1795" s="2" t="s">
        <v>594</v>
      </c>
      <c r="D1795" s="2" t="str">
        <f t="shared" si="27"/>
        <v>Error?</v>
      </c>
    </row>
    <row r="1796" spans="1:4" x14ac:dyDescent="0.2">
      <c r="A1796" s="5">
        <v>1735</v>
      </c>
      <c r="B1796" s="138">
        <f>'Tax Sched 23'!F8</f>
        <v>24512</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37255</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1921456</v>
      </c>
      <c r="C1807" s="2" t="s">
        <v>594</v>
      </c>
      <c r="D1807" s="2" t="str">
        <f t="shared" si="27"/>
        <v>Error?</v>
      </c>
    </row>
    <row r="1808" spans="1:4" x14ac:dyDescent="0.2">
      <c r="A1808" s="5">
        <v>1747</v>
      </c>
      <c r="B1808" s="138">
        <f>'Tax Sched 23'!E4</f>
        <v>1295962</v>
      </c>
      <c r="D1808" s="2" t="str">
        <f t="shared" si="27"/>
        <v>Error?</v>
      </c>
    </row>
    <row r="1809" spans="1:4" x14ac:dyDescent="0.2">
      <c r="A1809" s="5">
        <v>1748</v>
      </c>
      <c r="B1809" s="138">
        <f>'Tax Sched 23'!E5</f>
        <v>83317</v>
      </c>
      <c r="D1809" s="2" t="str">
        <f t="shared" si="27"/>
        <v>Error?</v>
      </c>
    </row>
    <row r="1810" spans="1:4" x14ac:dyDescent="0.2">
      <c r="A1810" s="5">
        <v>1749</v>
      </c>
      <c r="B1810" s="138">
        <f>'Tax Sched 23'!E6</f>
        <v>333378</v>
      </c>
      <c r="D1810" s="2" t="str">
        <f t="shared" si="27"/>
        <v>Error?</v>
      </c>
    </row>
    <row r="1811" spans="1:4" x14ac:dyDescent="0.2">
      <c r="A1811" s="5">
        <v>1750</v>
      </c>
      <c r="B1811" s="138">
        <f>'Tax Sched 23'!E7</f>
        <v>98016</v>
      </c>
      <c r="D1811" s="2" t="str">
        <f t="shared" si="27"/>
        <v>Error?</v>
      </c>
    </row>
    <row r="1812" spans="1:4" x14ac:dyDescent="0.2">
      <c r="A1812" s="5">
        <v>1751</v>
      </c>
      <c r="B1812" s="138">
        <f>'Tax Sched 23'!E8</f>
        <v>24512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37255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1921456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1754000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9648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9648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3641928</v>
      </c>
      <c r="D2009" s="2" t="str">
        <f t="shared" si="30"/>
        <v>Error?</v>
      </c>
    </row>
    <row r="2010" spans="1:4" x14ac:dyDescent="0.2">
      <c r="A2010" s="5">
        <v>1949</v>
      </c>
      <c r="B2010" s="138">
        <f>'Cap Outlay Deprec 26'!C10</f>
        <v>215614</v>
      </c>
      <c r="D2010" s="2" t="str">
        <f t="shared" si="30"/>
        <v>Error?</v>
      </c>
    </row>
    <row r="2011" spans="1:4" x14ac:dyDescent="0.2">
      <c r="A2011" s="5">
        <v>1950</v>
      </c>
      <c r="B2011" s="138">
        <f>'Cap Outlay Deprec 26'!C12</f>
        <v>727990</v>
      </c>
      <c r="D2011" s="2" t="str">
        <f t="shared" si="30"/>
        <v>Error?</v>
      </c>
    </row>
    <row r="2012" spans="1:4" x14ac:dyDescent="0.2">
      <c r="A2012" s="5">
        <v>1951</v>
      </c>
      <c r="B2012" s="138">
        <f>'Cap Outlay Deprec 26'!C13</f>
        <v>335801</v>
      </c>
      <c r="D2012" s="2" t="str">
        <f t="shared" si="30"/>
        <v>Error?</v>
      </c>
    </row>
    <row r="2013" spans="1:4" x14ac:dyDescent="0.2">
      <c r="A2013" s="5">
        <v>1952</v>
      </c>
      <c r="B2013" s="138">
        <f>'Cap Outlay Deprec 26'!C16</f>
        <v>4936333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125643</v>
      </c>
      <c r="D2018" s="2" t="str">
        <f t="shared" si="30"/>
        <v>Error?</v>
      </c>
    </row>
    <row r="2019" spans="1:4" x14ac:dyDescent="0.2">
      <c r="A2019" s="5">
        <v>1958</v>
      </c>
      <c r="B2019" s="138">
        <f>'Cap Outlay Deprec 26'!D16</f>
        <v>125643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45495</v>
      </c>
      <c r="D2024" s="2" t="str">
        <f t="shared" si="30"/>
        <v>Error?</v>
      </c>
    </row>
    <row r="2025" spans="1:4" x14ac:dyDescent="0.2">
      <c r="A2025" s="5">
        <v>1964</v>
      </c>
      <c r="B2025" s="138">
        <f>'Cap Outlay Deprec 26'!E16</f>
        <v>45495</v>
      </c>
      <c r="C2025" s="2" t="s">
        <v>594</v>
      </c>
      <c r="D2025" s="2" t="str">
        <f t="shared" si="30"/>
        <v>Error?</v>
      </c>
    </row>
    <row r="2026" spans="1:4" x14ac:dyDescent="0.2">
      <c r="A2026" s="5">
        <v>1965</v>
      </c>
      <c r="B2026" s="138">
        <f>'Cap Outlay Deprec 26'!F5</f>
        <v>15000</v>
      </c>
      <c r="C2026" s="2" t="s">
        <v>594</v>
      </c>
      <c r="D2026" s="2" t="str">
        <f t="shared" si="30"/>
        <v>Error?</v>
      </c>
    </row>
    <row r="2027" spans="1:4" x14ac:dyDescent="0.2">
      <c r="A2027" s="5">
        <v>1966</v>
      </c>
      <c r="B2027" s="138">
        <f>'Cap Outlay Deprec 26'!F8</f>
        <v>3641928</v>
      </c>
      <c r="C2027" s="2" t="s">
        <v>594</v>
      </c>
      <c r="D2027" s="2" t="str">
        <f t="shared" si="30"/>
        <v>Error?</v>
      </c>
    </row>
    <row r="2028" spans="1:4" x14ac:dyDescent="0.2">
      <c r="A2028" s="5">
        <v>1967</v>
      </c>
      <c r="B2028" s="138">
        <f>'Cap Outlay Deprec 26'!F10</f>
        <v>215614</v>
      </c>
      <c r="C2028" s="2" t="s">
        <v>594</v>
      </c>
      <c r="D2028" s="2" t="str">
        <f t="shared" si="30"/>
        <v>Error?</v>
      </c>
    </row>
    <row r="2029" spans="1:4" x14ac:dyDescent="0.2">
      <c r="A2029" s="5">
        <v>1968</v>
      </c>
      <c r="B2029" s="138">
        <f>'Cap Outlay Deprec 26'!F12</f>
        <v>727990</v>
      </c>
      <c r="C2029" s="2" t="s">
        <v>594</v>
      </c>
      <c r="D2029" s="2" t="str">
        <f t="shared" si="30"/>
        <v>Error?</v>
      </c>
    </row>
    <row r="2030" spans="1:4" x14ac:dyDescent="0.2">
      <c r="A2030" s="5">
        <v>1969</v>
      </c>
      <c r="B2030" s="138">
        <f>'Cap Outlay Deprec 26'!F13</f>
        <v>415949</v>
      </c>
      <c r="C2030" s="2" t="s">
        <v>594</v>
      </c>
      <c r="D2030" s="2" t="str">
        <f t="shared" si="30"/>
        <v>Error?</v>
      </c>
    </row>
    <row r="2031" spans="1:4" x14ac:dyDescent="0.2">
      <c r="A2031" s="5">
        <v>1970</v>
      </c>
      <c r="B2031" s="138">
        <f>'Cap Outlay Deprec 26'!F16</f>
        <v>5016481</v>
      </c>
      <c r="C2031" s="2" t="s">
        <v>594</v>
      </c>
      <c r="D2031" s="2" t="str">
        <f t="shared" si="30"/>
        <v>Error?</v>
      </c>
    </row>
    <row r="2032" spans="1:4" x14ac:dyDescent="0.2">
      <c r="A2032" s="10">
        <v>1971</v>
      </c>
      <c r="D2032" s="2" t="str">
        <f t="shared" si="30"/>
        <v>OK</v>
      </c>
    </row>
    <row r="2033" spans="1:4" x14ac:dyDescent="0.2">
      <c r="A2033" s="5">
        <v>1972</v>
      </c>
      <c r="B2033" s="138">
        <f>'Cap Outlay Deprec 26'!H8</f>
        <v>1424727</v>
      </c>
      <c r="D2033" s="2" t="str">
        <f t="shared" si="30"/>
        <v>Error?</v>
      </c>
    </row>
    <row r="2034" spans="1:4" x14ac:dyDescent="0.2">
      <c r="A2034" s="5">
        <v>1973</v>
      </c>
      <c r="B2034" s="138">
        <f>'Cap Outlay Deprec 26'!H10</f>
        <v>179235</v>
      </c>
      <c r="D2034" s="2" t="str">
        <f t="shared" si="30"/>
        <v>Error?</v>
      </c>
    </row>
    <row r="2035" spans="1:4" x14ac:dyDescent="0.2">
      <c r="A2035" s="5">
        <v>1974</v>
      </c>
      <c r="B2035" s="138">
        <f>'Cap Outlay Deprec 26'!H12</f>
        <v>619927</v>
      </c>
      <c r="D2035" s="2" t="str">
        <f t="shared" si="30"/>
        <v>Error?</v>
      </c>
    </row>
    <row r="2036" spans="1:4" x14ac:dyDescent="0.2">
      <c r="A2036" s="5">
        <v>1975</v>
      </c>
      <c r="B2036" s="138">
        <f>'Cap Outlay Deprec 26'!H13</f>
        <v>264553</v>
      </c>
      <c r="D2036" s="2" t="str">
        <f t="shared" si="30"/>
        <v>Error?</v>
      </c>
    </row>
    <row r="2037" spans="1:4" x14ac:dyDescent="0.2">
      <c r="A2037" s="5">
        <v>1976</v>
      </c>
      <c r="B2037" s="138">
        <f>'Cap Outlay Deprec 26'!H16</f>
        <v>2488442</v>
      </c>
      <c r="C2037" s="2" t="s">
        <v>594</v>
      </c>
      <c r="D2037" s="2" t="str">
        <f t="shared" si="30"/>
        <v>Error?</v>
      </c>
    </row>
    <row r="2038" spans="1:4" x14ac:dyDescent="0.2">
      <c r="A2038" s="10">
        <v>1977</v>
      </c>
      <c r="D2038" s="2" t="str">
        <f t="shared" si="30"/>
        <v>OK</v>
      </c>
    </row>
    <row r="2039" spans="1:4" x14ac:dyDescent="0.2">
      <c r="A2039" s="5">
        <v>1978</v>
      </c>
      <c r="B2039" s="138">
        <f>'Cap Outlay Deprec 26'!I8</f>
        <v>72603</v>
      </c>
      <c r="D2039" s="2" t="str">
        <f t="shared" si="30"/>
        <v>Error?</v>
      </c>
    </row>
    <row r="2040" spans="1:4" x14ac:dyDescent="0.2">
      <c r="A2040" s="5">
        <v>1979</v>
      </c>
      <c r="B2040" s="138">
        <f>'Cap Outlay Deprec 26'!I10</f>
        <v>6905</v>
      </c>
      <c r="D2040" s="2" t="str">
        <f t="shared" si="30"/>
        <v>Error?</v>
      </c>
    </row>
    <row r="2041" spans="1:4" x14ac:dyDescent="0.2">
      <c r="A2041" s="5">
        <v>1980</v>
      </c>
      <c r="B2041" s="138">
        <f>'Cap Outlay Deprec 26'!I12</f>
        <v>27691</v>
      </c>
      <c r="D2041" s="2" t="str">
        <f t="shared" si="30"/>
        <v>Error?</v>
      </c>
    </row>
    <row r="2042" spans="1:4" x14ac:dyDescent="0.2">
      <c r="A2042" s="5">
        <v>1981</v>
      </c>
      <c r="B2042" s="138">
        <f>'Cap Outlay Deprec 26'!I13</f>
        <v>61828</v>
      </c>
      <c r="D2042" s="2" t="str">
        <f t="shared" si="30"/>
        <v>Error?</v>
      </c>
    </row>
    <row r="2043" spans="1:4" x14ac:dyDescent="0.2">
      <c r="A2043" s="5">
        <v>1982</v>
      </c>
      <c r="B2043" s="138">
        <f>'Cap Outlay Deprec 26'!I16</f>
        <v>169027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45495</v>
      </c>
      <c r="D2048" s="2" t="str">
        <f t="shared" si="31"/>
        <v>Error?</v>
      </c>
    </row>
    <row r="2049" spans="1:4" x14ac:dyDescent="0.2">
      <c r="A2049" s="5">
        <v>1988</v>
      </c>
      <c r="B2049" s="138">
        <f>'Cap Outlay Deprec 26'!J16</f>
        <v>45495</v>
      </c>
      <c r="C2049" s="2" t="s">
        <v>594</v>
      </c>
      <c r="D2049" s="2" t="str">
        <f t="shared" si="31"/>
        <v>Error?</v>
      </c>
    </row>
    <row r="2050" spans="1:4" x14ac:dyDescent="0.2">
      <c r="A2050" s="10">
        <v>1989</v>
      </c>
      <c r="D2050" s="2" t="str">
        <f t="shared" si="31"/>
        <v>OK</v>
      </c>
    </row>
    <row r="2051" spans="1:4" x14ac:dyDescent="0.2">
      <c r="A2051" s="5">
        <v>1990</v>
      </c>
      <c r="B2051" s="138">
        <f>'Cap Outlay Deprec 26'!K8</f>
        <v>1497330</v>
      </c>
      <c r="C2051" s="2" t="s">
        <v>594</v>
      </c>
      <c r="D2051" s="2" t="str">
        <f t="shared" si="31"/>
        <v>Error?</v>
      </c>
    </row>
    <row r="2052" spans="1:4" x14ac:dyDescent="0.2">
      <c r="A2052" s="5">
        <v>1991</v>
      </c>
      <c r="B2052" s="138">
        <f>'Cap Outlay Deprec 26'!K10</f>
        <v>186140</v>
      </c>
      <c r="C2052" s="2" t="s">
        <v>594</v>
      </c>
      <c r="D2052" s="2" t="str">
        <f t="shared" si="31"/>
        <v>Error?</v>
      </c>
    </row>
    <row r="2053" spans="1:4" x14ac:dyDescent="0.2">
      <c r="A2053" s="5">
        <v>1992</v>
      </c>
      <c r="B2053" s="138">
        <f>'Cap Outlay Deprec 26'!K12</f>
        <v>647618</v>
      </c>
      <c r="C2053" s="2" t="s">
        <v>594</v>
      </c>
      <c r="D2053" s="2" t="str">
        <f t="shared" si="31"/>
        <v>Error?</v>
      </c>
    </row>
    <row r="2054" spans="1:4" x14ac:dyDescent="0.2">
      <c r="A2054" s="5">
        <v>1993</v>
      </c>
      <c r="B2054" s="138">
        <f>'Cap Outlay Deprec 26'!K13</f>
        <v>280886</v>
      </c>
      <c r="C2054" s="2" t="s">
        <v>594</v>
      </c>
      <c r="D2054" s="2" t="str">
        <f t="shared" si="31"/>
        <v>Error?</v>
      </c>
    </row>
    <row r="2055" spans="1:4" x14ac:dyDescent="0.2">
      <c r="A2055" s="5">
        <v>1994</v>
      </c>
      <c r="B2055" s="138">
        <f>'Cap Outlay Deprec 26'!K16</f>
        <v>2611974</v>
      </c>
      <c r="C2055" s="2" t="s">
        <v>594</v>
      </c>
      <c r="D2055" s="2" t="str">
        <f t="shared" si="31"/>
        <v>Error?</v>
      </c>
    </row>
    <row r="2056" spans="1:4" x14ac:dyDescent="0.2">
      <c r="A2056" s="5">
        <v>1995</v>
      </c>
      <c r="B2056" s="138">
        <f>'Cap Outlay Deprec 26'!L5</f>
        <v>15000</v>
      </c>
      <c r="C2056" s="2" t="s">
        <v>594</v>
      </c>
      <c r="D2056" s="2" t="str">
        <f t="shared" si="31"/>
        <v>Error?</v>
      </c>
    </row>
    <row r="2057" spans="1:4" x14ac:dyDescent="0.2">
      <c r="A2057" s="5">
        <v>1996</v>
      </c>
      <c r="B2057" s="138">
        <f>'Cap Outlay Deprec 26'!L8</f>
        <v>2144598</v>
      </c>
      <c r="C2057" s="2" t="s">
        <v>594</v>
      </c>
      <c r="D2057" s="2" t="str">
        <f t="shared" si="31"/>
        <v>Error?</v>
      </c>
    </row>
    <row r="2058" spans="1:4" x14ac:dyDescent="0.2">
      <c r="A2058" s="5">
        <v>1997</v>
      </c>
      <c r="B2058" s="138">
        <f>'Cap Outlay Deprec 26'!L10</f>
        <v>29474</v>
      </c>
      <c r="C2058" s="2" t="s">
        <v>594</v>
      </c>
      <c r="D2058" s="2" t="str">
        <f t="shared" si="31"/>
        <v>Error?</v>
      </c>
    </row>
    <row r="2059" spans="1:4" x14ac:dyDescent="0.2">
      <c r="A2059" s="5">
        <v>1998</v>
      </c>
      <c r="B2059" s="138">
        <f>'Cap Outlay Deprec 26'!L12</f>
        <v>80372</v>
      </c>
      <c r="C2059" s="2" t="s">
        <v>594</v>
      </c>
      <c r="D2059" s="2" t="str">
        <f t="shared" si="31"/>
        <v>Error?</v>
      </c>
    </row>
    <row r="2060" spans="1:4" x14ac:dyDescent="0.2">
      <c r="A2060" s="5">
        <v>1999</v>
      </c>
      <c r="B2060" s="138">
        <f>'Cap Outlay Deprec 26'!L13</f>
        <v>135063</v>
      </c>
      <c r="C2060" s="2" t="s">
        <v>594</v>
      </c>
      <c r="D2060" s="2" t="str">
        <f t="shared" si="31"/>
        <v>Error?</v>
      </c>
    </row>
    <row r="2061" spans="1:4" x14ac:dyDescent="0.2">
      <c r="A2061" s="5">
        <v>2000</v>
      </c>
      <c r="B2061" s="138">
        <f>'Cap Outlay Deprec 26'!L16</f>
        <v>2404507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59568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153253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412000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9973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118530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1542781</v>
      </c>
      <c r="C2551" s="2" t="s">
        <v>594</v>
      </c>
      <c r="D2551" s="2" t="str">
        <f t="shared" si="38"/>
        <v>Error?</v>
      </c>
    </row>
    <row r="2552" spans="1:4" x14ac:dyDescent="0.2">
      <c r="A2552" s="10">
        <v>2491</v>
      </c>
      <c r="D2552" s="2" t="str">
        <f t="shared" si="38"/>
        <v>OK</v>
      </c>
    </row>
    <row r="2553" spans="1:4" x14ac:dyDescent="0.2">
      <c r="A2553" s="5">
        <v>2492</v>
      </c>
      <c r="B2553" s="138">
        <f>'Acct Summary 7-8'!C6</f>
        <v>232944</v>
      </c>
      <c r="C2553" s="2" t="s">
        <v>594</v>
      </c>
      <c r="D2553" s="2" t="str">
        <f t="shared" si="38"/>
        <v>Error?</v>
      </c>
    </row>
    <row r="2554" spans="1:4" x14ac:dyDescent="0.2">
      <c r="A2554" s="5">
        <v>2493</v>
      </c>
      <c r="B2554" s="138">
        <f>'Acct Summary 7-8'!C7</f>
        <v>96105</v>
      </c>
      <c r="C2554" s="2" t="s">
        <v>594</v>
      </c>
      <c r="D2554" s="2" t="str">
        <f t="shared" si="38"/>
        <v>Error?</v>
      </c>
    </row>
    <row r="2555" spans="1:4" x14ac:dyDescent="0.2">
      <c r="A2555" s="5">
        <v>2494</v>
      </c>
      <c r="B2555" s="138">
        <f>'Acct Summary 7-8'!C8</f>
        <v>1871830</v>
      </c>
      <c r="C2555" s="2" t="s">
        <v>594</v>
      </c>
      <c r="D2555" s="2" t="str">
        <f t="shared" si="38"/>
        <v>Error?</v>
      </c>
    </row>
    <row r="2556" spans="1:4" x14ac:dyDescent="0.2">
      <c r="A2556" s="5">
        <v>2495</v>
      </c>
      <c r="B2556" s="138">
        <f>'Acct Summary 7-8'!C12</f>
        <v>1505642</v>
      </c>
      <c r="C2556" s="2" t="s">
        <v>594</v>
      </c>
      <c r="D2556" s="2" t="str">
        <f t="shared" si="38"/>
        <v>Error?</v>
      </c>
    </row>
    <row r="2557" spans="1:4" x14ac:dyDescent="0.2">
      <c r="A2557" s="5">
        <v>2496</v>
      </c>
      <c r="B2557" s="138">
        <f>'Acct Summary 7-8'!C13</f>
        <v>457033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153253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2115928</v>
      </c>
      <c r="C2561" s="2" t="s">
        <v>594</v>
      </c>
      <c r="D2561" s="2" t="str">
        <f t="shared" si="39"/>
        <v>Error?</v>
      </c>
    </row>
    <row r="2562" spans="1:4" x14ac:dyDescent="0.2">
      <c r="A2562" s="5">
        <v>2501</v>
      </c>
      <c r="B2562" s="138">
        <f>'Acct Summary 7-8'!C20</f>
        <v>-244098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87079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87079</v>
      </c>
      <c r="C2568" s="2" t="s">
        <v>594</v>
      </c>
      <c r="D2568" s="2" t="str">
        <f t="shared" si="39"/>
        <v>Error?</v>
      </c>
    </row>
    <row r="2569" spans="1:4" x14ac:dyDescent="0.2">
      <c r="A2569" s="5">
        <v>2508</v>
      </c>
      <c r="B2569" s="138">
        <f>'Acct Summary 7-8'!D13</f>
        <v>140311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140311</v>
      </c>
      <c r="C2573" s="2" t="s">
        <v>594</v>
      </c>
      <c r="D2573" s="2" t="str">
        <f t="shared" si="39"/>
        <v>Error?</v>
      </c>
    </row>
    <row r="2574" spans="1:4" x14ac:dyDescent="0.2">
      <c r="A2574" s="5">
        <v>2513</v>
      </c>
      <c r="B2574" s="138">
        <f>'Acct Summary 7-8'!D20</f>
        <v>-53232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91659</v>
      </c>
      <c r="C2591" s="2" t="s">
        <v>594</v>
      </c>
      <c r="D2591" s="2" t="str">
        <f t="shared" si="39"/>
        <v>Error?</v>
      </c>
    </row>
    <row r="2592" spans="1:4" x14ac:dyDescent="0.2">
      <c r="A2592" s="10">
        <v>2531</v>
      </c>
      <c r="D2592" s="2" t="str">
        <f t="shared" si="39"/>
        <v>OK</v>
      </c>
    </row>
    <row r="2593" spans="1:4" x14ac:dyDescent="0.2">
      <c r="A2593" s="5">
        <v>2532</v>
      </c>
      <c r="B2593" s="138">
        <f>'Acct Summary 7-8'!F6</f>
        <v>113279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204938</v>
      </c>
      <c r="C2595" s="2" t="s">
        <v>594</v>
      </c>
      <c r="D2595" s="2" t="str">
        <f t="shared" si="39"/>
        <v>Error?</v>
      </c>
    </row>
    <row r="2596" spans="1:4" x14ac:dyDescent="0.2">
      <c r="A2596" s="5">
        <v>2535</v>
      </c>
      <c r="B2596" s="138">
        <f>'Acct Summary 7-8'!F13</f>
        <v>199594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199594</v>
      </c>
      <c r="C2600" s="2" t="s">
        <v>594</v>
      </c>
      <c r="D2600" s="2" t="str">
        <f t="shared" si="39"/>
        <v>Error?</v>
      </c>
    </row>
    <row r="2601" spans="1:4" x14ac:dyDescent="0.2">
      <c r="A2601" s="5">
        <v>2540</v>
      </c>
      <c r="B2601" s="138">
        <f>'Acct Summary 7-8'!F20</f>
        <v>5344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89658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89658</v>
      </c>
      <c r="C2606" s="2" t="s">
        <v>594</v>
      </c>
      <c r="D2606" s="2" t="str">
        <f t="shared" si="39"/>
        <v>Error?</v>
      </c>
    </row>
    <row r="2607" spans="1:4" x14ac:dyDescent="0.2">
      <c r="A2607" s="5">
        <v>2546</v>
      </c>
      <c r="B2607" s="138">
        <f>'Acct Summary 7-8'!G12</f>
        <v>30075</v>
      </c>
      <c r="C2607" s="2" t="s">
        <v>594</v>
      </c>
      <c r="D2607" s="2" t="str">
        <f t="shared" si="39"/>
        <v>Error?</v>
      </c>
    </row>
    <row r="2608" spans="1:4" x14ac:dyDescent="0.2">
      <c r="A2608" s="5">
        <v>2547</v>
      </c>
      <c r="B2608" s="138">
        <f>'Acct Summary 7-8'!G13</f>
        <v>54843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84918</v>
      </c>
      <c r="C2612" s="2" t="s">
        <v>594</v>
      </c>
      <c r="D2612" s="2" t="str">
        <f t="shared" si="39"/>
        <v>Error?</v>
      </c>
    </row>
    <row r="2613" spans="1:4" x14ac:dyDescent="0.2">
      <c r="A2613" s="5">
        <v>2552</v>
      </c>
      <c r="B2613" s="138">
        <f>'Acct Summary 7-8'!G20</f>
        <v>4740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326526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326526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349030</v>
      </c>
      <c r="C2634" s="2" t="s">
        <v>594</v>
      </c>
      <c r="D2634" s="2" t="str">
        <f t="shared" si="40"/>
        <v>Error?</v>
      </c>
    </row>
    <row r="2635" spans="1:4" x14ac:dyDescent="0.2">
      <c r="A2635" s="5">
        <v>2574</v>
      </c>
      <c r="B2635" s="138">
        <f>'Acct Summary 7-8'!E17</f>
        <v>349030</v>
      </c>
      <c r="C2635" s="2" t="s">
        <v>594</v>
      </c>
      <c r="D2635" s="2" t="str">
        <f t="shared" si="40"/>
        <v>Error?</v>
      </c>
    </row>
    <row r="2636" spans="1:4" x14ac:dyDescent="0.2">
      <c r="A2636" s="5">
        <v>2575</v>
      </c>
      <c r="B2636" s="138">
        <f>'Acct Summary 7-8'!E20</f>
        <v>-22504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110202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110202</v>
      </c>
      <c r="C2658" s="2" t="s">
        <v>594</v>
      </c>
      <c r="D2658" s="2" t="str">
        <f t="shared" si="40"/>
        <v>Error?</v>
      </c>
    </row>
    <row r="2659" spans="1:4" x14ac:dyDescent="0.2">
      <c r="A2659" s="5">
        <v>2598</v>
      </c>
      <c r="B2659" s="138">
        <f>'Acct Summary 7-8'!H13</f>
        <v>16320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16320</v>
      </c>
      <c r="C2661" s="2" t="s">
        <v>594</v>
      </c>
      <c r="D2661" s="2" t="str">
        <f t="shared" si="40"/>
        <v>Error?</v>
      </c>
    </row>
    <row r="2662" spans="1:4" x14ac:dyDescent="0.2">
      <c r="A2662" s="5">
        <v>2601</v>
      </c>
      <c r="B2662" s="138">
        <f>'Acct Summary 7-8'!H20</f>
        <v>93882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93685</v>
      </c>
      <c r="C2789" s="2" t="s">
        <v>594</v>
      </c>
      <c r="D2789" s="2" t="str">
        <f t="shared" si="42"/>
        <v>Error?</v>
      </c>
    </row>
    <row r="2790" spans="1:4" x14ac:dyDescent="0.2">
      <c r="A2790" s="5">
        <v>2729</v>
      </c>
      <c r="B2790" s="138">
        <f>'Expenditures 15-22'!E102</f>
        <v>93685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546379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11591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546379</v>
      </c>
      <c r="D2912" s="2" t="str">
        <f t="shared" si="44"/>
        <v>Error?</v>
      </c>
    </row>
    <row r="2913" spans="1:4" x14ac:dyDescent="0.2">
      <c r="A2913" s="5">
        <v>2852</v>
      </c>
      <c r="B2913" s="138">
        <f>'Assets-Liab 5-6'!I41</f>
        <v>546379</v>
      </c>
      <c r="C2913" s="2" t="s">
        <v>594</v>
      </c>
      <c r="D2913" s="2" t="str">
        <f t="shared" si="44"/>
        <v>Error?</v>
      </c>
    </row>
    <row r="2914" spans="1:4" x14ac:dyDescent="0.2">
      <c r="A2914" s="5">
        <v>2853</v>
      </c>
      <c r="B2914" s="138">
        <f>'Assets-Liab 5-6'!L33</f>
        <v>11591</v>
      </c>
      <c r="D2914" s="2" t="str">
        <f t="shared" si="44"/>
        <v>Error?</v>
      </c>
    </row>
    <row r="2915" spans="1:4" x14ac:dyDescent="0.2">
      <c r="A2915" s="10">
        <v>2854</v>
      </c>
      <c r="D2915" s="2" t="str">
        <f t="shared" si="44"/>
        <v>OK</v>
      </c>
    </row>
    <row r="2916" spans="1:4" x14ac:dyDescent="0.2">
      <c r="A2916" s="5">
        <v>2855</v>
      </c>
      <c r="B2916" s="138">
        <f>'Assets-Liab 5-6'!L34</f>
        <v>11591</v>
      </c>
      <c r="C2916" s="2" t="s">
        <v>594</v>
      </c>
      <c r="D2916" s="2" t="str">
        <f t="shared" si="44"/>
        <v>Error?</v>
      </c>
    </row>
    <row r="2917" spans="1:4" x14ac:dyDescent="0.2">
      <c r="A2917" s="5">
        <v>2856</v>
      </c>
      <c r="B2917" s="138">
        <f>'Assets-Liab 5-6'!L41</f>
        <v>11591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93685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59568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153253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5258</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2201</v>
      </c>
      <c r="D3057" s="2" t="str">
        <f t="shared" si="46"/>
        <v>Error?</v>
      </c>
    </row>
    <row r="3058" spans="1:4" x14ac:dyDescent="0.2">
      <c r="A3058" s="5">
        <v>2997</v>
      </c>
      <c r="B3058" s="138">
        <f>'Expenditures 15-22'!F10</f>
        <v>18143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25602</v>
      </c>
      <c r="C3062" s="2" t="s">
        <v>594</v>
      </c>
      <c r="D3062" s="2" t="str">
        <f t="shared" si="46"/>
        <v>Error?</v>
      </c>
    </row>
    <row r="3063" spans="1:4" x14ac:dyDescent="0.2">
      <c r="A3063" s="10">
        <v>3002</v>
      </c>
      <c r="D3063" s="2" t="str">
        <f t="shared" si="46"/>
        <v>OK</v>
      </c>
    </row>
    <row r="3064" spans="1:4" x14ac:dyDescent="0.2">
      <c r="A3064" s="5">
        <v>3003</v>
      </c>
      <c r="B3064" s="138">
        <f>'Expenditures 15-22'!D219</f>
        <v>262</v>
      </c>
      <c r="D3064" s="2" t="str">
        <f t="shared" si="46"/>
        <v>Error?</v>
      </c>
    </row>
    <row r="3065" spans="1:4" x14ac:dyDescent="0.2">
      <c r="A3065" s="5">
        <v>3004</v>
      </c>
      <c r="B3065" s="138">
        <f>'Expenditures 15-22'!K219</f>
        <v>262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v>
      </c>
      <c r="C3225" s="2" t="s">
        <v>594</v>
      </c>
      <c r="D3225" s="2" t="str">
        <f t="shared" si="49"/>
        <v>Error?</v>
      </c>
    </row>
    <row r="3226" spans="1:4" x14ac:dyDescent="0.2">
      <c r="A3226" s="5">
        <v>3165</v>
      </c>
      <c r="B3226" s="138">
        <f>'Acct Summary 7-8'!I8</f>
        <v>23</v>
      </c>
      <c r="C3226" s="2" t="s">
        <v>594</v>
      </c>
      <c r="D3226" s="2" t="str">
        <f t="shared" si="49"/>
        <v>Error?</v>
      </c>
    </row>
    <row r="3227" spans="1:4" x14ac:dyDescent="0.2">
      <c r="A3227" s="5">
        <v>3166</v>
      </c>
      <c r="B3227" s="138">
        <f>'Acct Summary 7-8'!I20</f>
        <v>23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400000</v>
      </c>
      <c r="C3232" s="2" t="s">
        <v>594</v>
      </c>
      <c r="D3232" s="2" t="str">
        <f t="shared" si="49"/>
        <v>Error?</v>
      </c>
    </row>
    <row r="3233" spans="1:4" x14ac:dyDescent="0.2">
      <c r="A3233" s="5">
        <v>3172</v>
      </c>
      <c r="B3233" s="138">
        <f>'Acct Summary 7-8'!C78</f>
        <v>155902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-53232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5344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4740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-22504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93882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412000</v>
      </c>
      <c r="C3318" s="2" t="s">
        <v>594</v>
      </c>
      <c r="D3318" s="2" t="str">
        <f t="shared" si="50"/>
        <v>Error?</v>
      </c>
    </row>
    <row r="3319" spans="1:4" x14ac:dyDescent="0.2">
      <c r="A3319" s="5">
        <v>3258</v>
      </c>
      <c r="B3319" s="138">
        <f>'Acct Summary 7-8'!I77</f>
        <v>-412000</v>
      </c>
      <c r="C3319" s="2" t="s">
        <v>594</v>
      </c>
      <c r="D3319" s="2" t="str">
        <f t="shared" si="50"/>
        <v>Error?</v>
      </c>
    </row>
    <row r="3320" spans="1:4" x14ac:dyDescent="0.2">
      <c r="A3320" s="5">
        <v>3259</v>
      </c>
      <c r="B3320" s="138">
        <f>'Acct Summary 7-8'!I78</f>
        <v>-411977</v>
      </c>
      <c r="C3320" s="2" t="s">
        <v>594</v>
      </c>
      <c r="D3320" s="2" t="str">
        <f t="shared" si="50"/>
        <v>Error?</v>
      </c>
    </row>
    <row r="3321" spans="1:4" x14ac:dyDescent="0.2">
      <c r="A3321" s="5">
        <v>3260</v>
      </c>
      <c r="B3321" s="138">
        <f>'Acct Summary 7-8'!I79</f>
        <v>958356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546379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230016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23829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66550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322574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11780</v>
      </c>
      <c r="D3387" s="2" t="str">
        <f t="shared" si="51"/>
        <v>Error?</v>
      </c>
    </row>
    <row r="3388" spans="1:4" x14ac:dyDescent="0.2">
      <c r="A3388" s="5">
        <v>3327</v>
      </c>
      <c r="B3388" s="138">
        <f>'Expenditures 15-22'!D217</f>
        <v>17757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11780</v>
      </c>
      <c r="C3390" s="2" t="s">
        <v>594</v>
      </c>
      <c r="D3390" s="2" t="str">
        <f t="shared" si="51"/>
        <v>Error?</v>
      </c>
    </row>
    <row r="3391" spans="1:4" x14ac:dyDescent="0.2">
      <c r="A3391" s="5">
        <v>3330</v>
      </c>
      <c r="B3391" s="138">
        <f>'Expenditures 15-22'!K217</f>
        <v>17757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469894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67599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19777</v>
      </c>
      <c r="D3417" s="2" t="str">
        <f t="shared" si="52"/>
        <v>Error?</v>
      </c>
    </row>
    <row r="3418" spans="1:4" x14ac:dyDescent="0.2">
      <c r="A3418" s="10">
        <v>3357</v>
      </c>
      <c r="D3418" s="2" t="str">
        <f t="shared" si="52"/>
        <v>OK</v>
      </c>
    </row>
    <row r="3419" spans="1:4" x14ac:dyDescent="0.2">
      <c r="A3419" s="5">
        <v>3358</v>
      </c>
      <c r="B3419" s="138">
        <f>'Assets-Liab 5-6'!F4</f>
        <v>96048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118530</v>
      </c>
      <c r="D3425" s="2" t="str">
        <f t="shared" si="52"/>
        <v>Error?</v>
      </c>
    </row>
    <row r="3426" spans="1:4" x14ac:dyDescent="0.2">
      <c r="A3426" s="10">
        <v>3365</v>
      </c>
      <c r="D3426" s="2" t="str">
        <f t="shared" si="52"/>
        <v>OK</v>
      </c>
    </row>
    <row r="3427" spans="1:4" x14ac:dyDescent="0.2">
      <c r="A3427" s="5">
        <v>3366</v>
      </c>
      <c r="B3427" s="138">
        <f>'Assets-Liab 5-6'!I4</f>
        <v>546379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11591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57821</v>
      </c>
      <c r="C3446" s="2" t="s">
        <v>594</v>
      </c>
      <c r="D3446" s="2" t="str">
        <f t="shared" si="52"/>
        <v>Error?</v>
      </c>
    </row>
    <row r="3447" spans="1:4" x14ac:dyDescent="0.2">
      <c r="A3447" s="5">
        <v>3386</v>
      </c>
      <c r="B3447" s="138">
        <f>'Tax Sched 23'!D16</f>
        <v>57821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49016</v>
      </c>
      <c r="C3449" s="2" t="s">
        <v>594</v>
      </c>
      <c r="D3449" s="2" t="str">
        <f t="shared" si="52"/>
        <v>Error?</v>
      </c>
    </row>
    <row r="3450" spans="1:4" x14ac:dyDescent="0.2">
      <c r="A3450" s="5">
        <v>3389</v>
      </c>
      <c r="B3450" s="138">
        <f>'Tax Sched 23'!E16</f>
        <v>49016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9095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9095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9095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9095</v>
      </c>
      <c r="C3568" s="2" t="s">
        <v>594</v>
      </c>
      <c r="D3568" s="2" t="str">
        <f t="shared" si="54"/>
        <v>Error?</v>
      </c>
    </row>
    <row r="3569" spans="1:4" x14ac:dyDescent="0.2">
      <c r="A3569" s="5">
        <v>3508</v>
      </c>
      <c r="B3569" s="138">
        <f>'Acct Summary 7-8'!K4</f>
        <v>23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v>
      </c>
      <c r="C3588" s="2" t="s">
        <v>594</v>
      </c>
      <c r="D3588" s="2" t="str">
        <f t="shared" si="55"/>
        <v>Error?</v>
      </c>
    </row>
    <row r="3589" spans="1:4" x14ac:dyDescent="0.2">
      <c r="A3589" s="5">
        <v>3528</v>
      </c>
      <c r="B3589" s="138">
        <f>'Acct Summary 7-8'!K79</f>
        <v>9072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9095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926739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2798569</v>
      </c>
      <c r="C4122" s="2" t="s">
        <v>594</v>
      </c>
      <c r="D4122" s="2" t="str">
        <f t="shared" si="63"/>
        <v>Error?</v>
      </c>
    </row>
    <row r="4123" spans="1:4" x14ac:dyDescent="0.2">
      <c r="A4123" s="5">
        <v>4062</v>
      </c>
      <c r="B4123" s="138">
        <f>'Acct Summary 7-8'!D10</f>
        <v>87079</v>
      </c>
      <c r="C4123" s="2" t="s">
        <v>594</v>
      </c>
      <c r="D4123" s="2" t="str">
        <f t="shared" si="63"/>
        <v>Error?</v>
      </c>
    </row>
    <row r="4124" spans="1:4" x14ac:dyDescent="0.2">
      <c r="A4124" s="5">
        <v>4063</v>
      </c>
      <c r="B4124" s="138">
        <f>'Acct Summary 7-8'!E10</f>
        <v>326526</v>
      </c>
      <c r="C4124" s="2" t="s">
        <v>594</v>
      </c>
      <c r="D4124" s="2" t="str">
        <f t="shared" si="63"/>
        <v>Error?</v>
      </c>
    </row>
    <row r="4125" spans="1:4" x14ac:dyDescent="0.2">
      <c r="A4125" s="5">
        <v>4064</v>
      </c>
      <c r="B4125" s="138">
        <f>'Acct Summary 7-8'!F10</f>
        <v>204938</v>
      </c>
      <c r="C4125" s="2" t="s">
        <v>594</v>
      </c>
      <c r="D4125" s="2" t="str">
        <f t="shared" si="63"/>
        <v>Error?</v>
      </c>
    </row>
    <row r="4126" spans="1:4" x14ac:dyDescent="0.2">
      <c r="A4126" s="5">
        <v>4065</v>
      </c>
      <c r="B4126" s="138">
        <f>'Acct Summary 7-8'!G10</f>
        <v>89658</v>
      </c>
      <c r="C4126" s="2" t="s">
        <v>594</v>
      </c>
      <c r="D4126" s="2" t="str">
        <f t="shared" si="63"/>
        <v>Error?</v>
      </c>
    </row>
    <row r="4127" spans="1:4" x14ac:dyDescent="0.2">
      <c r="A4127" s="5">
        <v>4066</v>
      </c>
      <c r="B4127" s="138">
        <f>'Acct Summary 7-8'!H10</f>
        <v>110202</v>
      </c>
      <c r="C4127" s="2" t="s">
        <v>594</v>
      </c>
      <c r="D4127" s="2" t="str">
        <f t="shared" si="63"/>
        <v>Error?</v>
      </c>
    </row>
    <row r="4128" spans="1:4" x14ac:dyDescent="0.2">
      <c r="A4128" s="5">
        <v>4067</v>
      </c>
      <c r="B4128" s="138">
        <f>'Acct Summary 7-8'!I10</f>
        <v>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v>
      </c>
      <c r="C4130" s="2" t="s">
        <v>594</v>
      </c>
      <c r="D4130" s="2" t="str">
        <f t="shared" si="63"/>
        <v>Error?</v>
      </c>
    </row>
    <row r="4131" spans="1:4" x14ac:dyDescent="0.2">
      <c r="A4131" s="5">
        <v>4070</v>
      </c>
      <c r="B4131" s="138">
        <f>'Acct Summary 7-8'!C18</f>
        <v>926739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3042667</v>
      </c>
      <c r="C4136" s="2" t="s">
        <v>594</v>
      </c>
      <c r="D4136" s="2" t="str">
        <f t="shared" si="63"/>
        <v>Error?</v>
      </c>
    </row>
    <row r="4137" spans="1:4" x14ac:dyDescent="0.2">
      <c r="A4137" s="5">
        <v>4076</v>
      </c>
      <c r="B4137" s="138">
        <f>'Acct Summary 7-8'!D19</f>
        <v>140311</v>
      </c>
      <c r="C4137" s="2" t="s">
        <v>594</v>
      </c>
      <c r="D4137" s="2" t="str">
        <f t="shared" si="63"/>
        <v>Error?</v>
      </c>
    </row>
    <row r="4138" spans="1:4" x14ac:dyDescent="0.2">
      <c r="A4138" s="5">
        <v>4077</v>
      </c>
      <c r="B4138" s="138">
        <f>'Acct Summary 7-8'!E19</f>
        <v>349030</v>
      </c>
      <c r="C4138" s="2" t="s">
        <v>594</v>
      </c>
      <c r="D4138" s="2" t="str">
        <f t="shared" si="63"/>
        <v>Error?</v>
      </c>
    </row>
    <row r="4139" spans="1:4" x14ac:dyDescent="0.2">
      <c r="A4139" s="5">
        <v>4078</v>
      </c>
      <c r="B4139" s="138">
        <f>'Acct Summary 7-8'!F19</f>
        <v>199594</v>
      </c>
      <c r="C4139" s="2" t="s">
        <v>594</v>
      </c>
      <c r="D4139" s="2" t="str">
        <f t="shared" si="63"/>
        <v>Error?</v>
      </c>
    </row>
    <row r="4140" spans="1:4" x14ac:dyDescent="0.2">
      <c r="A4140" s="5">
        <v>4079</v>
      </c>
      <c r="B4140" s="138">
        <f>'Acct Summary 7-8'!G19</f>
        <v>84918</v>
      </c>
      <c r="C4140" s="2" t="s">
        <v>594</v>
      </c>
      <c r="D4140" s="2" t="str">
        <f t="shared" si="63"/>
        <v>Error?</v>
      </c>
    </row>
    <row r="4141" spans="1:4" x14ac:dyDescent="0.2">
      <c r="A4141" s="5">
        <v>4080</v>
      </c>
      <c r="B4141" s="138">
        <f>'Acct Summary 7-8'!H19</f>
        <v>16320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1471000</v>
      </c>
      <c r="C4171" s="2" t="s">
        <v>594</v>
      </c>
      <c r="D4171" s="2" t="str">
        <f t="shared" si="64"/>
        <v>Error?</v>
      </c>
    </row>
    <row r="4172" spans="1:4" x14ac:dyDescent="0.2">
      <c r="A4172" s="5">
        <v>4111</v>
      </c>
      <c r="B4172" s="138">
        <f>'Short-Term Long-Term Debt 24'!J49</f>
        <v>1451223</v>
      </c>
      <c r="C4172" s="2" t="s">
        <v>594</v>
      </c>
      <c r="D4172" s="2" t="str">
        <f t="shared" si="64"/>
        <v>Error?</v>
      </c>
    </row>
    <row r="4173" spans="1:4" x14ac:dyDescent="0.2">
      <c r="A4173" s="5">
        <v>4112</v>
      </c>
      <c r="B4173" s="138">
        <f>'Short-Term Long-Term Debt 24'!H49</f>
        <v>283000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1636.35</v>
      </c>
      <c r="C4265" s="2" t="s">
        <v>594</v>
      </c>
      <c r="D4265" s="2" t="str">
        <f t="shared" si="65"/>
        <v>Error?</v>
      </c>
      <c r="E4265" s="128"/>
    </row>
    <row r="4266" spans="1:5" x14ac:dyDescent="0.2">
      <c r="A4266" s="12">
        <v>4205</v>
      </c>
      <c r="B4266" s="138">
        <f>('FP Info 3'!F10)*100000</f>
        <v>105.2</v>
      </c>
      <c r="C4266" s="2" t="s">
        <v>594</v>
      </c>
      <c r="D4266" s="2" t="str">
        <f t="shared" si="65"/>
        <v>Error?</v>
      </c>
      <c r="E4266" s="128"/>
    </row>
    <row r="4267" spans="1:5" x14ac:dyDescent="0.2">
      <c r="A4267" s="12">
        <v>4206</v>
      </c>
      <c r="B4267" s="138">
        <f>('FP Info 3'!H10)*100000</f>
        <v>123.75999999999999</v>
      </c>
      <c r="C4267" s="2" t="s">
        <v>594</v>
      </c>
      <c r="D4267" s="2" t="str">
        <f t="shared" si="65"/>
        <v>Error?</v>
      </c>
      <c r="E4267" s="128"/>
    </row>
    <row r="4268" spans="1:5" x14ac:dyDescent="0.2">
      <c r="A4268" s="12">
        <v>4207</v>
      </c>
      <c r="B4268" s="138">
        <f>('FP Info 3'!J10)*100000</f>
        <v>1865</v>
      </c>
      <c r="C4268" s="2" t="s">
        <v>594</v>
      </c>
      <c r="D4268" s="2" t="str">
        <f t="shared" si="65"/>
        <v>Error?</v>
      </c>
    </row>
    <row r="4269" spans="1:5" x14ac:dyDescent="0.2">
      <c r="A4269" s="12">
        <v>4208</v>
      </c>
      <c r="B4269" s="138">
        <f>'FP Info 3'!J16</f>
        <v>1179920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79198362</v>
      </c>
      <c r="D4995" s="2" t="str">
        <f t="shared" si="77"/>
        <v>Error?</v>
      </c>
    </row>
    <row r="4996" spans="1:4" x14ac:dyDescent="0.2">
      <c r="A4996" s="12">
        <v>4935</v>
      </c>
      <c r="B4996" s="138">
        <f>'FP Info 3'!H31</f>
        <v>5464686.9780000001</v>
      </c>
      <c r="D4996" s="2" t="str">
        <f t="shared" si="77"/>
        <v>Error?</v>
      </c>
    </row>
    <row r="4997" spans="1:4" x14ac:dyDescent="0.2">
      <c r="A4997" s="12">
        <v>4936</v>
      </c>
      <c r="B4997" s="138">
        <f>'FP Info 3'!H37</f>
        <v>1471000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1232688</v>
      </c>
      <c r="D5061" s="2" t="str">
        <f t="shared" si="78"/>
        <v>Error?</v>
      </c>
    </row>
    <row r="5062" spans="1:4" x14ac:dyDescent="0.2">
      <c r="A5062" s="10">
        <v>5001</v>
      </c>
      <c r="D5062" s="2" t="str">
        <f t="shared" si="78"/>
        <v>OK</v>
      </c>
    </row>
    <row r="5063" spans="1:4" x14ac:dyDescent="0.2">
      <c r="A5063" s="5">
        <v>5002</v>
      </c>
      <c r="B5063" s="138">
        <f>'Revenues 9-14'!C7</f>
        <v>9648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1242336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135239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135239</v>
      </c>
      <c r="C5071" s="2" t="s">
        <v>594</v>
      </c>
      <c r="D5071" s="2" t="str">
        <f t="shared" si="78"/>
        <v>Error?</v>
      </c>
    </row>
    <row r="5072" spans="1:4" x14ac:dyDescent="0.2">
      <c r="A5072" s="5">
        <v>5011</v>
      </c>
      <c r="B5072" s="138">
        <f>'Revenues 9-14'!C20</f>
        <v>65987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41756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107743</v>
      </c>
      <c r="C5087" s="2" t="s">
        <v>594</v>
      </c>
      <c r="D5087" s="2" t="str">
        <f t="shared" si="78"/>
        <v>Error?</v>
      </c>
    </row>
    <row r="5088" spans="1:4" x14ac:dyDescent="0.2">
      <c r="A5088" s="5">
        <v>5027</v>
      </c>
      <c r="B5088" s="138">
        <f>'Revenues 9-14'!C65</f>
        <v>769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769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782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30465</v>
      </c>
      <c r="C5096" s="2" t="s">
        <v>594</v>
      </c>
      <c r="D5096" s="2" t="str">
        <f t="shared" si="78"/>
        <v>Error?</v>
      </c>
    </row>
    <row r="5097" spans="1:4" x14ac:dyDescent="0.2">
      <c r="A5097" s="5">
        <v>5036</v>
      </c>
      <c r="B5097" s="138">
        <f>'Revenues 9-14'!C77</f>
        <v>15675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16425</v>
      </c>
      <c r="C5102" s="2" t="s">
        <v>594</v>
      </c>
      <c r="D5102" s="2" t="str">
        <f t="shared" si="78"/>
        <v>Error?</v>
      </c>
    </row>
    <row r="5103" spans="1:4" x14ac:dyDescent="0.2">
      <c r="A5103" s="5">
        <v>5042</v>
      </c>
      <c r="B5103" s="138">
        <f>'Revenues 9-14'!C84</f>
        <v>7460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7460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1916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428</v>
      </c>
      <c r="D5119" s="2" t="str">
        <f t="shared" ref="D5119:D5182" si="79">IF(ISBLANK(B5119),"OK",IF(A5119-B5119=0,"OK","Error?"))</f>
        <v>Error?</v>
      </c>
    </row>
    <row r="5120" spans="1:4" x14ac:dyDescent="0.2">
      <c r="A5120" s="5">
        <v>5059</v>
      </c>
      <c r="B5120" s="138">
        <f>'Revenues 9-14'!C108</f>
        <v>2344</v>
      </c>
      <c r="C5120" s="2" t="s">
        <v>594</v>
      </c>
      <c r="D5120" s="2" t="str">
        <f t="shared" si="79"/>
        <v>Error?</v>
      </c>
    </row>
    <row r="5121" spans="1:4" x14ac:dyDescent="0.2">
      <c r="A5121" s="5">
        <v>5060</v>
      </c>
      <c r="B5121" s="138">
        <f>'Revenues 9-14'!C109</f>
        <v>1542781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152011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152011</v>
      </c>
      <c r="C5132" s="2" t="s">
        <v>594</v>
      </c>
      <c r="D5132" s="2" t="str">
        <f t="shared" si="79"/>
        <v>Error?</v>
      </c>
    </row>
    <row r="5133" spans="1:4" x14ac:dyDescent="0.2">
      <c r="A5133" s="5">
        <v>5072</v>
      </c>
      <c r="B5133" s="138">
        <f>'Revenues 9-14'!C124</f>
        <v>44870</v>
      </c>
      <c r="D5133" s="2" t="str">
        <f t="shared" si="79"/>
        <v>Error?</v>
      </c>
    </row>
    <row r="5134" spans="1:4" x14ac:dyDescent="0.2">
      <c r="A5134" s="5">
        <v>5073</v>
      </c>
      <c r="B5134" s="138">
        <f>'Revenues 9-14'!C125</f>
        <v>13247</v>
      </c>
      <c r="D5134" s="2" t="str">
        <f t="shared" si="79"/>
        <v>Error?</v>
      </c>
    </row>
    <row r="5135" spans="1:4" x14ac:dyDescent="0.2">
      <c r="A5135" s="5">
        <v>5074</v>
      </c>
      <c r="B5135" s="138">
        <f>'Revenues 9-14'!C126</f>
        <v>17032</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80352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581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80933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232944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26652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7142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33794</v>
      </c>
      <c r="C5246" s="2" t="s">
        <v>594</v>
      </c>
      <c r="D5246" s="2" t="str">
        <f t="shared" si="80"/>
        <v>Error?</v>
      </c>
    </row>
    <row r="5247" spans="1:4" x14ac:dyDescent="0.2">
      <c r="A5247" s="5">
        <v>5186</v>
      </c>
      <c r="B5247" s="138">
        <f>'Revenues 9-14'!C203</f>
        <v>18270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18270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1457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42584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44041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96105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96105</v>
      </c>
      <c r="C5326" s="2" t="s">
        <v>594</v>
      </c>
      <c r="D5326" s="2" t="str">
        <f t="shared" si="82"/>
        <v>Error?</v>
      </c>
    </row>
    <row r="5327" spans="1:4" x14ac:dyDescent="0.2">
      <c r="A5327" s="5">
        <v>5266</v>
      </c>
      <c r="B5327" s="138">
        <f>'Revenues 9-14'!C275</f>
        <v>1871830</v>
      </c>
      <c r="C5327" s="2" t="s">
        <v>594</v>
      </c>
      <c r="D5327" s="2" t="str">
        <f t="shared" si="82"/>
        <v>Error?</v>
      </c>
    </row>
    <row r="5328" spans="1:4" x14ac:dyDescent="0.2">
      <c r="A5328" s="5">
        <v>5267</v>
      </c>
      <c r="B5328" s="138">
        <f>'Revenues 9-14'!D5</f>
        <v>86720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86720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245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245</v>
      </c>
      <c r="C5355" s="2" t="s">
        <v>594</v>
      </c>
      <c r="D5355" s="2" t="str">
        <f t="shared" si="82"/>
        <v>Error?</v>
      </c>
    </row>
    <row r="5356" spans="1:4" x14ac:dyDescent="0.2">
      <c r="A5356" s="5">
        <v>5295</v>
      </c>
      <c r="B5356" s="138">
        <f>'Revenues 9-14'!D109</f>
        <v>87079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87079</v>
      </c>
      <c r="C5508" s="2" t="s">
        <v>594</v>
      </c>
      <c r="D5508" s="2" t="str">
        <f t="shared" si="85"/>
        <v>Error?</v>
      </c>
    </row>
    <row r="5509" spans="1:4" x14ac:dyDescent="0.2">
      <c r="A5509" s="5">
        <v>5448</v>
      </c>
      <c r="B5509" s="138">
        <f>'Revenues 9-14'!E5</f>
        <v>326483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326483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326526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326526</v>
      </c>
      <c r="C5552" s="2" t="s">
        <v>594</v>
      </c>
      <c r="D5552" s="2" t="str">
        <f t="shared" si="85"/>
        <v>Error?</v>
      </c>
    </row>
    <row r="5553" spans="1:4" x14ac:dyDescent="0.2">
      <c r="A5553" s="5">
        <v>5492</v>
      </c>
      <c r="B5553" s="138">
        <f>'Revenues 9-14'!F5</f>
        <v>91540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91540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64</v>
      </c>
      <c r="C5579" s="2" t="s">
        <v>594</v>
      </c>
      <c r="D5579" s="2" t="str">
        <f t="shared" si="86"/>
        <v>Error?</v>
      </c>
    </row>
    <row r="5580" spans="1:4" x14ac:dyDescent="0.2">
      <c r="A5580" s="5">
        <v>5519</v>
      </c>
      <c r="B5580" s="138">
        <f>'Revenues 9-14'!F65</f>
        <v>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91659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29025</v>
      </c>
      <c r="D5615" s="2" t="str">
        <f t="shared" si="86"/>
        <v>Error?</v>
      </c>
    </row>
    <row r="5616" spans="1:4" x14ac:dyDescent="0.2">
      <c r="A5616" s="10">
        <v>5555</v>
      </c>
      <c r="D5616" s="2" t="str">
        <f t="shared" si="86"/>
        <v>OK</v>
      </c>
    </row>
    <row r="5617" spans="1:4" x14ac:dyDescent="0.2">
      <c r="A5617" s="5">
        <v>5556</v>
      </c>
      <c r="B5617" s="138">
        <f>'Revenues 9-14'!F152</f>
        <v>84254</v>
      </c>
      <c r="D5617" s="2" t="str">
        <f t="shared" si="86"/>
        <v>Error?</v>
      </c>
    </row>
    <row r="5618" spans="1:4" x14ac:dyDescent="0.2">
      <c r="A5618" s="5">
        <v>5557</v>
      </c>
      <c r="B5618" s="138">
        <f>'Revenues 9-14'!F154</f>
        <v>113279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113279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113279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204938</v>
      </c>
      <c r="C5720" s="2" t="s">
        <v>594</v>
      </c>
      <c r="D5720" s="2" t="str">
        <f t="shared" si="88"/>
        <v>Error?</v>
      </c>
    </row>
    <row r="5721" spans="1:4" x14ac:dyDescent="0.2">
      <c r="A5721" s="5">
        <v>5660</v>
      </c>
      <c r="B5721" s="138">
        <f>'Revenues 9-14'!G5</f>
        <v>28915</v>
      </c>
      <c r="D5721" s="2" t="str">
        <f t="shared" si="88"/>
        <v>Error?</v>
      </c>
    </row>
    <row r="5722" spans="1:4" x14ac:dyDescent="0.2">
      <c r="A5722" s="5">
        <v>5661</v>
      </c>
      <c r="B5722" s="138">
        <f>'Revenues 9-14'!G7</f>
        <v>0</v>
      </c>
      <c r="D5722" s="2" t="str">
        <f t="shared" si="88"/>
        <v>Error?</v>
      </c>
    </row>
    <row r="5723" spans="1:4" x14ac:dyDescent="0.2">
      <c r="A5723" s="5">
        <v>5662</v>
      </c>
      <c r="B5723" s="138">
        <f>'Revenues 9-14'!G8</f>
        <v>57821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86736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2913</v>
      </c>
      <c r="C5730" s="2" t="s">
        <v>594</v>
      </c>
      <c r="D5730" s="2" t="str">
        <f t="shared" si="88"/>
        <v>Error?</v>
      </c>
    </row>
    <row r="5731" spans="1:4" x14ac:dyDescent="0.2">
      <c r="A5731" s="5">
        <v>5670</v>
      </c>
      <c r="B5731" s="138">
        <f>'Revenues 9-14'!G65</f>
        <v>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89658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110202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110202</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v>
      </c>
      <c r="C6023" s="2" t="s">
        <v>594</v>
      </c>
      <c r="D6023" s="2" t="str">
        <f t="shared" si="93"/>
        <v>Error?</v>
      </c>
    </row>
    <row r="6024" spans="1:5" x14ac:dyDescent="0.2">
      <c r="A6024" s="5">
        <v>5963</v>
      </c>
      <c r="B6024" s="138">
        <f>'Revenues 9-14'!G109</f>
        <v>89658</v>
      </c>
      <c r="C6024" s="2" t="s">
        <v>594</v>
      </c>
      <c r="D6024" s="2" t="str">
        <f t="shared" si="93"/>
        <v>Error?</v>
      </c>
    </row>
    <row r="6025" spans="1:5" x14ac:dyDescent="0.2">
      <c r="A6025" s="5">
        <v>5964</v>
      </c>
      <c r="B6025" s="138">
        <f>'Revenues 9-14'!H109</f>
        <v>110202</v>
      </c>
      <c r="C6025" s="2" t="s">
        <v>594</v>
      </c>
      <c r="D6025" s="2" t="str">
        <f t="shared" si="93"/>
        <v>Error?</v>
      </c>
    </row>
    <row r="6026" spans="1:5" x14ac:dyDescent="0.2">
      <c r="A6026" s="5">
        <v>5965</v>
      </c>
      <c r="B6026" s="138">
        <f>'Revenues 9-14'!I109</f>
        <v>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29683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6665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193.11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8739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8739</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8739</v>
      </c>
      <c r="D6216" s="2" t="str">
        <f t="shared" si="96"/>
        <v>Error?</v>
      </c>
      <c r="E6216" s="2" t="s">
        <v>199</v>
      </c>
    </row>
    <row r="6217" spans="1:5" x14ac:dyDescent="0.2">
      <c r="A6217">
        <v>6156</v>
      </c>
      <c r="B6217" s="138">
        <f>'Assets-Liab 5-6'!J4</f>
        <v>8739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33735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33735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33735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41398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41398</v>
      </c>
      <c r="D6229" s="2" t="str">
        <f t="shared" si="96"/>
        <v>Error?</v>
      </c>
      <c r="E6229" s="2" t="s">
        <v>199</v>
      </c>
    </row>
    <row r="6230" spans="1:5" x14ac:dyDescent="0.2">
      <c r="A6230">
        <v>6169</v>
      </c>
      <c r="B6230" s="138">
        <f>'Acct Summary 7-8'!J20</f>
        <v>-7663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12000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12000</v>
      </c>
      <c r="D6262" s="2" t="str">
        <f t="shared" si="96"/>
        <v>Error?</v>
      </c>
      <c r="E6262" s="2" t="s">
        <v>199</v>
      </c>
    </row>
    <row r="6263" spans="1:5" x14ac:dyDescent="0.2">
      <c r="A6263">
        <v>6202</v>
      </c>
      <c r="B6263" s="138">
        <f>'Acct Summary 7-8'!J78</f>
        <v>4337</v>
      </c>
      <c r="D6263" s="2" t="str">
        <f t="shared" si="96"/>
        <v>Error?</v>
      </c>
      <c r="E6263" s="2" t="s">
        <v>199</v>
      </c>
    </row>
    <row r="6264" spans="1:5" x14ac:dyDescent="0.2">
      <c r="A6264">
        <v>6203</v>
      </c>
      <c r="B6264" s="138">
        <f>'Acct Summary 7-8'!J79</f>
        <v>4402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8739</v>
      </c>
      <c r="D6266" s="2" t="str">
        <f t="shared" si="96"/>
        <v>Error?</v>
      </c>
      <c r="E6266" s="2" t="s">
        <v>199</v>
      </c>
    </row>
    <row r="6267" spans="1:5" x14ac:dyDescent="0.2">
      <c r="A6267">
        <v>6206</v>
      </c>
      <c r="B6267" s="138">
        <f>'Acct Summary 7-8'!C82</f>
        <v>155902</v>
      </c>
      <c r="D6267" s="2" t="str">
        <f t="shared" si="96"/>
        <v>Error?</v>
      </c>
      <c r="E6267" s="2" t="s">
        <v>199</v>
      </c>
    </row>
    <row r="6268" spans="1:5" x14ac:dyDescent="0.2">
      <c r="A6268">
        <v>6207</v>
      </c>
      <c r="B6268" s="138">
        <f>'Acct Summary 7-8'!D82</f>
        <v>-53232</v>
      </c>
      <c r="D6268" s="2" t="str">
        <f t="shared" si="96"/>
        <v>Error?</v>
      </c>
      <c r="E6268" s="2" t="s">
        <v>199</v>
      </c>
    </row>
    <row r="6269" spans="1:5" x14ac:dyDescent="0.2">
      <c r="A6269">
        <v>6208</v>
      </c>
      <c r="B6269" s="138">
        <f>'Acct Summary 7-8'!E82</f>
        <v>-22504</v>
      </c>
      <c r="D6269" s="2" t="str">
        <f t="shared" si="96"/>
        <v>Error?</v>
      </c>
      <c r="E6269" s="2" t="s">
        <v>199</v>
      </c>
    </row>
    <row r="6270" spans="1:5" x14ac:dyDescent="0.2">
      <c r="A6270">
        <v>6209</v>
      </c>
      <c r="B6270" s="138">
        <f>'Acct Summary 7-8'!F82</f>
        <v>5344</v>
      </c>
      <c r="D6270" s="2" t="str">
        <f t="shared" si="96"/>
        <v>Error?</v>
      </c>
      <c r="E6270" s="2" t="s">
        <v>199</v>
      </c>
    </row>
    <row r="6271" spans="1:5" x14ac:dyDescent="0.2">
      <c r="A6271">
        <v>6210</v>
      </c>
      <c r="B6271" s="138">
        <f>'Acct Summary 7-8'!G82</f>
        <v>4740</v>
      </c>
      <c r="D6271" s="2" t="str">
        <f t="shared" ref="D6271:D6334" si="97">IF(ISBLANK(B6271),"OK",IF(A6271-B6271=0,"OK","Error?"))</f>
        <v>Error?</v>
      </c>
      <c r="E6271" s="2" t="s">
        <v>199</v>
      </c>
    </row>
    <row r="6272" spans="1:5" x14ac:dyDescent="0.2">
      <c r="A6272">
        <v>6211</v>
      </c>
      <c r="B6272" s="138">
        <f>'Acct Summary 7-8'!H82</f>
        <v>93882</v>
      </c>
      <c r="D6272" s="2" t="str">
        <f t="shared" si="97"/>
        <v>Error?</v>
      </c>
      <c r="E6272" s="2" t="s">
        <v>199</v>
      </c>
    </row>
    <row r="6273" spans="1:5" x14ac:dyDescent="0.2">
      <c r="A6273">
        <v>6212</v>
      </c>
      <c r="B6273" s="138">
        <f>'Acct Summary 7-8'!I82</f>
        <v>-411977</v>
      </c>
      <c r="D6273" s="2" t="str">
        <f t="shared" si="97"/>
        <v>Error?</v>
      </c>
      <c r="E6273" s="2" t="s">
        <v>199</v>
      </c>
    </row>
    <row r="6274" spans="1:5" x14ac:dyDescent="0.2">
      <c r="A6274">
        <v>6213</v>
      </c>
      <c r="B6274" s="138">
        <f>'Acct Summary 7-8'!J82</f>
        <v>4337</v>
      </c>
      <c r="D6274" s="2" t="str">
        <f t="shared" si="97"/>
        <v>Error?</v>
      </c>
      <c r="E6274" s="2" t="s">
        <v>199</v>
      </c>
    </row>
    <row r="6275" spans="1:5" x14ac:dyDescent="0.2">
      <c r="A6275">
        <v>6214</v>
      </c>
      <c r="B6275" s="138">
        <f>'Acct Summary 7-8'!K82</f>
        <v>23</v>
      </c>
      <c r="D6275" s="2" t="str">
        <f t="shared" si="97"/>
        <v>Error?</v>
      </c>
      <c r="E6275" s="2" t="s">
        <v>199</v>
      </c>
    </row>
    <row r="6276" spans="1:5" x14ac:dyDescent="0.2">
      <c r="A6276">
        <v>6215</v>
      </c>
      <c r="B6276" s="138">
        <f>'Acct Summary 7-8'!C83</f>
        <v>0.33178121023039236</v>
      </c>
      <c r="D6276" s="2" t="str">
        <f t="shared" si="97"/>
        <v>Error?</v>
      </c>
      <c r="E6276" s="2" t="s">
        <v>199</v>
      </c>
    </row>
    <row r="6277" spans="1:5" x14ac:dyDescent="0.2">
      <c r="A6277">
        <v>6216</v>
      </c>
      <c r="B6277" s="138">
        <f>'Acct Summary 7-8'!D83</f>
        <v>-0.78746727022589091</v>
      </c>
      <c r="D6277" s="2" t="str">
        <f t="shared" si="97"/>
        <v>Error?</v>
      </c>
      <c r="E6277" s="2" t="s">
        <v>199</v>
      </c>
    </row>
    <row r="6278" spans="1:5" x14ac:dyDescent="0.2">
      <c r="A6278">
        <v>6217</v>
      </c>
      <c r="B6278" s="138">
        <f>'Acct Summary 7-8'!E83</f>
        <v>-1.1378874450118825</v>
      </c>
      <c r="D6278" s="2" t="str">
        <f t="shared" si="97"/>
        <v>Error?</v>
      </c>
      <c r="E6278" s="2" t="s">
        <v>199</v>
      </c>
    </row>
    <row r="6279" spans="1:5" x14ac:dyDescent="0.2">
      <c r="A6279">
        <v>6218</v>
      </c>
      <c r="B6279" s="138">
        <f>'Acct Summary 7-8'!F83</f>
        <v>5.5638847243045145E-2</v>
      </c>
      <c r="D6279" s="2" t="str">
        <f t="shared" si="97"/>
        <v>Error?</v>
      </c>
      <c r="E6279" s="2" t="s">
        <v>199</v>
      </c>
    </row>
    <row r="6280" spans="1:5" x14ac:dyDescent="0.2">
      <c r="A6280">
        <v>6219</v>
      </c>
      <c r="B6280" s="138">
        <f>'Acct Summary 7-8'!G83</f>
        <v>0.29395348837209301</v>
      </c>
      <c r="D6280" s="2" t="str">
        <f t="shared" si="97"/>
        <v>Error?</v>
      </c>
      <c r="E6280" s="2" t="s">
        <v>199</v>
      </c>
    </row>
    <row r="6281" spans="1:5" x14ac:dyDescent="0.2">
      <c r="A6281">
        <v>6220</v>
      </c>
      <c r="B6281" s="138">
        <f>'Acct Summary 7-8'!H83</f>
        <v>0.79205264490002536</v>
      </c>
      <c r="D6281" s="2" t="str">
        <f t="shared" si="97"/>
        <v>Error?</v>
      </c>
      <c r="E6281" s="2" t="s">
        <v>199</v>
      </c>
    </row>
    <row r="6282" spans="1:5" x14ac:dyDescent="0.2">
      <c r="A6282">
        <v>6221</v>
      </c>
      <c r="B6282" s="138">
        <f>'Acct Summary 7-8'!I83</f>
        <v>-0.75401323989391977</v>
      </c>
      <c r="D6282" s="2" t="str">
        <f t="shared" si="97"/>
        <v>Error?</v>
      </c>
      <c r="E6282" s="2" t="s">
        <v>199</v>
      </c>
    </row>
    <row r="6283" spans="1:5" x14ac:dyDescent="0.2">
      <c r="A6283">
        <v>6222</v>
      </c>
      <c r="B6283" s="138">
        <f>'Acct Summary 7-8'!J83</f>
        <v>0.49628103902048287</v>
      </c>
      <c r="D6283" s="2" t="str">
        <f t="shared" si="97"/>
        <v>Error?</v>
      </c>
      <c r="E6283" s="2" t="s">
        <v>199</v>
      </c>
    </row>
    <row r="6284" spans="1:5" x14ac:dyDescent="0.2">
      <c r="A6284">
        <v>6223</v>
      </c>
      <c r="B6284" s="138">
        <f>'Acct Summary 7-8'!K83</f>
        <v>2.5288620120945573E-3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33735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33735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33735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41398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33735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41398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41398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41398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41398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41398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41398</v>
      </c>
      <c r="D7224" s="2" t="str">
        <f t="shared" si="111"/>
        <v>Error?</v>
      </c>
    </row>
    <row r="7225" spans="1:4" x14ac:dyDescent="0.2">
      <c r="A7225">
        <v>7164</v>
      </c>
      <c r="B7225" s="138">
        <f>'Expenditures 15-22'!K343</f>
        <v>-7663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169027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9648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110202</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12000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61266</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36266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8" sqref="A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West Lincoln-Broadwell ESD 92</v>
      </c>
      <c r="B7" s="2403"/>
      <c r="C7" s="2403"/>
      <c r="D7" s="2440"/>
      <c r="E7" s="2441">
        <f>COVER!A13</f>
        <v>17054092004</v>
      </c>
      <c r="F7" s="2442"/>
      <c r="G7" s="2409" t="str">
        <f>COVER!T23</f>
        <v>065-015457</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Pamela J. Simpson, CPA</v>
      </c>
      <c r="H9" s="2416"/>
      <c r="I9" s="2416"/>
      <c r="J9" s="2416"/>
      <c r="K9" s="2416"/>
      <c r="L9" s="2417"/>
    </row>
    <row r="10" spans="1:29" ht="13.5" customHeight="1" x14ac:dyDescent="0.2">
      <c r="A10" s="2399" t="str">
        <f>COVER!A38</f>
        <v>Heather Baker, Superintendent</v>
      </c>
      <c r="B10" s="2400"/>
      <c r="C10" s="2400"/>
      <c r="D10" s="2400"/>
      <c r="E10" s="2400"/>
      <c r="F10" s="2401"/>
      <c r="G10" s="2415" t="str">
        <f>COVER!T17</f>
        <v>920 West Pershing Road</v>
      </c>
      <c r="H10" s="2428"/>
      <c r="I10" s="2428"/>
      <c r="J10" s="2428"/>
      <c r="K10" s="2428"/>
      <c r="L10" s="2429"/>
    </row>
    <row r="11" spans="1:29" ht="13.5" customHeight="1" x14ac:dyDescent="0.2">
      <c r="A11" s="1185" t="s">
        <v>1599</v>
      </c>
      <c r="B11" s="1186"/>
      <c r="C11" s="1187"/>
      <c r="D11" s="1192"/>
      <c r="E11" s="1187"/>
      <c r="F11" s="1191"/>
      <c r="G11" s="2415" t="str">
        <f>COVER!T19</f>
        <v>Decatur</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pjscpa31a@aol.com</v>
      </c>
      <c r="J13" s="2437"/>
      <c r="K13" s="2437"/>
      <c r="L13" s="2438"/>
    </row>
    <row r="14" spans="1:29" ht="13.5" customHeight="1" x14ac:dyDescent="0.2">
      <c r="A14" s="2415" t="str">
        <f>COVER!A19</f>
        <v>2965 Woodlawn</v>
      </c>
      <c r="B14" s="2428"/>
      <c r="C14" s="2428"/>
      <c r="D14" s="2428"/>
      <c r="E14" s="2428"/>
      <c r="F14" s="2429"/>
      <c r="G14" s="1196" t="s">
        <v>1247</v>
      </c>
      <c r="H14" s="1194"/>
      <c r="I14" s="1194"/>
      <c r="J14" s="1194"/>
      <c r="K14" s="1194"/>
      <c r="L14" s="1195"/>
    </row>
    <row r="15" spans="1:29" ht="13.5" customHeight="1" x14ac:dyDescent="0.2">
      <c r="A15" s="2415" t="str">
        <f>COVER!A21</f>
        <v>Lincoln</v>
      </c>
      <c r="B15" s="2428"/>
      <c r="C15" s="2428"/>
      <c r="D15" s="2428"/>
      <c r="E15" s="2428"/>
      <c r="F15" s="2429"/>
      <c r="G15" s="2425" t="str">
        <f>COVER!T15</f>
        <v>Pamela J. Simpson</v>
      </c>
      <c r="H15" s="2426"/>
      <c r="I15" s="2426"/>
      <c r="J15" s="2426"/>
      <c r="K15" s="2426"/>
      <c r="L15" s="2427"/>
    </row>
    <row r="16" spans="1:29" ht="12.2" customHeight="1" x14ac:dyDescent="0.2">
      <c r="A16" s="2405">
        <f>COVER!A25</f>
        <v>62656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(217) 872-1908</v>
      </c>
      <c r="H18" s="2403"/>
      <c r="I18" s="2403"/>
      <c r="J18" s="2403"/>
      <c r="K18" s="2402" t="str">
        <f>COVER!X21</f>
        <v>(217) 872-1911</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8" sqref="A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West Lincoln-Broadwell ESD 92</v>
      </c>
      <c r="B1" s="2439"/>
      <c r="C1" s="2439"/>
      <c r="D1" s="2439"/>
    </row>
    <row r="2" spans="1:11" s="1215" customFormat="1" ht="12.75" x14ac:dyDescent="0.2">
      <c r="A2" s="2444">
        <f>'Single Audit Cover'!E7</f>
        <v>17054092004</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8" sqref="A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West Lincoln-Broadwell ESD 92</v>
      </c>
      <c r="B1" s="2447"/>
      <c r="C1" s="2447"/>
      <c r="D1" s="2447"/>
      <c r="E1" s="2447"/>
    </row>
    <row r="2" spans="1:5" x14ac:dyDescent="0.2">
      <c r="A2" s="2448">
        <f>'Single Audit Cover'!E7</f>
        <v>17054092004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96105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6665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102770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102770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102770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West Lincoln-Broadwell ESD 92</v>
      </c>
      <c r="B1" s="2452"/>
      <c r="C1" s="2452"/>
      <c r="D1" s="2452"/>
      <c r="E1" s="2452"/>
      <c r="F1" s="2452"/>
    </row>
    <row r="2" spans="1:7" ht="13.5" customHeight="1" x14ac:dyDescent="0.2">
      <c r="A2" s="2453">
        <f>'Single Audit Cover'!E7</f>
        <v>17054092004</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West Lincoln-Broadwell ESD 92</v>
      </c>
      <c r="C1" s="2464"/>
      <c r="D1" s="2464"/>
      <c r="E1" s="2464"/>
      <c r="F1" s="2464"/>
      <c r="G1" s="2464"/>
      <c r="H1" s="2464"/>
      <c r="I1" s="2464"/>
      <c r="J1" s="2464"/>
      <c r="K1" s="2464"/>
      <c r="L1" s="2464"/>
      <c r="M1" s="2464"/>
    </row>
    <row r="2" spans="2:14" ht="15" x14ac:dyDescent="0.2">
      <c r="B2" s="2453">
        <f>'Single Audit Cover'!E7</f>
        <v>17054092004</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8" sqref="A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West Lincoln-Broadwell ESD 92</v>
      </c>
      <c r="C1" s="2472"/>
      <c r="D1" s="2472"/>
      <c r="E1" s="2472"/>
      <c r="F1" s="2472"/>
      <c r="G1" s="2472"/>
      <c r="H1" s="2472"/>
      <c r="I1" s="2472"/>
      <c r="J1" s="1422"/>
    </row>
    <row r="2" spans="2:10" s="317" customFormat="1" ht="12.75" customHeight="1" x14ac:dyDescent="0.2">
      <c r="B2" s="2473">
        <f>'Single Audit Cover'!E7</f>
        <v>17054092004</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West Lincoln-Broadwell ESD 92</v>
      </c>
      <c r="C1" s="2471"/>
      <c r="D1" s="2471"/>
      <c r="E1" s="2471"/>
      <c r="F1" s="2471"/>
      <c r="G1" s="2471"/>
      <c r="H1" s="2471"/>
      <c r="I1" s="2471"/>
      <c r="J1" s="2471"/>
      <c r="K1" s="2471"/>
      <c r="L1" s="1374"/>
      <c r="M1" s="1374"/>
    </row>
    <row r="2" spans="1:13" ht="12" customHeight="1" x14ac:dyDescent="0.2">
      <c r="B2" s="2473">
        <f>'Single Audit Cover'!E7</f>
        <v>17054092004</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West Lincoln-Broadwell ESD 92</v>
      </c>
      <c r="C1" s="2498"/>
      <c r="D1" s="2498"/>
      <c r="E1" s="2498"/>
      <c r="F1" s="2498"/>
      <c r="G1" s="2498"/>
      <c r="H1" s="2498"/>
      <c r="I1" s="2498"/>
      <c r="J1" s="2498"/>
      <c r="K1" s="2498"/>
      <c r="L1" s="1465"/>
    </row>
    <row r="2" spans="1:12" ht="12.75" customHeight="1" x14ac:dyDescent="0.2">
      <c r="B2" s="2499">
        <f>'Single Audit Cover'!E7</f>
        <v>17054092004</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West Lincoln-Broadwell ESD 92</v>
      </c>
      <c r="C1" s="2471"/>
      <c r="D1" s="2471"/>
      <c r="E1" s="1491"/>
    </row>
    <row r="2" spans="2:5" s="1282" customFormat="1" ht="12.75" customHeight="1" x14ac:dyDescent="0.2">
      <c r="B2" s="2473">
        <f>'Single Audit Cover'!E7</f>
        <v>17054092004</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9914F8B6-F742-48D8-9F13-1076A7DC5E6F}">
  <ds:schemaRefs>
    <ds:schemaRef ds:uri="6ce3111e-7420-4802-b50a-75d4e9a0b980"/>
    <ds:schemaRef ds:uri="http://www.w3.org/XML/1998/namespace"/>
    <ds:schemaRef ds:uri="http://schemas.microsoft.com/office/2006/documentManagement/types"/>
    <ds:schemaRef ds:uri="http://schemas.microsoft.com/sharepoint/v3"/>
    <ds:schemaRef ds:uri="http://purl.org/dc/terms/"/>
    <ds:schemaRef ds:uri="http://purl.org/dc/dcmitype/"/>
    <ds:schemaRef ds:uri="http://purl.org/dc/elements/1.1/"/>
    <ds:schemaRef ds:uri="http://schemas.microsoft.com/office/2006/metadata/properties"/>
    <ds:schemaRef ds:uri="d21dc803-237d-4c68-8692-8d731fd29118"/>
    <ds:schemaRef ds:uri="http://schemas.microsoft.com/office/infopath/2007/PartnerControls"/>
    <ds:schemaRef ds:uri="http://schemas.openxmlformats.org/package/2006/metadata/core-properties"/>
    <ds:schemaRef ds:uri="4d435f69-8686-490b-bd6d-b153bf22ab50"/>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2018-10-25T19:52:46Z</cp:lastPrinted>
  <dcterms:created xsi:type="dcterms:W3CDTF">2003-10-29T19:06:34Z</dcterms:created>
  <dcterms:modified xsi:type="dcterms:W3CDTF">2018-10-30T18:47:52Z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