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5200" windowHeight="1144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K158" i="29"/>
  <c r="B7780" i="106" s="1"/>
  <c r="K157" i="29"/>
  <c r="B7795" i="106"/>
  <c r="K133" i="29"/>
  <c r="B7776" i="106" s="1"/>
  <c r="B7793" i="106"/>
  <c r="B7791" i="106"/>
  <c r="B7787"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K24" i="12" s="1"/>
  <c r="B7733" i="106" s="1"/>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C259" i="5"/>
  <c r="B7761" i="106"/>
  <c r="L127" i="29"/>
  <c r="L129" i="29" s="1"/>
  <c r="L139" i="29"/>
  <c r="L149" i="29"/>
  <c r="I7" i="145"/>
  <c r="I6" i="145"/>
  <c r="D78" i="36"/>
  <c r="K75" i="29"/>
  <c r="K130" i="29"/>
  <c r="F56" i="34" s="1"/>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B2976" i="106" s="1"/>
  <c r="D2976" i="106" s="1"/>
  <c r="K82" i="29"/>
  <c r="B2977" i="106" s="1"/>
  <c r="D2977" i="106" s="1"/>
  <c r="K83" i="29"/>
  <c r="K93" i="29"/>
  <c r="K94" i="29"/>
  <c r="K95" i="29"/>
  <c r="K96" i="29"/>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B7088" i="106" s="1"/>
  <c r="D7088" i="106" s="1"/>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c r="B5116" i="106"/>
  <c r="D5116" i="106" s="1"/>
  <c r="B5117" i="106"/>
  <c r="D5117" i="106"/>
  <c r="B5118" i="106"/>
  <c r="D5118" i="106" s="1"/>
  <c r="B5119" i="106"/>
  <c r="D5119" i="106" s="1"/>
  <c r="B5122" i="106"/>
  <c r="D5122" i="106" s="1"/>
  <c r="B5123" i="106"/>
  <c r="D5123" i="106"/>
  <c r="B5124" i="106"/>
  <c r="D5124" i="106" s="1"/>
  <c r="B5126" i="106"/>
  <c r="D5126" i="106" s="1"/>
  <c r="B5127" i="106"/>
  <c r="D5127" i="106" s="1"/>
  <c r="D5128" i="106"/>
  <c r="D5129" i="106"/>
  <c r="D5130" i="106"/>
  <c r="D5131" i="106"/>
  <c r="B5133" i="106"/>
  <c r="D5133" i="106"/>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J77" i="4" s="1"/>
  <c r="B6262" i="106" s="1"/>
  <c r="D6262" i="106" s="1"/>
  <c r="B6264" i="106"/>
  <c r="D6264" i="106" s="1"/>
  <c r="B6265" i="106"/>
  <c r="D6265" i="106" s="1"/>
  <c r="B6285" i="106"/>
  <c r="D628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s="1"/>
  <c r="B6302" i="106"/>
  <c r="D6302" i="106"/>
  <c r="B6303" i="106"/>
  <c r="D6303" i="106" s="1"/>
  <c r="B6304" i="106"/>
  <c r="D6304" i="106"/>
  <c r="B6305" i="106"/>
  <c r="D6305" i="106"/>
  <c r="B6307" i="106"/>
  <c r="D6307" i="106"/>
  <c r="B6308" i="106"/>
  <c r="D6308" i="106" s="1"/>
  <c r="B6309" i="106"/>
  <c r="D6309" i="106" s="1"/>
  <c r="B6310" i="106"/>
  <c r="D6310" i="106"/>
  <c r="B6311" i="106"/>
  <c r="D6311" i="106" s="1"/>
  <c r="B6312" i="106"/>
  <c r="D6312" i="106" s="1"/>
  <c r="B6313" i="106"/>
  <c r="D6313" i="106" s="1"/>
  <c r="B6314" i="106"/>
  <c r="D6314" i="106"/>
  <c r="B6315" i="106"/>
  <c r="D6315" i="106"/>
  <c r="B6316" i="106"/>
  <c r="D6316" i="106" s="1"/>
  <c r="B6317" i="106"/>
  <c r="D6317" i="106"/>
  <c r="B6319" i="106"/>
  <c r="D6319" i="106" s="1"/>
  <c r="B6320" i="106"/>
  <c r="D6320" i="106"/>
  <c r="B6321" i="106"/>
  <c r="D6321" i="106" s="1"/>
  <c r="B6322" i="106"/>
  <c r="D6322" i="106"/>
  <c r="B6323" i="106"/>
  <c r="D6323" i="106" s="1"/>
  <c r="B6324" i="106"/>
  <c r="D6324" i="106"/>
  <c r="B6325" i="106"/>
  <c r="D6325" i="106" s="1"/>
  <c r="B6326" i="106"/>
  <c r="D6326" i="106" s="1"/>
  <c r="B6327" i="106"/>
  <c r="D6327" i="106"/>
  <c r="B6328" i="106"/>
  <c r="D6328" i="106" s="1"/>
  <c r="B6329" i="106"/>
  <c r="D6329" i="106" s="1"/>
  <c r="B6330" i="106"/>
  <c r="D6330" i="106"/>
  <c r="B6331" i="106"/>
  <c r="D6331" i="106"/>
  <c r="B6332" i="106"/>
  <c r="D6332" i="106" s="1"/>
  <c r="B6333" i="106"/>
  <c r="D6333" i="106" s="1"/>
  <c r="B6334" i="106"/>
  <c r="D6334" i="106"/>
  <c r="B6335" i="106"/>
  <c r="D6335" i="106" s="1"/>
  <c r="B6336" i="106"/>
  <c r="D6336" i="106"/>
  <c r="B6337" i="106"/>
  <c r="D6337" i="106" s="1"/>
  <c r="B6338" i="106"/>
  <c r="D6338" i="106"/>
  <c r="B6339" i="106"/>
  <c r="D6339" i="106"/>
  <c r="B6340" i="106"/>
  <c r="D6340" i="106"/>
  <c r="B6341" i="106"/>
  <c r="D6341" i="106" s="1"/>
  <c r="B6342" i="106"/>
  <c r="D6342" i="106" s="1"/>
  <c r="B6343" i="106"/>
  <c r="D6343" i="106"/>
  <c r="B6344" i="106"/>
  <c r="D6344" i="106" s="1"/>
  <c r="B6345" i="106"/>
  <c r="D6345" i="106" s="1"/>
  <c r="B6346" i="106"/>
  <c r="D6346" i="106" s="1"/>
  <c r="B6347" i="106"/>
  <c r="D6347" i="106"/>
  <c r="B6348" i="106"/>
  <c r="D6348" i="106"/>
  <c r="B6349" i="106"/>
  <c r="D6349" i="106" s="1"/>
  <c r="B6350" i="106"/>
  <c r="D6350" i="106"/>
  <c r="B6353" i="106"/>
  <c r="D6353" i="106" s="1"/>
  <c r="B6354" i="106"/>
  <c r="D6354" i="106"/>
  <c r="B6355" i="106"/>
  <c r="D6355" i="106" s="1"/>
  <c r="B6356" i="106"/>
  <c r="D6356" i="106"/>
  <c r="B6358" i="106"/>
  <c r="D6358" i="106" s="1"/>
  <c r="B6359" i="106"/>
  <c r="D6359" i="106"/>
  <c r="B6360" i="106"/>
  <c r="D6360" i="106" s="1"/>
  <c r="B6361" i="106"/>
  <c r="D6361" i="106" s="1"/>
  <c r="B6362" i="106"/>
  <c r="D6362" i="106"/>
  <c r="B6363" i="106"/>
  <c r="D6363" i="106" s="1"/>
  <c r="B6364" i="106"/>
  <c r="D6364" i="106" s="1"/>
  <c r="B6365" i="106"/>
  <c r="D6365" i="106"/>
  <c r="B6366" i="106"/>
  <c r="D6366" i="106"/>
  <c r="B6367" i="106"/>
  <c r="D6367" i="106" s="1"/>
  <c r="B6368" i="106"/>
  <c r="D6368" i="106" s="1"/>
  <c r="B6369" i="106"/>
  <c r="D6369" i="106"/>
  <c r="B6370" i="106"/>
  <c r="D6370" i="106" s="1"/>
  <c r="B6371" i="106"/>
  <c r="D6371" i="106"/>
  <c r="B6372" i="106"/>
  <c r="D6372" i="106" s="1"/>
  <c r="B6373" i="106"/>
  <c r="D6373" i="106"/>
  <c r="B6374" i="106"/>
  <c r="D6374" i="106"/>
  <c r="B6375" i="106"/>
  <c r="D6375" i="106"/>
  <c r="B6376" i="106"/>
  <c r="D6376" i="106" s="1"/>
  <c r="B6377" i="106"/>
  <c r="D6377" i="106" s="1"/>
  <c r="B6378" i="106"/>
  <c r="D6378" i="106"/>
  <c r="B6379" i="106"/>
  <c r="D6379" i="106" s="1"/>
  <c r="B6380" i="106"/>
  <c r="D6380" i="106" s="1"/>
  <c r="B6381" i="106"/>
  <c r="D6381" i="106" s="1"/>
  <c r="B6382" i="106"/>
  <c r="D6382" i="106"/>
  <c r="B6383" i="106"/>
  <c r="D6383" i="106"/>
  <c r="B6384" i="106"/>
  <c r="D6384" i="106" s="1"/>
  <c r="B6385" i="106"/>
  <c r="D6385" i="106"/>
  <c r="B6386" i="106"/>
  <c r="D6386" i="106" s="1"/>
  <c r="B6387" i="106"/>
  <c r="D6387" i="106"/>
  <c r="B6388" i="106"/>
  <c r="D6388" i="106" s="1"/>
  <c r="B6389" i="106"/>
  <c r="D6389" i="106"/>
  <c r="B6390" i="106"/>
  <c r="D6390" i="106" s="1"/>
  <c r="B6391" i="106"/>
  <c r="D6391" i="106"/>
  <c r="B6392" i="106"/>
  <c r="D6392" i="106" s="1"/>
  <c r="B6393" i="106"/>
  <c r="D6393" i="106" s="1"/>
  <c r="B6394" i="106"/>
  <c r="D6394" i="106"/>
  <c r="B6395" i="106"/>
  <c r="D6395" i="106" s="1"/>
  <c r="B6398" i="106"/>
  <c r="D6398" i="106" s="1"/>
  <c r="B6399" i="106"/>
  <c r="D6399" i="106"/>
  <c r="B6401" i="106"/>
  <c r="D6401" i="106"/>
  <c r="B6402" i="106"/>
  <c r="D6402" i="106" s="1"/>
  <c r="B6403" i="106"/>
  <c r="D6403" i="106" s="1"/>
  <c r="B6404" i="106"/>
  <c r="D6404" i="106"/>
  <c r="B6405" i="106"/>
  <c r="D6405" i="106" s="1"/>
  <c r="B6406" i="106"/>
  <c r="D6406" i="106"/>
  <c r="B6407" i="106"/>
  <c r="D6407" i="106" s="1"/>
  <c r="B6408" i="106"/>
  <c r="D6408" i="106"/>
  <c r="B6410" i="106"/>
  <c r="D6410" i="106"/>
  <c r="B6411" i="106"/>
  <c r="D6411" i="106"/>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s="1"/>
  <c r="B6629" i="106"/>
  <c r="D6629" i="106"/>
  <c r="B6630" i="106"/>
  <c r="D6630" i="106" s="1"/>
  <c r="B6631" i="106"/>
  <c r="D6631" i="106" s="1"/>
  <c r="B6632" i="106"/>
  <c r="D6632" i="106"/>
  <c r="B6633" i="106"/>
  <c r="D6633" i="106"/>
  <c r="B6634" i="106"/>
  <c r="D6634" i="106" s="1"/>
  <c r="B6635" i="106"/>
  <c r="D6635" i="106" s="1"/>
  <c r="B6636" i="106"/>
  <c r="D6636" i="106"/>
  <c r="B6637" i="106"/>
  <c r="D6637" i="106" s="1"/>
  <c r="B6638" i="106"/>
  <c r="D6638" i="106"/>
  <c r="B6639" i="106"/>
  <c r="D6639" i="106" s="1"/>
  <c r="B6640" i="106"/>
  <c r="D6640" i="106"/>
  <c r="B6641" i="106"/>
  <c r="D6641" i="106"/>
  <c r="B6642" i="106"/>
  <c r="D6642" i="106"/>
  <c r="B6643" i="106"/>
  <c r="D6643" i="106" s="1"/>
  <c r="B6644" i="106"/>
  <c r="D6644" i="106" s="1"/>
  <c r="B6645" i="106"/>
  <c r="D6645" i="106"/>
  <c r="B6646" i="106"/>
  <c r="D6646" i="106" s="1"/>
  <c r="B6647" i="106"/>
  <c r="D6647" i="106" s="1"/>
  <c r="B6648" i="106"/>
  <c r="D6648" i="106" s="1"/>
  <c r="B6649" i="106"/>
  <c r="D6649" i="106"/>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s="1"/>
  <c r="B6661" i="106"/>
  <c r="D6661" i="106"/>
  <c r="B6662" i="106"/>
  <c r="D6662" i="106" s="1"/>
  <c r="B6663" i="106"/>
  <c r="D6663" i="106" s="1"/>
  <c r="B6664" i="106"/>
  <c r="D6664" i="106"/>
  <c r="B6665" i="106"/>
  <c r="D6665" i="106"/>
  <c r="B6666" i="106"/>
  <c r="D6666" i="106" s="1"/>
  <c r="B6667" i="106"/>
  <c r="D6667" i="106" s="1"/>
  <c r="B6668" i="106"/>
  <c r="D6668" i="106"/>
  <c r="B6669" i="106"/>
  <c r="D6669" i="106" s="1"/>
  <c r="B6670" i="106"/>
  <c r="D6670" i="106"/>
  <c r="B6671" i="106"/>
  <c r="D6671" i="106" s="1"/>
  <c r="B6672" i="106"/>
  <c r="D6672" i="106"/>
  <c r="B6673" i="106"/>
  <c r="D6673" i="106"/>
  <c r="B6674" i="106"/>
  <c r="D6674" i="106"/>
  <c r="B6675" i="106"/>
  <c r="D6675" i="106" s="1"/>
  <c r="B6676" i="106"/>
  <c r="D6676" i="106" s="1"/>
  <c r="B6677" i="106"/>
  <c r="D6677" i="106"/>
  <c r="B6678" i="106"/>
  <c r="D6678" i="106" s="1"/>
  <c r="B6679" i="106"/>
  <c r="D6679" i="106" s="1"/>
  <c r="B6680" i="106"/>
  <c r="D6680" i="106" s="1"/>
  <c r="B6681" i="106"/>
  <c r="D6681" i="106"/>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s="1"/>
  <c r="B6693" i="106"/>
  <c r="D6693" i="106"/>
  <c r="B6694" i="106"/>
  <c r="D6694" i="106" s="1"/>
  <c r="B6695" i="106"/>
  <c r="D6695" i="106" s="1"/>
  <c r="B6696" i="106"/>
  <c r="D6696" i="106"/>
  <c r="B6697" i="106"/>
  <c r="D6697" i="106"/>
  <c r="B6698" i="106"/>
  <c r="D6698" i="106" s="1"/>
  <c r="B6699" i="106"/>
  <c r="D6699" i="106" s="1"/>
  <c r="B6700" i="106"/>
  <c r="D6700" i="106"/>
  <c r="B6701" i="106"/>
  <c r="D6701" i="106" s="1"/>
  <c r="B6702" i="106"/>
  <c r="D6702" i="106"/>
  <c r="B6703" i="106"/>
  <c r="D6703" i="106" s="1"/>
  <c r="B6704" i="106"/>
  <c r="D6704" i="106"/>
  <c r="B6705" i="106"/>
  <c r="D6705" i="106"/>
  <c r="B6706" i="106"/>
  <c r="D6706" i="106"/>
  <c r="B6707" i="106"/>
  <c r="D6707" i="106" s="1"/>
  <c r="B6708" i="106"/>
  <c r="D6708" i="106" s="1"/>
  <c r="B6709" i="106"/>
  <c r="D6709" i="106"/>
  <c r="B6710" i="106"/>
  <c r="D6710" i="106" s="1"/>
  <c r="B6711" i="106"/>
  <c r="D6711" i="106" s="1"/>
  <c r="B6712" i="106"/>
  <c r="D6712" i="106" s="1"/>
  <c r="B6713" i="106"/>
  <c r="D6713" i="106"/>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s="1"/>
  <c r="B6725" i="106"/>
  <c r="D6725" i="106"/>
  <c r="B6726" i="106"/>
  <c r="D6726" i="106" s="1"/>
  <c r="B6727" i="106"/>
  <c r="D6727" i="106" s="1"/>
  <c r="B6728" i="106"/>
  <c r="D6728" i="106"/>
  <c r="B6729" i="106"/>
  <c r="D6729" i="106" s="1"/>
  <c r="B6730" i="106"/>
  <c r="D6730" i="106" s="1"/>
  <c r="B6731" i="106"/>
  <c r="D6731" i="106" s="1"/>
  <c r="B6732" i="106"/>
  <c r="D6732" i="106" s="1"/>
  <c r="B6733" i="106"/>
  <c r="D6733" i="106" s="1"/>
  <c r="B6734" i="106"/>
  <c r="D6734" i="106" s="1"/>
  <c r="B6735" i="106"/>
  <c r="D6735" i="106" s="1"/>
  <c r="B6736" i="106"/>
  <c r="D6736" i="106"/>
  <c r="B6737" i="106"/>
  <c r="D6737" i="106" s="1"/>
  <c r="B6738" i="106"/>
  <c r="D6738" i="106" s="1"/>
  <c r="B6739" i="106"/>
  <c r="D6739" i="106" s="1"/>
  <c r="B6740" i="106"/>
  <c r="D6740" i="106"/>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c r="B6753" i="106"/>
  <c r="D6753" i="106" s="1"/>
  <c r="B6754" i="106"/>
  <c r="D6754" i="106" s="1"/>
  <c r="B6755" i="106"/>
  <c r="D6755" i="106" s="1"/>
  <c r="B6756" i="106"/>
  <c r="D6756" i="106"/>
  <c r="B6757" i="106"/>
  <c r="D6757" i="106" s="1"/>
  <c r="B6758" i="106"/>
  <c r="D6758" i="106" s="1"/>
  <c r="B6759" i="106"/>
  <c r="D6759" i="106" s="1"/>
  <c r="B6760" i="106"/>
  <c r="D6760" i="106"/>
  <c r="B6761" i="106"/>
  <c r="D6761" i="106" s="1"/>
  <c r="B6762" i="106"/>
  <c r="D6762" i="106" s="1"/>
  <c r="B6763" i="106"/>
  <c r="D6763" i="106" s="1"/>
  <c r="B6764" i="106"/>
  <c r="D6764" i="106" s="1"/>
  <c r="B6765" i="106"/>
  <c r="D6765" i="106" s="1"/>
  <c r="B6766" i="106"/>
  <c r="D6766" i="106" s="1"/>
  <c r="B6767" i="106"/>
  <c r="D6767" i="106" s="1"/>
  <c r="B6768" i="106"/>
  <c r="D6768" i="106"/>
  <c r="B6769" i="106"/>
  <c r="D6769" i="106" s="1"/>
  <c r="B6770" i="106"/>
  <c r="D6770" i="106" s="1"/>
  <c r="B6771" i="106"/>
  <c r="D6771" i="106" s="1"/>
  <c r="B6772" i="106"/>
  <c r="D6772" i="106"/>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c r="B6785" i="106"/>
  <c r="D6785" i="106" s="1"/>
  <c r="B6786" i="106"/>
  <c r="D6786" i="106" s="1"/>
  <c r="B6787" i="106"/>
  <c r="D6787" i="106" s="1"/>
  <c r="B6788" i="106"/>
  <c r="D6788" i="106"/>
  <c r="B6789" i="106"/>
  <c r="D6789" i="106" s="1"/>
  <c r="B6790" i="106"/>
  <c r="D6790" i="106" s="1"/>
  <c r="B6791" i="106"/>
  <c r="D6791" i="106" s="1"/>
  <c r="B6792" i="106"/>
  <c r="D6792" i="106"/>
  <c r="B6793" i="106"/>
  <c r="D6793" i="106" s="1"/>
  <c r="B6794" i="106"/>
  <c r="D6794" i="106" s="1"/>
  <c r="B6795" i="106"/>
  <c r="D6795" i="106" s="1"/>
  <c r="B6796" i="106"/>
  <c r="D6796" i="106" s="1"/>
  <c r="B6797" i="106"/>
  <c r="D6797" i="106" s="1"/>
  <c r="B6798" i="106"/>
  <c r="D6798" i="106" s="1"/>
  <c r="B6799" i="106"/>
  <c r="D6799" i="106" s="1"/>
  <c r="B6800" i="106"/>
  <c r="D6800" i="106"/>
  <c r="B6801" i="106"/>
  <c r="D6801" i="106" s="1"/>
  <c r="B6802" i="106"/>
  <c r="D6802" i="106" s="1"/>
  <c r="B6803" i="106"/>
  <c r="D6803" i="106" s="1"/>
  <c r="B6804" i="106"/>
  <c r="D6804" i="106"/>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c r="B6817" i="106"/>
  <c r="D6817" i="106" s="1"/>
  <c r="B6818" i="106"/>
  <c r="D6818" i="106" s="1"/>
  <c r="B6819" i="106"/>
  <c r="D6819" i="106" s="1"/>
  <c r="B6820" i="106"/>
  <c r="D6820" i="106"/>
  <c r="B6821" i="106"/>
  <c r="D6821" i="106" s="1"/>
  <c r="B6822" i="106"/>
  <c r="D6822" i="106" s="1"/>
  <c r="B6823" i="106"/>
  <c r="D6823" i="106" s="1"/>
  <c r="B6824" i="106"/>
  <c r="D6824" i="106"/>
  <c r="B6825" i="106"/>
  <c r="D6825" i="106" s="1"/>
  <c r="B6826" i="106"/>
  <c r="D6826" i="106" s="1"/>
  <c r="B6827" i="106"/>
  <c r="D6827" i="106" s="1"/>
  <c r="B6828" i="106"/>
  <c r="D6828" i="106" s="1"/>
  <c r="B6829" i="106"/>
  <c r="D6829" i="106" s="1"/>
  <c r="B6830" i="106"/>
  <c r="D6830" i="106" s="1"/>
  <c r="B6831" i="106"/>
  <c r="D6831" i="106" s="1"/>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E27" i="108"/>
  <c r="G27" i="108"/>
  <c r="F31" i="108"/>
  <c r="F36" i="108"/>
  <c r="F37" i="108"/>
  <c r="G28" i="108"/>
  <c r="D31" i="108"/>
  <c r="D36" i="108"/>
  <c r="D37" i="108"/>
  <c r="E31" i="108"/>
  <c r="G31" i="108"/>
  <c r="E33" i="108"/>
  <c r="G33" i="108"/>
  <c r="E34" i="108"/>
  <c r="G34" i="108"/>
  <c r="E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C50" i="34"/>
  <c r="D50" i="34"/>
  <c r="F50" i="34"/>
  <c r="C51" i="34"/>
  <c r="D51" i="34"/>
  <c r="C52" i="34"/>
  <c r="F52" i="34"/>
  <c r="C53" i="34"/>
  <c r="D53" i="34"/>
  <c r="C56" i="34"/>
  <c r="C57" i="34"/>
  <c r="D57" i="34"/>
  <c r="C61" i="34"/>
  <c r="C62" i="34"/>
  <c r="C63" i="34"/>
  <c r="D63" i="34"/>
  <c r="C64" i="34"/>
  <c r="F64" i="34"/>
  <c r="F66" i="34"/>
  <c r="C67" i="34"/>
  <c r="D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c r="D5161" i="106" s="1"/>
  <c r="D140" i="5"/>
  <c r="B5383" i="106" s="1"/>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c r="D5232" i="106" s="1"/>
  <c r="D184" i="5"/>
  <c r="B5425" i="106" s="1"/>
  <c r="D5425" i="106" s="1"/>
  <c r="F184" i="5"/>
  <c r="B5658" i="106" s="1"/>
  <c r="D5658" i="106" s="1"/>
  <c r="G184" i="5"/>
  <c r="B5784" i="106" s="1"/>
  <c r="D5784" i="106" s="1"/>
  <c r="H184" i="5"/>
  <c r="B5908" i="106"/>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14" i="4"/>
  <c r="B2609" i="106" s="1"/>
  <c r="D2609" i="106" s="1"/>
  <c r="C14" i="4"/>
  <c r="B2558" i="106" s="1"/>
  <c r="D2558" i="106" s="1"/>
  <c r="B2633" i="106"/>
  <c r="D2633" i="106" s="1"/>
  <c r="D7" i="118"/>
  <c r="D8" i="118"/>
  <c r="D9" i="118"/>
  <c r="H14" i="118"/>
  <c r="H19" i="118"/>
  <c r="H24" i="118"/>
  <c r="H29" i="118"/>
  <c r="H33" i="118"/>
  <c r="D24" i="37"/>
  <c r="B4270" i="106" s="1"/>
  <c r="D4270" i="106" s="1"/>
  <c r="L5" i="11"/>
  <c r="B2056" i="106" s="1"/>
  <c r="D2056" i="106" s="1"/>
  <c r="D9" i="7"/>
  <c r="B1767" i="106" s="1"/>
  <c r="D1767" i="106" s="1"/>
  <c r="B5752" i="106"/>
  <c r="D5752" i="106" s="1"/>
  <c r="B5599" i="106"/>
  <c r="D5599" i="106" s="1"/>
  <c r="H173" i="5"/>
  <c r="B5906" i="106" s="1"/>
  <c r="D5906" i="106" s="1"/>
  <c r="F106" i="34"/>
  <c r="B1746" i="106"/>
  <c r="D1746" i="106" s="1"/>
  <c r="L13" i="11" l="1"/>
  <c r="B2060" i="106" s="1"/>
  <c r="D2060" i="106" s="1"/>
  <c r="F19" i="7"/>
  <c r="B1807" i="106" s="1"/>
  <c r="D1807" i="106" s="1"/>
  <c r="N22" i="3"/>
  <c r="B283" i="106" s="1"/>
  <c r="D283" i="106" s="1"/>
  <c r="B4268" i="106"/>
  <c r="D4268" i="106" s="1"/>
  <c r="B3647" i="106"/>
  <c r="D3647" i="106" s="1"/>
  <c r="C342" i="29"/>
  <c r="B7216" i="106" s="1"/>
  <c r="D7216" i="106" s="1"/>
  <c r="K184" i="29"/>
  <c r="F13" i="4" s="1"/>
  <c r="B2596" i="106" s="1"/>
  <c r="D2596" i="106" s="1"/>
  <c r="B1223" i="106"/>
  <c r="D1223" i="106" s="1"/>
  <c r="G30" i="108"/>
  <c r="E30" i="108"/>
  <c r="D4" i="7"/>
  <c r="B1760" i="106" s="1"/>
  <c r="D1760" i="106" s="1"/>
  <c r="J210" i="29"/>
  <c r="B7072" i="106" s="1"/>
  <c r="D7072" i="106" s="1"/>
  <c r="K285" i="29"/>
  <c r="F14" i="4"/>
  <c r="B2597" i="106" s="1"/>
  <c r="D2597" i="106" s="1"/>
  <c r="J274" i="5"/>
  <c r="B7054" i="106" s="1"/>
  <c r="D7054" i="106" s="1"/>
  <c r="F131" i="34"/>
  <c r="F71" i="34"/>
  <c r="F35" i="34"/>
  <c r="E28" i="108"/>
  <c r="B6261" i="106"/>
  <c r="D6261" i="106" s="1"/>
  <c r="D6103" i="106"/>
  <c r="B2724" i="106"/>
  <c r="D2724" i="106" s="1"/>
  <c r="F28" i="108"/>
  <c r="D14" i="4"/>
  <c r="B2570" i="106" s="1"/>
  <c r="D2570" i="106" s="1"/>
  <c r="K76" i="4"/>
  <c r="B3586" i="106" s="1"/>
  <c r="D3586" i="106" s="1"/>
  <c r="F77" i="4"/>
  <c r="B3255" i="106" s="1"/>
  <c r="D3255" i="106" s="1"/>
  <c r="B2805" i="106"/>
  <c r="D2805" i="106" s="1"/>
  <c r="E174" i="29"/>
  <c r="B1309" i="106" s="1"/>
  <c r="D1309" i="106" s="1"/>
  <c r="D54" i="36"/>
  <c r="J22" i="37"/>
  <c r="B5096" i="106"/>
  <c r="D5096" i="106" s="1"/>
  <c r="H22" i="37"/>
  <c r="F128" i="34"/>
  <c r="E29" i="108"/>
  <c r="G172" i="5"/>
  <c r="G173" i="5" s="1"/>
  <c r="K350" i="29"/>
  <c r="B3670" i="106" s="1"/>
  <c r="D3670" i="106" s="1"/>
  <c r="K28" i="118"/>
  <c r="O27" i="118" s="1"/>
  <c r="O29" i="118" s="1"/>
  <c r="G29" i="108"/>
  <c r="F27" i="108"/>
  <c r="D31" i="36"/>
  <c r="D12" i="7"/>
  <c r="B1769" i="106" s="1"/>
  <c r="D1769" i="106" s="1"/>
  <c r="D13" i="7"/>
  <c r="B3726" i="106" s="1"/>
  <c r="D3726" i="106" s="1"/>
  <c r="D22" i="37"/>
  <c r="D17" i="7"/>
  <c r="B4104" i="106" s="1"/>
  <c r="D4104" i="106" s="1"/>
  <c r="D5" i="7"/>
  <c r="B1761" i="106" s="1"/>
  <c r="D1761" i="106" s="1"/>
  <c r="F62" i="34"/>
  <c r="F49" i="34"/>
  <c r="G35" i="108"/>
  <c r="J129" i="29"/>
  <c r="B7038" i="106" s="1"/>
  <c r="D7038" i="106" s="1"/>
  <c r="L367" i="29"/>
  <c r="L342" i="29"/>
  <c r="B3649" i="106"/>
  <c r="D3649" i="106" s="1"/>
  <c r="G367" i="29"/>
  <c r="D109" i="5"/>
  <c r="I274" i="5"/>
  <c r="G109" i="5"/>
  <c r="B7235" i="106"/>
  <c r="D7235" i="106" s="1"/>
  <c r="B6289" i="106"/>
  <c r="D6289" i="106" s="1"/>
  <c r="C352" i="29"/>
  <c r="L15" i="11"/>
  <c r="B3459" i="106" s="1"/>
  <c r="D3459" i="106" s="1"/>
  <c r="H109" i="5"/>
  <c r="F111" i="34"/>
  <c r="B7041" i="106"/>
  <c r="D7041" i="106" s="1"/>
  <c r="E109" i="5"/>
  <c r="E4" i="4" s="1"/>
  <c r="B2630" i="106" s="1"/>
  <c r="D2630" i="106" s="1"/>
  <c r="H365" i="29"/>
  <c r="I24" i="12"/>
  <c r="H6" i="4"/>
  <c r="B2656" i="106" s="1"/>
  <c r="D2656" i="106" s="1"/>
  <c r="C172" i="5"/>
  <c r="F127" i="34"/>
  <c r="C109" i="5"/>
  <c r="B5121" i="106" s="1"/>
  <c r="D5121" i="106" s="1"/>
  <c r="F36" i="34"/>
  <c r="B1329" i="106"/>
  <c r="D1329" i="106" s="1"/>
  <c r="F61" i="34"/>
  <c r="K41" i="3"/>
  <c r="H76" i="4"/>
  <c r="B3298" i="106" s="1"/>
  <c r="D3298" i="106" s="1"/>
  <c r="G210" i="29"/>
  <c r="D69" i="36"/>
  <c r="D15" i="7"/>
  <c r="B1772" i="106" s="1"/>
  <c r="D1772" i="106" s="1"/>
  <c r="D11" i="7"/>
  <c r="B1768" i="106" s="1"/>
  <c r="D1768" i="106" s="1"/>
  <c r="G5" i="4"/>
  <c r="B3409" i="106" s="1"/>
  <c r="D3409" i="106" s="1"/>
  <c r="H342" i="29"/>
  <c r="B7221" i="106" s="1"/>
  <c r="D7221" i="106" s="1"/>
  <c r="K274" i="5"/>
  <c r="F130" i="34"/>
  <c r="D7" i="7"/>
  <c r="B1763" i="106" s="1"/>
  <c r="D1763" i="106" s="1"/>
  <c r="F136" i="34"/>
  <c r="F172" i="5"/>
  <c r="B5644" i="106" s="1"/>
  <c r="D5644" i="106" s="1"/>
  <c r="L312" i="29"/>
  <c r="B3689" i="106"/>
  <c r="D3689" i="106" s="1"/>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7270" i="106"/>
  <c r="L16" i="11" l="1"/>
  <c r="B2061" i="106" s="1"/>
  <c r="D2061" i="106" s="1"/>
  <c r="N23" i="3"/>
  <c r="B284" i="106" s="1"/>
  <c r="D284" i="106" s="1"/>
  <c r="K352" i="29"/>
  <c r="K367" i="29" s="1"/>
  <c r="F173" i="5"/>
  <c r="B1317" i="106"/>
  <c r="D1317" i="106" s="1"/>
  <c r="F41" i="108"/>
  <c r="G43" i="108" s="1"/>
  <c r="C4" i="4"/>
  <c r="B2551" i="106" s="1"/>
  <c r="D2551" i="106" s="1"/>
  <c r="D44" i="36"/>
  <c r="B5778" i="106"/>
  <c r="D5778" i="106" s="1"/>
  <c r="G6" i="4"/>
  <c r="B2604" i="106" s="1"/>
  <c r="D2604" i="106" s="1"/>
  <c r="K342" i="29"/>
  <c r="F13" i="34" s="1"/>
  <c r="B5770" i="106"/>
  <c r="D5770" i="106" s="1"/>
  <c r="D7255" i="106"/>
  <c r="D7250" i="106"/>
  <c r="B3628" i="106"/>
  <c r="D3628" i="106" s="1"/>
  <c r="D7252" i="106"/>
  <c r="F73" i="34"/>
  <c r="G15" i="4"/>
  <c r="B6032" i="106" s="1"/>
  <c r="D6032" i="106" s="1"/>
  <c r="B5527" i="106"/>
  <c r="D5527" i="106" s="1"/>
  <c r="F274" i="5"/>
  <c r="F275" i="5" s="1"/>
  <c r="B5720" i="106" s="1"/>
  <c r="D5720" i="106" s="1"/>
  <c r="L114" i="29"/>
  <c r="B6024" i="106"/>
  <c r="D6024" i="106" s="1"/>
  <c r="G4" i="4"/>
  <c r="B2603" i="106" s="1"/>
  <c r="D2603" i="106" s="1"/>
  <c r="H367" i="29"/>
  <c r="B3660" i="106" s="1"/>
  <c r="D3660" i="106" s="1"/>
  <c r="B7242" i="106"/>
  <c r="D7242" i="106" s="1"/>
  <c r="B5356" i="106"/>
  <c r="D5356" i="106" s="1"/>
  <c r="D4" i="4"/>
  <c r="B2564" i="106" s="1"/>
  <c r="D2564" i="106" s="1"/>
  <c r="B5914" i="106"/>
  <c r="D5914" i="106" s="1"/>
  <c r="H151" i="29"/>
  <c r="B1273" i="106" s="1"/>
  <c r="D1273" i="106" s="1"/>
  <c r="B6025" i="106"/>
  <c r="D6025" i="106" s="1"/>
  <c r="H4" i="4"/>
  <c r="D19" i="7"/>
  <c r="B1775" i="106" s="1"/>
  <c r="D1775" i="106" s="1"/>
  <c r="H275" i="5"/>
  <c r="B5915" i="106" s="1"/>
  <c r="D5915" i="106" s="1"/>
  <c r="B1365" i="106"/>
  <c r="D1365" i="106" s="1"/>
  <c r="F65" i="34"/>
  <c r="B5214" i="106"/>
  <c r="D5214" i="106" s="1"/>
  <c r="C173" i="5"/>
  <c r="B3621" i="106"/>
  <c r="D3621" i="106" s="1"/>
  <c r="C367" i="29"/>
  <c r="B3622" i="106" s="1"/>
  <c r="D3622" i="106" s="1"/>
  <c r="D274" i="5"/>
  <c r="D7" i="4" s="1"/>
  <c r="D7256" i="106"/>
  <c r="D7251" i="106"/>
  <c r="C114" i="29"/>
  <c r="B757" i="106" s="1"/>
  <c r="D757" i="106" s="1"/>
  <c r="B3568" i="106"/>
  <c r="D3568" i="106" s="1"/>
  <c r="D52" i="36"/>
  <c r="I26" i="12"/>
  <c r="B7741" i="106" s="1"/>
  <c r="D7741" i="106" s="1"/>
  <c r="B1996" i="106"/>
  <c r="D1996"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B7298" i="106"/>
  <c r="B7299" i="106"/>
  <c r="K13" i="4" l="1"/>
  <c r="B3572" i="106" s="1"/>
  <c r="D3572" i="106" s="1"/>
  <c r="B3672" i="106"/>
  <c r="D3672" i="106" s="1"/>
  <c r="B7224" i="106"/>
  <c r="D7224" i="106" s="1"/>
  <c r="F6" i="4"/>
  <c r="B2593" i="106" s="1"/>
  <c r="D2593" i="106" s="1"/>
  <c r="B5653" i="106"/>
  <c r="D5653" i="106" s="1"/>
  <c r="B1145" i="106"/>
  <c r="D1145" i="106" s="1"/>
  <c r="G41" i="108"/>
  <c r="G44" i="108" s="1"/>
  <c r="G45" i="108" s="1"/>
  <c r="B5507" i="106"/>
  <c r="D5507" i="106" s="1"/>
  <c r="J8" i="4"/>
  <c r="J20" i="4" s="1"/>
  <c r="B5223" i="106"/>
  <c r="D5223" i="106" s="1"/>
  <c r="C6" i="4"/>
  <c r="B2553" i="106" s="1"/>
  <c r="D2553" i="106" s="1"/>
  <c r="E41" i="108"/>
  <c r="E44" i="108" s="1"/>
  <c r="E45" i="108" s="1"/>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B6223" i="106" l="1"/>
  <c r="D6223" i="106" s="1"/>
  <c r="J10" i="4"/>
  <c r="B6225" i="106" s="1"/>
  <c r="D6225" i="106" s="1"/>
  <c r="D8" i="146"/>
  <c r="B2595" i="106"/>
  <c r="D2595" i="106" s="1"/>
  <c r="F76" i="34"/>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<sst xmlns="http://schemas.openxmlformats.org/spreadsheetml/2006/main" count="5040" uniqueCount="2114">
  <si>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</si>
  <si>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</si>
  <si>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</si>
  <si>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</si>
  <si>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</si>
  <si>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</si>
  <si>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</si>
  <si>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</si>
  <si>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</si>
  <si>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</si>
  <si>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</si>
  <si>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</si>
  <si>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</si>
  <si>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</si>
  <si>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</si>
  <si>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</si>
  <si>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</si>
  <si>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</si>
  <si>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</si>
  <si>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</si>
  <si>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</si>
  <si>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</si>
  <si>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</si>
  <si>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</si>
  <si>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</si>
  <si>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</si>
  <si>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</si>
  <si>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</si>
  <si>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</si>
  <si>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</si>
  <si>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</si>
  <si>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</si>
  <si>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</si>
  <si>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</si>
  <si>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</si>
  <si>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</si>
  <si>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</si>
  <si>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</si>
  <si>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</si>
  <si>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</si>
  <si>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</si>
  <si>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</si>
  <si>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</si>
  <si>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</si>
  <si>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</si>
  <si>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</si>
  <si>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</si>
  <si>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</si>
  <si>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</si>
  <si>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</si>
  <si>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</si>
  <si>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</si>
  <si>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</si>
  <si>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</si>
  <si>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</si>
  <si>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</si>
  <si>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</si>
  <si>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</si>
  <si>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</si>
  <si>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</si>
  <si>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</si>
  <si>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</si>
  <si>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</si>
  <si>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</si>
  <si>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</si>
  <si>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</si>
  <si>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</si>
  <si>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</si>
  <si>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</si>
  <si>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</si>
  <si>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</si>
  <si>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</si>
  <si>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</si>
  <si>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</si>
  <si>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</si>
  <si>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</si>
  <si>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</si>
  <si>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</si>
  <si>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</si>
  <si>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</si>
  <si>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</si>
  <si>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</si>
  <si>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</si>
  <si>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</si>
  <si>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</si>
  <si>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</si>
  <si>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</si>
  <si>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</si>
  <si>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</si>
  <si>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</si>
  <si>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</si>
  <si>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</si>
  <si>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</si>
  <si>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</si>
  <si>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</si>
  <si>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</si>
  <si>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</si>
  <si>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</si>
  <si>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</si>
  <si>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</si>
  <si>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</si>
  <si>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</si>
  <si>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</si>
  <si>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</si>
  <si>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</si>
  <si>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</si>
  <si>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</si>
  <si>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</si>
  <si>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</si>
  <si>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</si>
  <si>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</si>
  <si>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</si>
  <si>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</si>
  <si>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</si>
  <si>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</si>
  <si>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</si>
  <si>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</si>
  <si>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</si>
  <si>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</si>
  <si>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</si>
  <si>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</si>
  <si>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</si>
  <si>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</si>
  <si>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</si>
  <si>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</si>
  <si>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</si>
  <si>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</si>
  <si>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</si>
  <si>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</si>
  <si>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</si>
  <si>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</si>
  <si>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</si>
  <si>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</si>
  <si>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</si>
  <si>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</si>
  <si>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</si>
  <si>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</si>
  <si>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</si>
  <si>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</si>
  <si>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</si>
  <si>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</si>
  <si>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</si>
  <si>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</si>
  <si>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</si>
  <si>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</si>
  <si>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</si>
  <si>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</si>
  <si>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</si>
  <si>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</si>
  <si>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</si>
  <si>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</si>
  <si>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</si>
  <si>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</si>
  <si>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</si>
  <si>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</si>
  <si>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</si>
  <si>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</si>
  <si>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</si>
  <si>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</si>
  <si>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</si>
  <si>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</si>
  <si>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</si>
  <si>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</si>
  <si>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</si>
  <si>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</si>
  <si>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</si>
  <si>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</si>
  <si>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</si>
  <si>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</si>
  <si>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</si>
  <si>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</si>
  <si>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</si>
  <si>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</si>
  <si>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</si>
  <si>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</si>
  <si>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</si>
  <si>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</si>
  <si>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</si>
  <si>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</si>
  <si>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</si>
  <si>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</si>
  <si>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</si>
  <si>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</si>
  <si>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</si>
  <si>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</si>
  <si>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</si>
  <si>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</si>
  <si>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</si>
  <si>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</si>
  <si>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</si>
  <si>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</si>
  <si>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</si>
  <si>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</si>
  <si>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</si>
  <si>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</si>
  <si>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</si>
  <si>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</si>
  <si>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</si>
  <si>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</si>
  <si>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</si>
  <si>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</si>
  <si>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</si>
  <si>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</si>
  <si>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</si>
  <si>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</si>
  <si>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</si>
  <si>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</si>
  <si>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</si>
  <si>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</si>
  <si>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</si>
  <si>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</si>
  <si>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</si>
  <si>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</si>
  <si>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</si>
  <si>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</si>
  <si>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</si>
  <si>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</si>
  <si>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</si>
  <si>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</si>
  <si>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</si>
  <si>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</si>
  <si>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</si>
  <si>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</si>
  <si>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</si>
  <si>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</si>
  <si>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</si>
  <si>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</si>
  <si>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</si>
  <si>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</si>
  <si>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</si>
  <si>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</si>
  <si>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</si>
  <si>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</si>
  <si>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</si>
  <si>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</si>
  <si>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</si>
  <si>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</si>
  <si>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</si>
  <si>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</si>
  <si>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</si>
  <si>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</si>
  <si>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</si>
  <si>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</si>
  <si>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</si>
  <si>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</si>
  <si>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</si>
  <si>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</si>
  <si>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</si>
  <si>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</si>
  <si>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</si>
  <si>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</si>
  <si>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</si>
  <si>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</si>
  <si>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</si>
  <si>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</si>
  <si>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</si>
  <si>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</si>
  <si>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</si>
  <si>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</si>
  <si>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</si>
  <si>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</si>
  <si>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</si>
  <si>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</si>
  <si>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</si>
  <si>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</si>
  <si>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</si>
  <si>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</si>
  <si>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</si>
  <si>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</si>
  <si>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</si>
  <si>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</si>
  <si>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</si>
  <si>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</si>
  <si>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</si>
  <si>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</si>
  <si>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</si>
  <si>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</si>
  <si>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</si>
  <si>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</si>
  <si>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</si>
  <si>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</si>
  <si>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</si>
  <si>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</si>
  <si>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</si>
  <si>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</si>
  <si>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</si>
  <si>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</si>
  <si>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</si>
  <si>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</si>
  <si>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</si>
  <si>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</si>
  <si>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</si>
  <si>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</si>
  <si>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</si>
  <si>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</si>
  <si>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</si>
  <si>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</si>
  <si>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</si>
  <si>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</si>
  <si>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</si>
  <si>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</si>
  <si>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</si>
  <si>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</si>
  <si>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</si>
  <si>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</si>
  <si>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</si>
  <si>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</si>
  <si>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</si>
  <si>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</si>
  <si>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</si>
  <si>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</si>
  <si>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</si>
  <si>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</si>
  <si>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</si>
  <si>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</si>
  <si>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</si>
  <si>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</si>
  <si>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</si>
  <si>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</si>
  <si>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</si>
  <si>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</si>
  <si>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</si>
  <si>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</si>
  <si>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</si>
  <si>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</si>
  <si>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</si>
  <si>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</si>
  <si>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</si>
  <si>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</si>
  <si>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</si>
  <si>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</si>
  <si>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</si>
  <si>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</si>
  <si>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</si>
  <si>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</si>
  <si>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</si>
  <si>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</si>
  <si>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</si>
  <si>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</si>
  <si>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</si>
  <si>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</si>
  <si>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</si>
  <si>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</si>
  <si>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</si>
  <si>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</si>
  <si>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</si>
  <si>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</si>
  <si>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</si>
  <si>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</si>
  <si>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</si>
  <si>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</si>
  <si>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</si>
  <si>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</si>
  <si>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</si>
  <si>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</si>
  <si>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</si>
  <si>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</si>
  <si>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</si>
  <si>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</si>
  <si>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</si>
  <si>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</si>
  <si>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</si>
  <si>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</si>
  <si>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</si>
  <si>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</si>
  <si>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</si>
  <si>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</si>
  <si>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</si>
  <si>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</si>
  <si>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</si>
  <si>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</si>
  <si>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</si>
  <si>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</si>
  <si>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</si>
  <si>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</si>
  <si>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</si>
  <si>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</si>
  <si>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</si>
  <si>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</si>
  <si>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</si>
  <si>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</si>
  <si>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</si>
  <si>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</si>
  <si>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</si>
  <si>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</si>
  <si>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</si>
  <si>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</si>
  <si>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</si>
  <si>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</si>
  <si>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</si>
  <si>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</si>
  <si>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</si>
  <si>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</si>
  <si>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</si>
  <si>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</si>
  <si>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</si>
  <si>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</si>
  <si>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</si>
  <si>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</si>
  <si>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</si>
  <si>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</si>
  <si>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</si>
  <si>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</si>
  <si>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</si>
  <si>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</si>
  <si>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</si>
  <si>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</si>
  <si>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</si>
  <si>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</si>
  <si>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</si>
  <si>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</si>
  <si>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</si>
  <si>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</si>
  <si>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</si>
  <si>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</si>
  <si>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</si>
  <si>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</si>
  <si>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</si>
  <si>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</si>
  <si>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</si>
  <si>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</si>
  <si>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</si>
  <si>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</si>
  <si>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</si>
  <si>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</si>
  <si>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</si>
  <si>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</si>
  <si>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</si>
  <si>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</si>
  <si>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</si>
  <si>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</si>
  <si>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</si>
  <si>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</si>
  <si>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</si>
  <si>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</si>
  <si>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</si>
  <si>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</si>
  <si>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</si>
  <si>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</si>
  <si>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</si>
  <si>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</si>
  <si>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</si>
  <si>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</si>
  <si>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</si>
  <si>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</si>
  <si>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</si>
  <si>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</si>
  <si>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</si>
  <si>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</si>
  <si>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</si>
  <si>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</si>
  <si>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</si>
  <si>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</si>
  <si>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</si>
  <si>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</si>
  <si>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</si>
  <si>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</si>
  <si>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</si>
  <si>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</si>
  <si>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</si>
  <si>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</si>
  <si>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</si>
  <si>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</si>
  <si>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</si>
  <si>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</si>
  <si>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</si>
  <si>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</si>
  <si>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</si>
  <si>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</si>
  <si>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</si>
  <si>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</si>
  <si>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</si>
  <si>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</si>
  <si>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</si>
  <si>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</si>
  <si>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</si>
  <si>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</si>
  <si>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</si>
  <si>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</si>
  <si>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</si>
  <si>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</si>
  <si>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</si>
  <si>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</si>
  <si>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</si>
  <si>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</si>
  <si>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</si>
  <si>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</si>
  <si>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</si>
  <si>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</si>
  <si>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</si>
  <si>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</si>
  <si>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</si>
  <si>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</si>
  <si>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</si>
  <si>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</si>
  <si>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</si>
  <si>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</si>
  <si>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</si>
  <si>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</si>
  <si>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</si>
  <si>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</si>
  <si>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</si>
  <si>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</si>
  <si>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</si>
  <si>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</si>
  <si>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</si>
  <si>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</si>
  <si>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</si>
  <si>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</si>
  <si>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</si>
  <si>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</si>
  <si>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</si>
  <si>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</si>
  <si>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</si>
  <si>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</si>
  <si>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</si>
  <si>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</si>
  <si>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</si>
  <si>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</si>
  <si>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</si>
  <si>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</si>
  <si>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</si>
  <si>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</si>
  <si>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</si>
  <si>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</si>
  <si>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</si>
  <si>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</si>
  <si>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</si>
  <si>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</si>
  <si>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</si>
  <si>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</si>
  <si>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</si>
  <si>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</si>
  <si>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</si>
  <si>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</si>
  <si>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</si>
  <si>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</si>
  <si>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</si>
  <si>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</si>
  <si>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</si>
  <si>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</si>
  <si>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</si>
  <si>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</si>
  <si>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</si>
  <si>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</si>
  <si>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</si>
  <si>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</si>
  <si>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</si>
  <si>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</si>
  <si>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</si>
  <si>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</si>
  <si>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</si>
  <si>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</si>
  <si>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</si>
  <si>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</si>
  <si>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</si>
  <si>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</si>
  <si>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</si>
  <si>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</si>
  <si>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</si>
  <si>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</si>
  <si>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</si>
  <si>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</si>
  <si>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</si>
  <si>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</si>
  <si>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</si>
  <si>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</si>
  <si>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</si>
  <si>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</si>
  <si>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</si>
  <si>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</si>
  <si>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</si>
  <si>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</si>
  <si>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</si>
  <si>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</si>
  <si>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</si>
  <si>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</si>
  <si>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</si>
  <si>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</si>
  <si>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</si>
  <si>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</si>
  <si>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</si>
  <si>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</si>
  <si>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</si>
  <si>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</si>
  <si>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</si>
  <si>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</si>
  <si>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</si>
  <si>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</si>
  <si>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</si>
  <si>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</si>
  <si>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</si>
  <si>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</si>
  <si>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</si>
  <si>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</si>
  <si>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</si>
  <si>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</si>
  <si>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</si>
  <si>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</si>
  <si>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</si>
  <si>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</si>
  <si>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</si>
  <si>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</si>
  <si>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</si>
  <si>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</si>
  <si>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</si>
  <si>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</si>
  <si>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</si>
  <si>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</si>
  <si>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</si>
  <si>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</si>
  <si>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</si>
  <si>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</si>
  <si>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</si>
  <si>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</si>
  <si>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</si>
  <si>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</si>
  <si>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</si>
  <si>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</si>
  <si>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</si>
  <si>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</si>
  <si>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</si>
  <si>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</si>
  <si>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</si>
  <si>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</si>
  <si>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</si>
  <si>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</si>
  <si>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</si>
  <si>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</si>
  <si>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</si>
  <si>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</si>
  <si>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</si>
  <si>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</si>
  <si>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</si>
  <si>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</si>
  <si>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</si>
  <si>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</si>
  <si>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</si>
  <si>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</si>
  <si>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</si>
  <si>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</si>
  <si>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</si>
  <si>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</si>
  <si>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</si>
  <si>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</si>
  <si>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</si>
  <si>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</si>
  <si>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</si>
  <si>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</si>
  <si>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</si>
  <si>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</si>
  <si>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</si>
  <si>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</si>
  <si>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</si>
  <si>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</si>
  <si>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</si>
  <si>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</si>
  <si>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</si>
  <si>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</si>
  <si>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</si>
  <si>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</si>
  <si>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</si>
  <si>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</si>
  <si>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</si>
  <si>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</si>
  <si>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</si>
  <si>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</si>
  <si>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</si>
  <si>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</si>
  <si>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</si>
  <si>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</si>
  <si>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</si>
  <si>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</si>
  <si>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</si>
  <si>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</si>
  <si>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</si>
  <si>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</si>
  <si>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</si>
  <si>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</si>
  <si>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</si>
  <si>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</si>
  <si>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</si>
  <si>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</si>
  <si>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</si>
  <si>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</si>
  <si>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</si>
  <si>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</si>
  <si>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</si>
  <si>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</si>
  <si>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</si>
  <si>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</si>
  <si>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</si>
  <si>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</si>
  <si>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</si>
  <si>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</si>
  <si>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</si>
  <si>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</si>
  <si>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</si>
  <si>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</si>
  <si>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</si>
  <si>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</si>
  <si>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</si>
  <si>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</si>
  <si>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</si>
  <si>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</si>
  <si>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</si>
  <si>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</si>
  <si>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</si>
  <si>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</si>
  <si>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</si>
  <si>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</si>
  <si>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</si>
  <si>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</si>
  <si>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</si>
  <si>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</si>
  <si>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</si>
  <si>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</si>
  <si>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</si>
  <si>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</si>
  <si>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</si>
  <si>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</si>
  <si>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</si>
  <si>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</si>
  <si>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</si>
  <si>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</si>
  <si>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</si>
  <si>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</si>
  <si>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</si>
  <si>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</si>
  <si>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</si>
  <si>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</si>
  <si>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</si>
  <si>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</si>
  <si>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</si>
  <si>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</si>
  <si>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</si>
  <si>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</si>
  <si>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</si>
  <si>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</si>
  <si>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</si>
  <si>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</si>
  <si>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</si>
  <si>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</si>
  <si>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</si>
  <si>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</si>
  <si>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</si>
  <si>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</si>
  <si>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</si>
  <si>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</si>
  <si>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</si>
  <si>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</si>
  <si>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</si>
  <si>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</si>
  <si>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</si>
  <si>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</si>
  <si>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</si>
  <si>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</si>
  <si>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</si>
  <si>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</si>
  <si>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</si>
  <si>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</si>
  <si>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</si>
  <si>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</si>
  <si>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</si>
  <si>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</si>
  <si>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</si>
  <si>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</si>
  <si>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</si>
  <si>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</si>
  <si>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</si>
  <si>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</si>
  <si>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</si>
  <si>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</si>
  <si>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</si>
  <si>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</si>
  <si>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</si>
  <si>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</si>
  <si>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</si>
  <si>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</si>
  <si>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</si>
  <si>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</si>
  <si>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</si>
  <si>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</si>
  <si>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</si>
  <si>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</si>
  <si>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</si>
  <si>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</si>
  <si>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</si>
  <si>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</si>
  <si>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</si>
  <si>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</si>
  <si>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</si>
  <si>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</si>
  <si>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</si>
  <si>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</si>
  <si>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</si>
  <si>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</si>
  <si>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</si>
  <si>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</si>
  <si>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</si>
  <si>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</si>
  <si>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</si>
  <si>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</si>
  <si>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</si>
  <si>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</si>
  <si>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</si>
  <si>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</si>
  <si>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</si>
  <si>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</si>
  <si>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</si>
  <si>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</si>
  <si>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</si>
  <si>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</si>
  <si>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</si>
  <si>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</si>
  <si>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</si>
  <si>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</si>
  <si>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</si>
  <si>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</si>
  <si>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</si>
  <si>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</si>
  <si>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</si>
  <si>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</si>
  <si>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</si>
  <si>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</si>
  <si>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</si>
  <si>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</si>
  <si>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</si>
  <si>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</si>
  <si>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</si>
  <si>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</si>
  <si>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</si>
  <si>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</si>
  <si>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</si>
  <si>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</si>
  <si>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</si>
  <si>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</si>
  <si>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</si>
  <si>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</si>
  <si>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</si>
  <si>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</si>
  <si>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</si>
  <si>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</si>
  <si>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</si>
  <si>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</si>
  <si>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</si>
  <si>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</si>
  <si>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</si>
  <si>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</si>
  <si>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</si>
  <si>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</si>
  <si>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</si>
  <si>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</si>
  <si>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</si>
  <si>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</si>
  <si>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</si>
  <si>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</si>
  <si>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</si>
  <si>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</si>
  <si>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</si>
  <si>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</si>
  <si>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</si>
  <si>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</si>
  <si>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</si>
  <si>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</si>
  <si>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</si>
  <si>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</si>
  <si>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</si>
  <si>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</si>
  <si>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</si>
  <si>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</si>
  <si>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</si>
  <si>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</si>
  <si>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</si>
  <si>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</si>
  <si>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</si>
  <si>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</si>
  <si>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</si>
  <si>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</si>
  <si>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</si>
  <si>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</si>
  <si>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</si>
  <si>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</si>
  <si>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</si>
  <si>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</si>
  <si>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</si>
  <si>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</si>
  <si>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</si>
  <si>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</si>
  <si>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</si>
  <si>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</si>
  <si>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</si>
  <si>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</si>
  <si>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</si>
  <si>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</si>
  <si>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</si>
  <si>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</si>
  <si>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</si>
  <si>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</si>
  <si>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</si>
  <si>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</si>
  <si>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</si>
  <si>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</si>
  <si>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</si>
  <si>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</si>
  <si>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</si>
  <si>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</si>
  <si>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</si>
  <si>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</si>
  <si>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</si>
  <si>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</si>
  <si>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</si>
  <si>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</si>
  <si>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</si>
  <si>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</si>
  <si>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</si>
  <si>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</si>
  <si>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</si>
  <si>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</si>
  <si>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</si>
  <si>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</si>
  <si>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</si>
  <si>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</si>
  <si>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</si>
  <si>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</si>
  <si>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</si>
  <si>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</si>
  <si>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</si>
  <si>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</si>
  <si>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</si>
  <si>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</si>
  <si>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</si>
  <si>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</si>
  <si>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</si>
  <si>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</si>
  <si>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</si>
  <si>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</si>
  <si>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</si>
  <si>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</si>
  <si>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</si>
  <si>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</si>
  <si>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</si>
  <si>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</si>
  <si>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</si>
  <si>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</si>
  <si>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</si>
  <si>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</si>
  <si>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</si>
  <si>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</si>
  <si>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</si>
  <si>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</si>
  <si>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</si>
  <si>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</si>
  <si>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</si>
  <si>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</si>
  <si>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</si>
  <si>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</si>
  <si>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</si>
  <si>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</si>
  <si>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</si>
  <si>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</si>
  <si>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</si>
  <si>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</si>
  <si>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</si>
  <si>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</si>
  <si>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</si>
  <si>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</si>
  <si>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</si>
  <si>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</si>
  <si>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</si>
  <si>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</si>
  <si>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</si>
  <si>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</si>
  <si>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</si>
  <si>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</si>
  <si>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</si>
  <si>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</si>
  <si>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</si>
  <si>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</si>
  <si>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</si>
  <si>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</si>
  <si>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</si>
  <si>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</si>
  <si>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</si>
  <si>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</si>
  <si>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</si>
  <si>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</si>
  <si>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</si>
  <si>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</si>
  <si>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</si>
  <si>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</si>
  <si>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</si>
  <si>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</si>
  <si>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</si>
  <si>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</si>
  <si>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</si>
  <si>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</si>
  <si>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</si>
  <si>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</si>
  <si>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</si>
  <si>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</si>
  <si>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</si>
  <si>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</si>
  <si>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</si>
  <si>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</si>
  <si>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</si>
  <si>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</si>
  <si>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</si>
  <si>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</si>
  <si>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</si>
  <si>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</si>
  <si>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</si>
  <si>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</si>
  <si>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</si>
  <si>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</si>
  <si>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</si>
  <si>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</si>
  <si>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</si>
  <si>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</si>
  <si>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</si>
  <si>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</si>
  <si>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</si>
  <si>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</si>
  <si>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</si>
  <si>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</si>
  <si>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</si>
  <si>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</si>
  <si>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</si>
  <si>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</si>
  <si>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</si>
  <si>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</si>
  <si>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</si>
  <si>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</si>
  <si>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</si>
  <si>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</si>
  <si>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</si>
  <si>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</si>
  <si>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</si>
  <si>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</si>
  <si>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</si>
  <si>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</si>
  <si>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</si>
  <si>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</si>
  <si>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</si>
  <si>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</si>
  <si>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</si>
  <si>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</si>
  <si>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</si>
  <si>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</si>
  <si>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</si>
  <si>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</si>
  <si>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</si>
  <si>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</si>
  <si>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</si>
  <si>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</si>
  <si>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</si>
  <si>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</si>
  <si>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</si>
  <si>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</si>
  <si>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</si>
  <si>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</si>
  <si>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</si>
  <si>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</si>
  <si>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</si>
  <si>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</si>
  <si>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</si>
  <si>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</si>
  <si>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</si>
  <si>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</si>
  <si>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</si>
  <si>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</si>
  <si>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</si>
  <si>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</si>
  <si>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</si>
  <si>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</si>
  <si>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</si>
  <si>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</si>
  <si>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</si>
  <si>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</si>
  <si>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</si>
  <si>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</si>
  <si>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</si>
  <si>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</si>
  <si>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</si>
  <si>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</si>
  <si>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</si>
  <si>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</si>
  <si>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</si>
  <si>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</si>
  <si>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</si>
  <si>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</si>
  <si>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</si>
  <si>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</si>
  <si>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</si>
  <si>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</si>
  <si>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</si>
  <si>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</si>
  <si>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</si>
  <si>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</si>
  <si>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</si>
  <si>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</si>
  <si>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</si>
  <si>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</si>
  <si>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</si>
  <si>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</si>
  <si>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</si>
  <si>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</si>
  <si>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</si>
  <si>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</si>
  <si>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</si>
  <si>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</si>
  <si>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</si>
  <si>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</si>
  <si>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</si>
  <si>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</si>
  <si>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</si>
  <si>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</si>
  <si>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</si>
  <si>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</si>
  <si>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</si>
  <si>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</si>
  <si>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</si>
  <si>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</si>
  <si>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</si>
  <si>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</si>
  <si>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</si>
  <si>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</si>
  <si>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</si>
  <si>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</si>
  <si>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</si>
  <si>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</si>
  <si>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</si>
  <si>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</si>
  <si>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</si>
  <si>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</si>
  <si>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</si>
  <si>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</si>
  <si>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</si>
  <si>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</si>
  <si>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</si>
  <si>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</si>
  <si>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</si>
  <si>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</si>
  <si>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</si>
  <si>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</si>
  <si>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</si>
  <si>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</si>
  <si>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</si>
  <si>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</si>
  <si>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</si>
  <si>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</si>
  <si>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</si>
  <si>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</si>
  <si>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</si>
  <si>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</si>
  <si>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</si>
  <si>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</si>
  <si>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</si>
  <si>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</si>
  <si>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</si>
  <si>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</si>
  <si>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</si>
  <si>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</si>
  <si>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</si>
  <si>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</si>
  <si>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</si>
  <si>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</si>
  <si>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</si>
  <si>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</si>
  <si>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</si>
  <si>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</si>
  <si>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</si>
  <si>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</si>
  <si>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</si>
  <si>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</si>
  <si>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</si>
  <si>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</si>
  <si>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</si>
  <si>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</si>
  <si>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</si>
  <si>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</si>
  <si>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</si>
  <si>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</si>
  <si>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</si>
  <si>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</si>
  <si>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</si>
  <si>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</si>
  <si>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</si>
  <si>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</si>
  <si>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</si>
  <si>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</si>
  <si>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</si>
  <si>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</si>
  <si>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</si>
  <si>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</si>
  <si>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</si>
  <si>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</si>
  <si>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</si>
  <si>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</si>
  <si>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</si>
  <si>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</si>
  <si>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</si>
  <si>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</si>
  <si>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</si>
  <si>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</si>
  <si>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</si>
  <si>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</si>
  <si>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</si>
  <si>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</si>
  <si>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</si>
  <si>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</si>
  <si>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</si>
  <si>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</si>
  <si>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</si>
  <si>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</si>
  <si>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</si>
  <si>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</si>
  <si>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</si>
  <si>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</si>
  <si>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</si>
  <si>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</si>
  <si>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</si>
  <si>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</si>
  <si>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</si>
  <si>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</si>
  <si>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</si>
  <si>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</si>
  <si>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</si>
  <si>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</si>
  <si>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</si>
  <si>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</si>
  <si>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</si>
  <si>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</si>
  <si>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</si>
  <si>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</si>
  <si>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</si>
  <si>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</si>
  <si>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</si>
  <si>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</si>
  <si>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</si>
  <si>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</si>
  <si>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</si>
  <si>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</si>
  <si>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</si>
  <si>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</si>
  <si>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</si>
  <si>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</si>
  <si>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</si>
  <si>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</si>
  <si>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</si>
  <si>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</si>
  <si>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</si>
  <si>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</si>
  <si>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</si>
  <si>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</si>
  <si>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</si>
  <si>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</si>
  <si>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</si>
  <si>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</si>
  <si>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</si>
  <si>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</si>
  <si>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</si>
  <si>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</si>
  <si>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</si>
  <si>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</si>
  <si>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</si>
  <si>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</si>
  <si>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</si>
  <si>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</si>
  <si>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</si>
  <si>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</si>
  <si>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</si>
  <si>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</si>
  <si>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</si>
  <si>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</si>
  <si>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</si>
  <si>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</si>
  <si>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</si>
  <si>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</si>
  <si>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</si>
  <si>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</si>
  <si>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</si>
  <si>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</si>
  <si>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</si>
  <si>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</si>
  <si>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</si>
  <si>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</si>
  <si>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</si>
  <si>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</si>
  <si>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</si>
  <si>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</si>
  <si>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</si>
  <si>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</si>
  <si>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</si>
  <si>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</si>
  <si>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</si>
  <si>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</si>
  <si>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</si>
  <si>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</si>
  <si>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</si>
  <si>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</si>
  <si>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</si>
  <si>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</si>
  <si>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</si>
  <si>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</si>
  <si>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</si>
  <si>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</si>
  <si>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</si>
  <si>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</si>
  <si>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</si>
  <si>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</si>
  <si>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</si>
  <si>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</si>
  <si>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</si>
  <si>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</si>
  <si>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</si>
  <si>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</si>
  <si>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</si>
  <si>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</si>
  <si>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</si>
  <si>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</si>
  <si>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</si>
  <si>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</si>
  <si>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</si>
  <si>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</si>
  <si>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</si>
  <si>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</si>
  <si>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</si>
  <si>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</si>
  <si>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</si>
  <si>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</si>
  <si>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</si>
  <si>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</si>
  <si>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</si>
  <si>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</si>
  <si>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</si>
  <si>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</si>
  <si>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</si>
  <si>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</si>
  <si>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</si>
  <si>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</si>
  <si>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</si>
  <si>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</si>
  <si>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</si>
  <si>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</si>
  <si>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</si>
  <si>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</si>
  <si>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</si>
  <si>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</si>
  <si>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</si>
  <si>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</si>
  <si>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</si>
  <si>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</si>
  <si>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</si>
  <si>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</si>
  <si>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</si>
  <si>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</si>
  <si>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</si>
  <si>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</si>
  <si>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</si>
  <si>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</si>
  <si>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</si>
  <si>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</si>
  <si>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</si>
  <si>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</si>
  <si>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</si>
  <si>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</si>
  <si>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</si>
  <si>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</si>
  <si>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</si>
  <si>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</si>
  <si>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</si>
  <si>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</si>
  <si>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</si>
  <si>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</si>
  <si>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</si>
  <si>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</si>
  <si>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</si>
  <si>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</si>
  <si>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</si>
  <si>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</si>
  <si>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</si>
  <si>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</si>
  <si>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</si>
  <si>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</si>
  <si>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</si>
  <si>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</si>
  <si>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</si>
  <si>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</si>
  <si>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</si>
  <si>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</si>
  <si>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</si>
  <si>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</si>
  <si>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</si>
  <si>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</si>
  <si>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</si>
  <si>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</si>
  <si>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</si>
  <si>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</si>
  <si>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</si>
  <si>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</si>
  <si>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</si>
  <si>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</si>
  <si>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</si>
  <si>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</si>
  <si>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</si>
  <si>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</si>
  <si>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</si>
  <si>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</si>
  <si>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</si>
  <si>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</si>
  <si>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</si>
  <si>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</si>
  <si>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</si>
  <si>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</si>
  <si>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</si>
  <si>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</si>
  <si>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</si>
  <si>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</si>
  <si>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</si>
  <si>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</si>
  <si>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</si>
  <si>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</si>
  <si>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</si>
  <si>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</si>
  <si>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</si>
  <si>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</si>
  <si>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</si>
  <si>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</si>
  <si>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</si>
  <si>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</si>
  <si>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</si>
  <si>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</si>
  <si>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</si>
  <si>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</si>
  <si>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</si>
  <si>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</si>
  <si>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</si>
  <si>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</si>
  <si>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</si>
  <si>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</si>
  <si>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</si>
  <si>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</si>
  <si>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</si>
  <si>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</si>
  <si>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</si>
  <si>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</si>
  <si>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</si>
  <si>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</si>
  <si>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</si>
  <si>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</si>
  <si>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</si>
  <si>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</si>
  <si>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</si>
  <si>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</si>
  <si>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</si>
  <si>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</si>
  <si>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</si>
  <si>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</si>
  <si>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</si>
  <si>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</si>
  <si>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</si>
  <si>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</si>
  <si>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</si>
  <si>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</si>
  <si>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</si>
  <si>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</si>
  <si>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</si>
  <si>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</si>
  <si>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</si>
  <si>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</si>
  <si>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</si>
  <si>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</si>
  <si>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</si>
  <si>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</si>
  <si>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</si>
  <si>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</si>
  <si>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</si>
  <si>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</si>
  <si>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</si>
  <si>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</si>
  <si>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</si>
  <si>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</si>
  <si>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</si>
  <si>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</si>
  <si>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</si>
  <si>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</si>
  <si>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</si>
  <si>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</si>
  <si>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</si>
  <si>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</si>
  <si>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</si>
  <si>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</si>
  <si>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</si>
  <si>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</si>
  <si>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</si>
  <si>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</si>
  <si>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</si>
  <si>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</si>
  <si>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</si>
  <si>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</si>
  <si>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</si>
  <si>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</si>
  <si>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</si>
  <si>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</si>
  <si>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</si>
  <si>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</si>
  <si>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</si>
  <si>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</si>
  <si>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</si>
  <si>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</si>
  <si>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</si>
  <si>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</si>
  <si>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</si>
  <si>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</si>
  <si>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</si>
  <si>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</si>
  <si>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</si>
  <si>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</si>
  <si>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</si>
  <si>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</si>
  <si>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</si>
  <si>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</si>
  <si>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</si>
  <si>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</si>
  <si>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</si>
  <si>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</si>
  <si>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</si>
  <si>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</si>
  <si>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</si>
  <si>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</si>
  <si>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</si>
  <si>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</si>
  <si>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</si>
  <si>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</si>
  <si>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</si>
  <si>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</si>
  <si>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</si>
  <si>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</si>
  <si>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</si>
  <si>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</si>
  <si>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</si>
  <si>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</si>
  <si>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</si>
  <si>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</si>
  <si>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</si>
  <si>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</si>
  <si>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</si>
  <si>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</si>
  <si>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</si>
  <si>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</si>
  <si>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</si>
  <si>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</si>
  <si>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</si>
  <si>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</si>
  <si>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</si>
  <si>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</si>
  <si>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</si>
  <si>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</si>
  <si>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</si>
  <si>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</si>
  <si>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</si>
  <si>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</si>
  <si>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</si>
  <si>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</si>
  <si>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</si>
  <si>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</si>
  <si>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</si>
  <si>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</si>
  <si>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</si>
  <si>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</si>
  <si>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</si>
  <si>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</si>
  <si>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</si>
  <si>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</si>
  <si>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</si>
  <si>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</si>
  <si>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</si>
  <si>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</si>
  <si>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</si>
  <si>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</si>
  <si>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</si>
  <si>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</si>
  <si>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</si>
  <si>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</si>
  <si>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</si>
  <si>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</si>
  <si>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</si>
  <si>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</si>
  <si>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</si>
  <si>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</si>
  <si>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</si>
  <si>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</si>
  <si>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</si>
  <si>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</si>
  <si>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</si>
  <si>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</si>
  <si>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</si>
  <si>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</si>
  <si>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</si>
  <si>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</si>
  <si>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</si>
  <si>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</si>
  <si>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</si>
  <si>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</si>
  <si>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</si>
  <si>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</si>
  <si>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</si>
  <si>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</si>
  <si>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</si>
  <si>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</si>
  <si>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</si>
  <si>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</si>
  <si>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</si>
  <si>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</si>
  <si>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</si>
  <si>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</si>
  <si>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</si>
  <si>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</si>
  <si>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</si>
  <si>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</si>
  <si>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</si>
  <si>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</si>
  <si>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</si>
  <si>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</si>
  <si>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</si>
  <si>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</si>
  <si>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</si>
  <si>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</si>
  <si>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</si>
  <si>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</si>
  <si>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</si>
  <si>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</si>
  <si>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</si>
  <si>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</si>
  <si>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</si>
  <si>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</si>
  <si>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</si>
  <si>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</si>
  <si>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</si>
  <si>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</si>
  <si>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</si>
  <si>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</si>
  <si>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</si>
  <si>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</si>
  <si>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</si>
  <si>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</si>
  <si>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</si>
  <si>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</si>
  <si>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</si>
  <si>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</si>
  <si>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</si>
  <si>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</si>
  <si>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</si>
  <si>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</si>
  <si>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</si>
  <si>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</si>
  <si>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</si>
  <si>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</si>
  <si>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</si>
  <si>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</si>
  <si>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</si>
  <si>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</si>
  <si>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</si>
  <si>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</si>
  <si>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</si>
  <si>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</si>
  <si>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</si>
  <si>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</si>
  <si>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</si>
  <si>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</si>
  <si>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</si>
  <si>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</si>
  <si>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</si>
  <si>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</si>
  <si>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</si>
  <si>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</si>
  <si>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</si>
  <si>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</si>
  <si>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</si>
  <si>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</si>
  <si>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</si>
  <si>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</si>
  <si>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</si>
  <si>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</si>
  <si>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</si>
  <si>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</si>
  <si>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</si>
  <si>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</si>
  <si>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</si>
  <si>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</si>
  <si>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</si>
  <si>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</si>
  <si>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</si>
  <si>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</si>
  <si>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</si>
  <si>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</si>
  <si>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</si>
  <si>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</si>
  <si>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</si>
  <si>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</si>
  <si>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</si>
  <si>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</si>
  <si>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</si>
  <si>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</si>
  <si>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</si>
  <si>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</si>
  <si>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</si>
  <si>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</si>
  <si>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</si>
  <si>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</si>
  <si>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</si>
  <si>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</si>
  <si>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</si>
  <si>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</si>
  <si>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</si>
  <si>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</si>
  <si>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</si>
  <si>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</si>
  <si>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</si>
  <si>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</si>
  <si>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</si>
  <si>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</si>
  <si>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</si>
  <si>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</si>
  <si>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</si>
  <si>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</si>
  <si>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</si>
  <si>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</si>
  <si>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</si>
  <si>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</si>
  <si>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</si>
  <si>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</si>
  <si>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</si>
  <si>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</si>
  <si>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</si>
  <si>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</si>
  <si>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</si>
  <si>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</si>
  <si>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</si>
  <si>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</si>
  <si>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</si>
  <si>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</si>
  <si>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</si>
  <si>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</si>
  <si>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</si>
  <si>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</si>
  <si>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</si>
  <si>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</si>
  <si>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</si>
  <si>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</si>
  <si>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</si>
  <si>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</si>
  <si>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</si>
  <si>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</si>
  <si>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</si>
  <si>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</si>
  <si>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</si>
  <si>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</si>
  <si>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</si>
  <si>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</si>
  <si>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</si>
  <si>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</si>
  <si>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</si>
  <si>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</si>
  <si>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</si>
  <si>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</si>
  <si>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</si>
  <si>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</si>
  <si>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</si>
  <si>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</si>
  <si>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</si>
  <si>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</si>
  <si>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</si>
  <si>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</si>
  <si>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</si>
  <si>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</si>
  <si>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</si>
  <si>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</si>
  <si>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</si>
  <si>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</si>
  <si>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</si>
  <si>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</si>
  <si>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</si>
  <si>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</si>
  <si>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</si>
  <si>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</si>
  <si>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</si>
  <si>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</si>
  <si>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</si>
  <si>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</si>
  <si>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</si>
  <si>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</si>
  <si>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</si>
  <si>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</si>
  <si>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</si>
  <si>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</si>
  <si>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</si>
  <si>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</si>
  <si>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</si>
  <si>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</si>
  <si>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</si>
  <si>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</si>
  <si>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</si>
  <si>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</si>
  <si>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</si>
  <si>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</si>
  <si>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</si>
  <si>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</si>
  <si>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</si>
  <si>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</si>
  <si>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</si>
  <si>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</si>
  <si>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</si>
  <si>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</si>
  <si>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</si>
  <si>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</si>
  <si>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</si>
  <si>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</si>
  <si>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</si>
  <si>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</si>
  <si>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</si>
  <si>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</si>
  <si>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</si>
  <si>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</si>
  <si>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</si>
  <si>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</si>
  <si>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</si>
  <si>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</si>
  <si>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</si>
  <si>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</si>
  <si>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</si>
  <si>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</si>
  <si>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</si>
  <si>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</si>
  <si>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</si>
  <si>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</si>
  <si>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</si>
  <si>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</si>
  <si>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</si>
  <si>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</si>
  <si>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</si>
  <si>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</si>
  <si>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</si>
  <si>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</si>
  <si>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</si>
  <si>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</si>
  <si>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</si>
  <si>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</si>
  <si>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</si>
  <si>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</si>
  <si>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</si>
  <si>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</si>
  <si>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</si>
  <si>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</si>
  <si>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</si>
  <si>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</si>
  <si>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</si>
  <si>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</si>
  <si>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</si>
  <si>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</si>
  <si>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</si>
  <si>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</si>
  <si>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</si>
  <si>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</si>
  <si>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</si>
  <si>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</si>
  <si>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</si>
  <si>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</si>
  <si>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</si>
  <si>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</si>
  <si>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</si>
  <si>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</si>
  <si>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</si>
  <si>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</si>
  <si>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</si>
  <si>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</si>
  <si>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</si>
  <si>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</si>
  <si>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</si>
  <si>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</si>
  <si>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</si>
  <si>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</si>
  <si>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</si>
  <si>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</si>
  <si>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</si>
  <si>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</si>
  <si>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</si>
  <si>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</si>
  <si>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</si>
  <si>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</si>
  <si>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</si>
  <si>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</si>
  <si>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</si>
  <si>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</si>
  <si>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</si>
  <si>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</si>
  <si>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</si>
  <si>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</si>
  <si>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</si>
  <si>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</si>
  <si>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</si>
  <si>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</si>
  <si>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</si>
  <si>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</si>
  <si>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</si>
  <si>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</si>
  <si>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</si>
  <si>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</si>
  <si>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</si>
  <si>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</si>
  <si>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</si>
  <si>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</si>
  <si>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</si>
  <si>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</si>
  <si>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</si>
  <si>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</si>
  <si>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</si>
  <si>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</si>
  <si>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</si>
  <si>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</si>
  <si>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</si>
  <si>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</si>
  <si>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</si>
  <si>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</si>
  <si>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</si>
  <si>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</si>
  <si>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</si>
  <si>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</si>
  <si>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</si>
  <si>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</si>
  <si>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</si>
  <si>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</si>
  <si>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</si>
  <si>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</si>
  <si>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</si>
  <si>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</si>
  <si>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</si>
  <si>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</si>
  <si>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</si>
  <si>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</si>
  <si>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</si>
  <si>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</si>
  <si>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</si>
  <si>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</si>
  <si>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</si>
  <si>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</si>
  <si>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</si>
  <si>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</si>
  <si>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</si>
  <si>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</si>
  <si>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</si>
  <si>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</si>
  <si>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</si>
  <si>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</si>
  <si>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</si>
  <si>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</si>
  <si>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</si>
  <si>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</si>
  <si>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</si>
  <si>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</si>
  <si>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</si>
  <si>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</si>
  <si>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</si>
  <si>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</si>
  <si>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</si>
  <si>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</si>
  <si>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</si>
  <si>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</si>
  <si>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</si>
  <si>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</si>
  <si>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</si>
  <si>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</si>
  <si>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</si>
  <si>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</si>
  <si>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</si>
  <si>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</si>
  <si>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</si>
  <si>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</si>
  <si>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</si>
  <si>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</si>
  <si>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</si>
  <si>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</si>
  <si>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</si>
  <si>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</si>
  <si>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</si>
  <si>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</si>
  <si>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</si>
  <si>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</si>
  <si>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</si>
  <si>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</si>
  <si>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</si>
  <si>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</si>
  <si>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</si>
  <si>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</si>
  <si>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</si>
  <si>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</si>
  <si>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</si>
  <si>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</si>
  <si>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</si>
  <si>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</si>
  <si>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</si>
  <si>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</si>
  <si>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</si>
  <si>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</si>
  <si>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</si>
  <si>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</si>
  <si>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</si>
  <si>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</si>
  <si>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</si>
  <si>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</si>
  <si>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</si>
  <si>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</si>
  <si>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</si>
  <si>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</si>
  <si>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</si>
  <si>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</si>
  <si>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</si>
  <si>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</si>
  <si>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</si>
  <si>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</si>
  <si>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</si>
  <si>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</si>
  <si>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</si>
  <si>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</si>
  <si>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</si>
  <si>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</si>
  <si>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</si>
  <si>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</si>
  <si>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</si>
  <si>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</si>
  <si>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</si>
  <si>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</si>
  <si>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</si>
  <si>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</si>
  <si>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</si>
  <si>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</si>
  <si>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</si>
  <si>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</si>
  <si>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</si>
  <si>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</si>
  <si>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</si>
  <si>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</si>
  <si>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</si>
  <si>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</si>
  <si>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</si>
  <si>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</si>
  <si>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</si>
  <si>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</si>
  <si>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</si>
  <si>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</si>
  <si>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</si>
  <si>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</si>
  <si>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</si>
  <si>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</si>
  <si>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</si>
  <si>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</si>
  <si>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</si>
  <si>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</si>
  <si>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</si>
  <si>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</si>
  <si>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</si>
  <si>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</si>
  <si>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</si>
  <si>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</si>
  <si>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</si>
  <si>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</si>
  <si>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</si>
  <si>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</si>
  <si>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</si>
  <si>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</si>
  <si>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</si>
  <si>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</si>
  <si>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</si>
  <si>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</si>
  <si>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</si>
  <si>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</si>
  <si>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</si>
  <si>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New Holland-Middletown ESD #88</t>
  </si>
  <si>
    <t>Logan</t>
  </si>
  <si>
    <t>75 1250th Street</t>
  </si>
  <si>
    <t>Middletown</t>
  </si>
  <si>
    <t>Marc Campbell, Superintendent</t>
  </si>
  <si>
    <t>Pamela J. Simpson, CPA</t>
  </si>
  <si>
    <t xml:space="preserve">Pamela J. Simpson  </t>
  </si>
  <si>
    <t>920 West Pershing Road</t>
  </si>
  <si>
    <t>Decatur</t>
  </si>
  <si>
    <t>IL</t>
  </si>
  <si>
    <t>(217) 872-1908</t>
  </si>
  <si>
    <t>(217) 872-1911</t>
  </si>
  <si>
    <t>065-015457</t>
  </si>
  <si>
    <t>pjscpa31a@aol.com</t>
  </si>
  <si>
    <t>General Obligation School Bond Services</t>
  </si>
  <si>
    <t>x</t>
  </si>
  <si>
    <t>Fund 10-1999 - Reimbursement from employees $237</t>
  </si>
  <si>
    <t>Fund 10-1999 - Refund $77</t>
  </si>
  <si>
    <t>Fund 10-1999 - Fee for presenter $100</t>
  </si>
  <si>
    <t>Fund 10-1999 - School picture program $170</t>
  </si>
  <si>
    <t>Fund 10-1999 - Miscellaneous $135</t>
  </si>
  <si>
    <t>Fund 10-4299 - Equipment assistance grant $3,145</t>
  </si>
  <si>
    <t>Fund 10-4499 - Student support academic enrichment $6,106</t>
  </si>
  <si>
    <t>Fund 10-2190 - OT/PT $1,569</t>
  </si>
  <si>
    <t>Fund 10-4190 - Paymet to ISBE audit $3,046</t>
  </si>
  <si>
    <t>Fund 30-5400 - Agent/bond registar fee $500</t>
  </si>
  <si>
    <t>Fund 40-1999 - Repair reimbursement $32</t>
  </si>
  <si>
    <t>mcampbell@nhm88.com</t>
  </si>
  <si>
    <t>(217) 445-2421</t>
  </si>
  <si>
    <t>(217) 445-2632</t>
  </si>
  <si>
    <t>2.  Due to the year end increase in fund balance, the district treasurer is no longer adequately bonded.                                                                                                                 23.  District does not maintain detailed record of general fixed assets.</t>
  </si>
  <si>
    <t>mcampbell@nhm99.com</t>
  </si>
  <si>
    <t>10-2560-400</t>
  </si>
  <si>
    <t>ED-Food Services-Supplies and Materials</t>
  </si>
  <si>
    <t>Lincoln Community High School #404</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</si>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</sst>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441613</xdr:colOff>
          <xdr:row>0</xdr:row>
          <xdr:rowOff>121227</xdr:rowOff>
        </xdr:from>
        <xdr:to>
          <xdr:col>1</xdr:col>
          <xdr:colOff>1356013</xdr:colOff>
          <xdr:row>4</xdr:row>
          <xdr:rowOff>159327</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C4790B8-1B1A-4401-9C92-2E0BD85BFE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2528455</xdr:colOff>
          <xdr:row>4</xdr:row>
          <xdr:rowOff>51955</xdr:rowOff>
        </xdr:from>
        <xdr:to>
          <xdr:col>1</xdr:col>
          <xdr:colOff>3442855</xdr:colOff>
          <xdr:row>8</xdr:row>
          <xdr:rowOff>118630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17054088002</v>
      </c>
      <c r="B13" s="2037"/>
      <c r="C13" s="2037"/>
      <c r="D13" s="2037"/>
      <c r="E13" s="2037"/>
      <c r="F13" s="2037"/>
      <c r="G13" s="2037"/>
      <c r="H13" s="2038"/>
      <c r="I13" s="31"/>
      <c r="J13" s="30"/>
      <c r="K13" s="28"/>
      <c r="L13" s="30"/>
      <c r="M13" s="30"/>
      <c r="N13" s="30"/>
      <c r="O13" s="30"/>
      <c r="P13" s="30"/>
      <c r="Q13" s="30"/>
      <c r="R13" s="30"/>
      <c r="S13" s="30"/>
      <c r="T13" s="2041" t="s">
        <v>2083</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2079</v>
      </c>
      <c r="B15" s="2039"/>
      <c r="C15" s="2039"/>
      <c r="D15" s="2039"/>
      <c r="E15" s="2039"/>
      <c r="F15" s="2039"/>
      <c r="G15" s="2039"/>
      <c r="H15" s="2040"/>
      <c r="T15" s="2045" t="s">
        <v>2084</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2078</v>
      </c>
      <c r="B17" s="1996"/>
      <c r="C17" s="1996"/>
      <c r="D17" s="1996"/>
      <c r="E17" s="1996"/>
      <c r="F17" s="1996"/>
      <c r="G17" s="1996"/>
      <c r="H17" s="2021"/>
      <c r="T17" s="2052" t="s">
        <v>2085</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2080</v>
      </c>
      <c r="B19" s="1981"/>
      <c r="C19" s="1981"/>
      <c r="D19" s="1981"/>
      <c r="E19" s="1981"/>
      <c r="F19" s="1981"/>
      <c r="G19" s="1981"/>
      <c r="H19" s="1961"/>
      <c r="I19" s="30"/>
      <c r="J19" s="99"/>
      <c r="K19" s="40"/>
      <c r="L19" s="38"/>
      <c r="M19" s="112" t="s">
        <v>333</v>
      </c>
      <c r="P19" s="27"/>
      <c r="Q19" s="27"/>
      <c r="R19" s="27"/>
      <c r="S19" s="31"/>
      <c r="T19" s="2035" t="s">
        <v>2086</v>
      </c>
      <c r="U19" s="1960"/>
      <c r="V19" s="1960"/>
      <c r="W19" s="1961"/>
      <c r="X19" s="2050" t="s">
        <v>2087</v>
      </c>
      <c r="Y19" s="2051"/>
      <c r="Z19" s="2048">
        <v>62526</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2081</v>
      </c>
      <c r="B21" s="1960"/>
      <c r="C21" s="1960"/>
      <c r="D21" s="1960"/>
      <c r="E21" s="1960"/>
      <c r="F21" s="1960"/>
      <c r="G21" s="1960"/>
      <c r="H21" s="1961"/>
      <c r="I21" s="2015" t="s">
        <v>699</v>
      </c>
      <c r="J21" s="2010"/>
      <c r="K21" s="2010"/>
      <c r="L21" s="2010"/>
      <c r="M21" s="2010"/>
      <c r="N21" s="2010"/>
      <c r="O21" s="2010"/>
      <c r="P21" s="2010"/>
      <c r="Q21" s="2010"/>
      <c r="R21" s="2010"/>
      <c r="S21" s="2016"/>
      <c r="T21" s="2059" t="s">
        <v>2088</v>
      </c>
      <c r="U21" s="2060"/>
      <c r="V21" s="2060"/>
      <c r="W21" s="2060"/>
      <c r="X21" s="2065" t="s">
        <v>2089</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2109</v>
      </c>
      <c r="B23" s="2013"/>
      <c r="C23" s="2013"/>
      <c r="D23" s="2013"/>
      <c r="E23" s="2013"/>
      <c r="F23" s="2013"/>
      <c r="G23" s="2013"/>
      <c r="H23" s="2014"/>
      <c r="T23" s="1995" t="s">
        <v>2090</v>
      </c>
      <c r="U23" s="2058"/>
      <c r="V23" s="2058"/>
      <c r="W23" s="2058"/>
      <c r="X23" s="2062">
        <v>43373</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62666</v>
      </c>
      <c r="B25" s="1960"/>
      <c r="C25" s="1960"/>
      <c r="D25" s="1960"/>
      <c r="E25" s="1960"/>
      <c r="F25" s="1960"/>
      <c r="G25" s="1960"/>
      <c r="H25" s="1961"/>
      <c r="I25" s="113"/>
      <c r="J25" s="1984"/>
      <c r="K25" s="1984"/>
      <c r="L25" s="1984"/>
      <c r="M25" s="1984"/>
      <c r="N25" s="1984"/>
      <c r="O25" s="1984"/>
      <c r="P25" s="1984"/>
      <c r="Q25" s="1984"/>
      <c r="R25" s="1984"/>
      <c r="S25" s="1985"/>
      <c r="T25" s="2055" t="s">
        <v>2091</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2077</v>
      </c>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2082</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2105</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2106</v>
      </c>
      <c r="B42" s="1979"/>
      <c r="C42" s="1980"/>
      <c r="D42" s="1978" t="s">
        <v>2107</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D10" sqref="AD1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818286</v>
      </c>
      <c r="C4" s="1546">
        <v>0</v>
      </c>
      <c r="D4" s="1774">
        <f>B4-C4</f>
        <v>818286</v>
      </c>
      <c r="E4" s="1546">
        <v>875000</v>
      </c>
      <c r="F4" s="1774">
        <f>E4-C4</f>
        <v>875000</v>
      </c>
    </row>
    <row r="5" spans="1:6" ht="13.7" customHeight="1" x14ac:dyDescent="0.2">
      <c r="A5" s="716" t="s">
        <v>925</v>
      </c>
      <c r="B5" s="1772">
        <f>'Revenues 9-14'!D5</f>
        <v>165653</v>
      </c>
      <c r="C5" s="585">
        <v>0</v>
      </c>
      <c r="D5" s="1775">
        <f t="shared" ref="D5:D18" si="0">B5-C5</f>
        <v>165653</v>
      </c>
      <c r="E5" s="585">
        <v>181001</v>
      </c>
      <c r="F5" s="1775">
        <f>E5-C5</f>
        <v>181001</v>
      </c>
    </row>
    <row r="6" spans="1:6" ht="13.7" customHeight="1" x14ac:dyDescent="0.2">
      <c r="A6" s="716" t="s">
        <v>431</v>
      </c>
      <c r="B6" s="1772">
        <f>'Revenues 9-14'!E5</f>
        <v>0</v>
      </c>
      <c r="C6" s="585">
        <v>0</v>
      </c>
      <c r="D6" s="1775">
        <f t="shared" si="0"/>
        <v>0</v>
      </c>
      <c r="E6" s="585">
        <v>0</v>
      </c>
      <c r="F6" s="1775">
        <f t="shared" ref="F6:F18" si="1">E6-C6</f>
        <v>0</v>
      </c>
    </row>
    <row r="7" spans="1:6" ht="13.7" customHeight="1" x14ac:dyDescent="0.2">
      <c r="A7" s="716" t="s">
        <v>157</v>
      </c>
      <c r="B7" s="1772">
        <f>'Revenues 9-14'!F5</f>
        <v>37025</v>
      </c>
      <c r="C7" s="585">
        <v>0</v>
      </c>
      <c r="D7" s="1775">
        <f t="shared" si="0"/>
        <v>37025</v>
      </c>
      <c r="E7" s="585">
        <v>39001</v>
      </c>
      <c r="F7" s="1775">
        <f t="shared" si="1"/>
        <v>39001</v>
      </c>
    </row>
    <row r="8" spans="1:6" ht="13.7" customHeight="1" x14ac:dyDescent="0.2">
      <c r="A8" s="716" t="s">
        <v>1241</v>
      </c>
      <c r="B8" s="1772">
        <f>'Revenues 9-14'!G5</f>
        <v>18463</v>
      </c>
      <c r="C8" s="585">
        <v>0</v>
      </c>
      <c r="D8" s="1775">
        <f t="shared" si="0"/>
        <v>18463</v>
      </c>
      <c r="E8" s="585">
        <v>22001</v>
      </c>
      <c r="F8" s="1775">
        <f t="shared" si="1"/>
        <v>22001</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14822</v>
      </c>
      <c r="C10" s="585">
        <v>0</v>
      </c>
      <c r="D10" s="1775">
        <f t="shared" si="0"/>
        <v>14822</v>
      </c>
      <c r="E10" s="585">
        <v>15001</v>
      </c>
      <c r="F10" s="1775">
        <f t="shared" si="1"/>
        <v>15001</v>
      </c>
    </row>
    <row r="11" spans="1:6" x14ac:dyDescent="0.2">
      <c r="A11" s="716" t="s">
        <v>429</v>
      </c>
      <c r="B11" s="1772">
        <f>'Revenues 9-14'!J5</f>
        <v>44908</v>
      </c>
      <c r="C11" s="585">
        <v>0</v>
      </c>
      <c r="D11" s="1775">
        <f t="shared" si="0"/>
        <v>44908</v>
      </c>
      <c r="E11" s="585">
        <v>26003</v>
      </c>
      <c r="F11" s="1775">
        <f t="shared" si="1"/>
        <v>26003</v>
      </c>
    </row>
    <row r="12" spans="1:6" ht="13.7" customHeight="1" x14ac:dyDescent="0.2">
      <c r="A12" s="716" t="s">
        <v>159</v>
      </c>
      <c r="B12" s="1772">
        <f>'Revenues 9-14'!K5</f>
        <v>14723</v>
      </c>
      <c r="C12" s="585">
        <v>0</v>
      </c>
      <c r="D12" s="1775">
        <f t="shared" si="0"/>
        <v>14723</v>
      </c>
      <c r="E12" s="585">
        <v>15001</v>
      </c>
      <c r="F12" s="1775">
        <f t="shared" si="1"/>
        <v>15001</v>
      </c>
    </row>
    <row r="13" spans="1:6" ht="13.7" customHeight="1" x14ac:dyDescent="0.2">
      <c r="A13" s="716" t="s">
        <v>993</v>
      </c>
      <c r="B13" s="1772">
        <f>SUM('Revenues 9-14'!C6:D6)</f>
        <v>8983</v>
      </c>
      <c r="C13" s="585">
        <v>0</v>
      </c>
      <c r="D13" s="1775">
        <f t="shared" si="0"/>
        <v>8983</v>
      </c>
      <c r="E13" s="585">
        <v>9002</v>
      </c>
      <c r="F13" s="1775">
        <f t="shared" si="1"/>
        <v>9002</v>
      </c>
    </row>
    <row r="14" spans="1:6" ht="13.7" customHeight="1" x14ac:dyDescent="0.2">
      <c r="A14" s="716" t="s">
        <v>430</v>
      </c>
      <c r="B14" s="1772">
        <f>SUM('Revenues 9-14'!C7:D7,'Revenues 9-14'!F7:H7)</f>
        <v>4991</v>
      </c>
      <c r="C14" s="585">
        <v>0</v>
      </c>
      <c r="D14" s="1775">
        <f t="shared" si="0"/>
        <v>4991</v>
      </c>
      <c r="E14" s="585">
        <v>4800</v>
      </c>
      <c r="F14" s="1775">
        <f t="shared" si="1"/>
        <v>4800</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1997</v>
      </c>
      <c r="C16" s="585">
        <v>0</v>
      </c>
      <c r="D16" s="1775">
        <f t="shared" si="0"/>
        <v>1997</v>
      </c>
      <c r="E16" s="585">
        <v>1801</v>
      </c>
      <c r="F16" s="1775">
        <f t="shared" si="1"/>
        <v>1801</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1129851</v>
      </c>
      <c r="C19" s="1773">
        <f>SUM(C4:C18)</f>
        <v>0</v>
      </c>
      <c r="D19" s="1773">
        <f>SUM(D4:D18)</f>
        <v>1129851</v>
      </c>
      <c r="E19" s="1773">
        <f>SUM(E4:E18)</f>
        <v>1188611</v>
      </c>
      <c r="F19" s="1773">
        <f>SUM(F4:F18)</f>
        <v>1188611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AD10" sqref="AD1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2038</v>
      </c>
      <c r="D2" s="724" t="s">
        <v>2045</v>
      </c>
      <c r="E2" s="724" t="s">
        <v>2046</v>
      </c>
      <c r="F2" s="1909" t="s">
        <v>2039</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2092</v>
      </c>
      <c r="B31" s="734">
        <v>41920</v>
      </c>
      <c r="C31" s="735">
        <v>330000</v>
      </c>
      <c r="D31" s="736">
        <v>2</v>
      </c>
      <c r="E31" s="735">
        <v>309000</v>
      </c>
      <c r="F31" s="735"/>
      <c r="G31" s="735"/>
      <c r="H31" s="735">
        <v>17000</v>
      </c>
      <c r="I31" s="1778">
        <f>((E31+F31)-H31)+G31</f>
        <v>292000</v>
      </c>
      <c r="J31" s="735">
        <v>291944</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330000</v>
      </c>
      <c r="D49" s="746"/>
      <c r="E49" s="1778">
        <f t="shared" ref="E49:J49" si="2">SUM(E31:E48)</f>
        <v>309000</v>
      </c>
      <c r="F49" s="1778">
        <f t="shared" si="2"/>
        <v>0</v>
      </c>
      <c r="G49" s="1778">
        <f t="shared" si="2"/>
        <v>0</v>
      </c>
      <c r="H49" s="1778">
        <f t="shared" si="2"/>
        <v>17000</v>
      </c>
      <c r="I49" s="1778">
        <f t="shared" si="2"/>
        <v>292000</v>
      </c>
      <c r="J49" s="1778">
        <f t="shared" si="2"/>
        <v>291944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D10" sqref="AD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4991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4991</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4991</v>
      </c>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4991</v>
      </c>
      <c r="I23" s="1780">
        <f>SUM(I14:I16,I21,I22)</f>
        <v>0</v>
      </c>
      <c r="J23" s="1780">
        <f>SUM(J14:J16,J21,J22)</f>
        <v>0</v>
      </c>
      <c r="K23" s="1780">
        <f>SUM(K14:K16,K21,K22)</f>
        <v>0</v>
      </c>
    </row>
    <row r="24" spans="1:11" ht="14.25" thickTop="1" thickBot="1" x14ac:dyDescent="0.25">
      <c r="A24" s="2266" t="s">
        <v>2026</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D10" sqref="AD1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5000</v>
      </c>
      <c r="D5" s="842"/>
      <c r="E5" s="842"/>
      <c r="F5" s="1782">
        <f>(C5+D5)-E5</f>
        <v>5000</v>
      </c>
      <c r="G5" s="838"/>
      <c r="H5" s="843"/>
      <c r="I5" s="843"/>
      <c r="J5" s="843"/>
      <c r="K5" s="794"/>
      <c r="L5" s="1791">
        <f>F5-K5</f>
        <v>5000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2923142</v>
      </c>
      <c r="D8" s="845"/>
      <c r="E8" s="845"/>
      <c r="F8" s="1782">
        <f>(C8+D8)-E8</f>
        <v>2923142</v>
      </c>
      <c r="G8" s="844">
        <v>50</v>
      </c>
      <c r="H8" s="766">
        <v>1804787</v>
      </c>
      <c r="I8" s="766">
        <v>58464</v>
      </c>
      <c r="J8" s="766"/>
      <c r="K8" s="1791">
        <f>(H8+I8)-J8</f>
        <v>1863251</v>
      </c>
      <c r="L8" s="1791">
        <f>F8-K8</f>
        <v>1059891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186422</v>
      </c>
      <c r="D10" s="847">
        <v>54523</v>
      </c>
      <c r="E10" s="847"/>
      <c r="F10" s="1786">
        <f>(C10+D10)-E10</f>
        <v>240945</v>
      </c>
      <c r="G10" s="844">
        <v>20</v>
      </c>
      <c r="H10" s="848">
        <v>23399</v>
      </c>
      <c r="I10" s="848">
        <v>11826</v>
      </c>
      <c r="J10" s="848"/>
      <c r="K10" s="1791">
        <f>(H10+I10)-J10</f>
        <v>35225</v>
      </c>
      <c r="L10" s="1791">
        <f>F10-K10</f>
        <v>205720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787302</v>
      </c>
      <c r="D12" s="845">
        <v>12374</v>
      </c>
      <c r="E12" s="845"/>
      <c r="F12" s="1782">
        <f>(C12+D12)-E12</f>
        <v>799676</v>
      </c>
      <c r="G12" s="844">
        <v>10</v>
      </c>
      <c r="H12" s="766">
        <v>720146</v>
      </c>
      <c r="I12" s="766">
        <v>13431</v>
      </c>
      <c r="J12" s="766"/>
      <c r="K12" s="1791">
        <f>(H12+I12)-J12</f>
        <v>733577</v>
      </c>
      <c r="L12" s="1791">
        <f>F12-K12</f>
        <v>66099</v>
      </c>
    </row>
    <row r="13" spans="1:14" ht="14.25" thickTop="1" thickBot="1" x14ac:dyDescent="0.25">
      <c r="A13" s="849" t="s">
        <v>1184</v>
      </c>
      <c r="B13" s="841">
        <v>252</v>
      </c>
      <c r="C13" s="845">
        <v>53555</v>
      </c>
      <c r="D13" s="845">
        <v>45257</v>
      </c>
      <c r="E13" s="845">
        <v>12806</v>
      </c>
      <c r="F13" s="1782">
        <f>(C13+D13)-E13</f>
        <v>86006</v>
      </c>
      <c r="G13" s="844">
        <v>5</v>
      </c>
      <c r="H13" s="766">
        <v>50642</v>
      </c>
      <c r="I13" s="766">
        <v>10022</v>
      </c>
      <c r="J13" s="766">
        <v>12806</v>
      </c>
      <c r="K13" s="1791">
        <f>(H13+I13)-J13</f>
        <v>47858</v>
      </c>
      <c r="L13" s="1791">
        <f>F13-K13</f>
        <v>38148</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3955421</v>
      </c>
      <c r="D16" s="1782">
        <f>SUM(D3,D5:D6,D8:D10,D12:D15)</f>
        <v>112154</v>
      </c>
      <c r="E16" s="1782">
        <f>SUM(E3,E5:E6,E8:E10,E12:E15)</f>
        <v>12806</v>
      </c>
      <c r="F16" s="1782">
        <f>SUM(F3,F5:F6,F8:F10,F12:F15)</f>
        <v>4054769</v>
      </c>
      <c r="G16" s="844"/>
      <c r="H16" s="1782">
        <f>SUM(H3,H6,H8:H10,H12:H14,)</f>
        <v>2598974</v>
      </c>
      <c r="I16" s="1782">
        <f>SUM(I3,I6,I8:I10,I12:I14,)</f>
        <v>93743</v>
      </c>
      <c r="J16" s="1782">
        <f>SUM(J3,J6,J8:J10,J12:J14,)</f>
        <v>12806</v>
      </c>
      <c r="K16" s="1782">
        <f>(H16+I16)-J16</f>
        <v>2679911</v>
      </c>
      <c r="L16" s="1782">
        <f>F16-K16</f>
        <v>1374858</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93743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4" activePane="bottomLeft" state="frozen"/>
      <selection activeCell="AD10" sqref="AD10"/>
      <selection pane="bottomLeft" activeCell="AD10" sqref="AD1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1008508</v>
      </c>
      <c r="G8" s="866"/>
    </row>
    <row r="9" spans="1:7" x14ac:dyDescent="0.2">
      <c r="A9" s="870" t="s">
        <v>480</v>
      </c>
      <c r="B9" s="871" t="s">
        <v>1989</v>
      </c>
      <c r="C9" s="872"/>
      <c r="D9" s="870" t="s">
        <v>522</v>
      </c>
      <c r="E9" s="869"/>
      <c r="F9" s="1935">
        <f>'Expenditures 15-22'!K151</f>
        <v>140729</v>
      </c>
      <c r="G9" s="873"/>
    </row>
    <row r="10" spans="1:7" x14ac:dyDescent="0.2">
      <c r="A10" s="870" t="s">
        <v>520</v>
      </c>
      <c r="B10" s="871" t="s">
        <v>1990</v>
      </c>
      <c r="C10" s="872"/>
      <c r="D10" s="870" t="s">
        <v>522</v>
      </c>
      <c r="E10" s="869"/>
      <c r="F10" s="1935">
        <f>'Expenditures 15-22'!K174</f>
        <v>31904</v>
      </c>
      <c r="G10" s="873"/>
    </row>
    <row r="11" spans="1:7" x14ac:dyDescent="0.2">
      <c r="A11" s="870" t="s">
        <v>481</v>
      </c>
      <c r="B11" s="871" t="s">
        <v>1991</v>
      </c>
      <c r="C11" s="872"/>
      <c r="D11" s="870" t="s">
        <v>522</v>
      </c>
      <c r="E11" s="869"/>
      <c r="F11" s="1935">
        <f>'Expenditures 15-22'!K210</f>
        <v>111109</v>
      </c>
      <c r="G11" s="873"/>
    </row>
    <row r="12" spans="1:7" x14ac:dyDescent="0.2">
      <c r="A12" s="870" t="s">
        <v>482</v>
      </c>
      <c r="B12" s="871" t="s">
        <v>1992</v>
      </c>
      <c r="C12" s="872"/>
      <c r="D12" s="870" t="s">
        <v>522</v>
      </c>
      <c r="E12" s="869"/>
      <c r="F12" s="1935">
        <f>'Expenditures 15-22'!K295</f>
        <v>36911</v>
      </c>
      <c r="G12" s="873"/>
    </row>
    <row r="13" spans="1:7" x14ac:dyDescent="0.2">
      <c r="A13" s="870" t="s">
        <v>108</v>
      </c>
      <c r="B13" s="871" t="s">
        <v>1993</v>
      </c>
      <c r="C13" s="872"/>
      <c r="D13" s="870" t="s">
        <v>522</v>
      </c>
      <c r="E13" s="869"/>
      <c r="F13" s="1935">
        <f>'Expenditures 15-22'!K342</f>
        <v>42960</v>
      </c>
      <c r="G13" s="874"/>
    </row>
    <row r="14" spans="1:7" ht="12" customHeight="1" thickBot="1" x14ac:dyDescent="0.25">
      <c r="A14" s="1792"/>
      <c r="B14" s="1793"/>
      <c r="C14" s="1794"/>
      <c r="D14" s="1795" t="s">
        <v>522</v>
      </c>
      <c r="E14" s="1796" t="s">
        <v>1015</v>
      </c>
      <c r="F14" s="1797">
        <f>SUM(F8:F13)</f>
        <v>1372121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292</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4757</v>
      </c>
      <c r="G52" s="866"/>
    </row>
    <row r="53" spans="1:7" x14ac:dyDescent="0.2">
      <c r="A53" s="870" t="s">
        <v>479</v>
      </c>
      <c r="B53" s="870" t="s">
        <v>1551</v>
      </c>
      <c r="C53" s="890">
        <f>'Expenditures 15-22'!B102</f>
        <v>4000</v>
      </c>
      <c r="D53" s="889" t="str">
        <f>'Expenditures 15-22'!A102</f>
        <v>Total Payments to Other Govt Units</v>
      </c>
      <c r="E53" s="869"/>
      <c r="F53" s="1939">
        <f>'Expenditures 15-22'!K102</f>
        <v>72655</v>
      </c>
      <c r="G53" s="866"/>
    </row>
    <row r="54" spans="1:7" x14ac:dyDescent="0.2">
      <c r="A54" s="870" t="s">
        <v>479</v>
      </c>
      <c r="B54" s="870" t="s">
        <v>1552</v>
      </c>
      <c r="C54" s="890" t="s">
        <v>1039</v>
      </c>
      <c r="D54" s="886" t="s">
        <v>1157</v>
      </c>
      <c r="E54" s="869"/>
      <c r="F54" s="1939">
        <f>'Expenditures 15-22'!G114</f>
        <v>5709</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30632</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17000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13000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48129</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192174</v>
      </c>
      <c r="G76" s="866"/>
    </row>
    <row r="77" spans="1:8" s="894" customFormat="1" ht="12" customHeight="1" thickTop="1" thickBot="1" x14ac:dyDescent="0.25">
      <c r="A77" s="1801"/>
      <c r="B77" s="1798"/>
      <c r="C77" s="1794"/>
      <c r="D77" s="1799" t="s">
        <v>2012</v>
      </c>
      <c r="E77" s="1796"/>
      <c r="F77" s="1802">
        <f>(F14-F76)</f>
        <v>1179947</v>
      </c>
      <c r="G77" s="870"/>
    </row>
    <row r="78" spans="1:8" s="894" customFormat="1" ht="12" customHeight="1" thickTop="1" x14ac:dyDescent="0.2">
      <c r="A78" s="1803"/>
      <c r="B78" s="1798"/>
      <c r="C78" s="1794"/>
      <c r="D78" s="1799" t="s">
        <v>2059</v>
      </c>
      <c r="E78" s="1796"/>
      <c r="F78" s="899">
        <v>94.21</v>
      </c>
      <c r="G78" s="900"/>
      <c r="H78" s="870"/>
    </row>
    <row r="79" spans="1:8" s="894" customFormat="1" ht="12" customHeight="1" thickBot="1" x14ac:dyDescent="0.25">
      <c r="A79" s="1804"/>
      <c r="B79" s="1798"/>
      <c r="C79" s="1794"/>
      <c r="D79" s="1799" t="s">
        <v>2013</v>
      </c>
      <c r="E79" s="1796" t="s">
        <v>1015</v>
      </c>
      <c r="F79" s="1805">
        <f>IF(F78&gt;0,F77/F78," Complete Line 78")</f>
        <v>12524.647065067404</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585</v>
      </c>
      <c r="G94" s="913"/>
    </row>
    <row r="95" spans="1:7" x14ac:dyDescent="0.2">
      <c r="A95" s="909" t="s">
        <v>142</v>
      </c>
      <c r="B95" s="909" t="s">
        <v>177</v>
      </c>
      <c r="C95" s="911">
        <v>1700</v>
      </c>
      <c r="D95" s="919" t="str">
        <f>'Revenues 9-14'!A82</f>
        <v>Total District/School Activity Income</v>
      </c>
      <c r="E95" s="907"/>
      <c r="F95" s="1811">
        <f>SUM('Revenues 9-14'!C82,'Revenues 9-14'!D82)</f>
        <v>1652</v>
      </c>
      <c r="G95" s="913"/>
    </row>
    <row r="96" spans="1:7" x14ac:dyDescent="0.2">
      <c r="A96" s="909" t="s">
        <v>479</v>
      </c>
      <c r="B96" s="909" t="s">
        <v>178</v>
      </c>
      <c r="C96" s="911">
        <f>'Revenues 9-14'!B84</f>
        <v>1811</v>
      </c>
      <c r="D96" s="912" t="str">
        <f>'Revenues 9-14'!A84</f>
        <v>Rentals - Regular Textbooks</v>
      </c>
      <c r="E96" s="907"/>
      <c r="F96" s="1811">
        <f>'Revenues 9-14'!C84</f>
        <v>2725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20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91247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812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64909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8481</v>
      </c>
      <c r="G128" s="931"/>
    </row>
    <row r="129" spans="1:7" x14ac:dyDescent="0.2">
      <c r="A129" s="928" t="s">
        <v>685</v>
      </c>
      <c r="B129" s="928" t="s">
        <v>803</v>
      </c>
      <c r="C129" s="933">
        <v>4200</v>
      </c>
      <c r="D129" s="930" t="str">
        <f>'Revenues 9-14'!A201</f>
        <v>Total Food Service</v>
      </c>
      <c r="E129" s="907"/>
      <c r="F129" s="1811">
        <f>SUM('Revenues 9-14'!C201,'Revenues 9-14'!G201)</f>
        <v>50285</v>
      </c>
      <c r="G129" s="931"/>
    </row>
    <row r="130" spans="1:7" x14ac:dyDescent="0.2">
      <c r="A130" s="928" t="s">
        <v>689</v>
      </c>
      <c r="B130" s="928" t="s">
        <v>804</v>
      </c>
      <c r="C130" s="933">
        <v>4300</v>
      </c>
      <c r="D130" s="934" t="str">
        <f>'Revenues 9-14'!A211</f>
        <v>Total Title I</v>
      </c>
      <c r="E130" s="907"/>
      <c r="F130" s="1811">
        <f>SUM('Revenues 9-14'!C211,'Revenues 9-14'!D211,'Revenues 9-14'!F211,'Revenues 9-14'!G211)</f>
        <v>26486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6106</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16075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4037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273420</v>
      </c>
    </row>
    <row r="179" spans="1:7" ht="12" customHeight="1" x14ac:dyDescent="0.2">
      <c r="A179" s="1792"/>
      <c r="B179" s="1806"/>
      <c r="C179" s="1807"/>
      <c r="D179" s="1808" t="s">
        <v>2015</v>
      </c>
      <c r="E179" s="1809"/>
      <c r="F179" s="1811">
        <f>'PCTC-OEPP 27-28'!F77-F178</f>
        <v>906527</v>
      </c>
    </row>
    <row r="180" spans="1:7" ht="12" customHeight="1" x14ac:dyDescent="0.2">
      <c r="A180" s="1792"/>
      <c r="B180" s="1806"/>
      <c r="C180" s="1807"/>
      <c r="D180" s="1808" t="s">
        <v>1924</v>
      </c>
      <c r="E180" s="1809"/>
      <c r="F180" s="1811">
        <f>'Cap Outlay Deprec 26'!I18</f>
        <v>93743</v>
      </c>
    </row>
    <row r="181" spans="1:7" ht="12" customHeight="1" x14ac:dyDescent="0.2">
      <c r="A181" s="1792"/>
      <c r="B181" s="1806"/>
      <c r="C181" s="1807"/>
      <c r="D181" s="1808" t="s">
        <v>2016</v>
      </c>
      <c r="E181" s="1809"/>
      <c r="F181" s="1811">
        <f>F179+F180</f>
        <v>1000270</v>
      </c>
    </row>
    <row r="182" spans="1:7" ht="12" customHeight="1" x14ac:dyDescent="0.2">
      <c r="A182" s="1792"/>
      <c r="B182" s="1812"/>
      <c r="C182" s="1807"/>
      <c r="D182" s="1808" t="str">
        <f>D78</f>
        <v>9 Month ADA from District Average Daily Attendance/Prior General State Aid Inquiry 2017-2018</v>
      </c>
      <c r="E182" s="1809"/>
      <c r="F182" s="1813">
        <f>'PCTC-OEPP 27-28'!F78</f>
        <v>94.21</v>
      </c>
      <c r="G182" s="931"/>
    </row>
    <row r="183" spans="1:7" ht="12" customHeight="1" thickBot="1" x14ac:dyDescent="0.25">
      <c r="A183" s="1792"/>
      <c r="B183" s="1812"/>
      <c r="C183" s="1807"/>
      <c r="D183" s="1808" t="s">
        <v>2017</v>
      </c>
      <c r="E183" s="1809" t="s">
        <v>1626</v>
      </c>
      <c r="F183" s="1814">
        <f>F181/F182</f>
        <v>10617.450376817747</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D10" sqref="AD10"/>
      <selection pane="bottomLeft" activeCell="AD10" sqref="AD10"/>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2111</v>
      </c>
      <c r="B17" s="1957" t="s">
        <v>2110</v>
      </c>
      <c r="C17" s="1958" t="s">
        <v>2112</v>
      </c>
      <c r="D17" s="1867">
        <v>64622</v>
      </c>
      <c r="E17" s="1562">
        <f t="shared" ref="E17:E141" si="1">IF(D17&lt;=25000,D17,IF(D17&gt;25000,25000,0))</f>
        <v>25000</v>
      </c>
      <c r="F17" s="1815">
        <f t="shared" si="0"/>
        <v>25000</v>
      </c>
      <c r="G17" s="1816">
        <f>IF(F17=0,0,D17-F17)</f>
        <v>39622</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64622</v>
      </c>
      <c r="E141" s="1563">
        <f t="shared" si="1"/>
        <v>25000</v>
      </c>
      <c r="F141" s="1817">
        <f>SUM(F17:F140)</f>
        <v>25000</v>
      </c>
      <c r="G141" s="1818">
        <f>SUM(G17:G140)</f>
        <v>39622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D10" sqref="AD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v>6120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639596</v>
      </c>
      <c r="F19" s="1822"/>
      <c r="G19" s="1824">
        <f>'Expenditures 15-22'!K33-SUM('Expenditures 15-22'!G33,'Expenditures 15-22'!I33)+'Expenditures 15-22'!D229</f>
        <v>639596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11440</v>
      </c>
      <c r="F21" s="1825"/>
      <c r="G21" s="1828">
        <f>'Expenditures 15-22'!K42-SUM('Expenditures 15-22'!G42,'Expenditures 15-22'!I42)+'Expenditures 15-22'!K120-SUM('Expenditures 15-22'!G120,'Expenditures 15-22'!I120)+'Expenditures 15-22'!K180-SUM('Expenditures 15-22'!G180,'Expenditures 15-22'!I180)+'Expenditures 15-22'!D238</f>
        <v>11440</v>
      </c>
      <c r="H21" s="988"/>
      <c r="I21" s="162"/>
    </row>
    <row r="22" spans="1:9" s="669" customFormat="1" ht="12" customHeight="1" x14ac:dyDescent="0.2">
      <c r="A22" s="995" t="s">
        <v>585</v>
      </c>
      <c r="B22" s="996"/>
      <c r="C22" s="994">
        <v>2200</v>
      </c>
      <c r="D22" s="1825"/>
      <c r="E22" s="1827">
        <f>'Expenditures 15-22'!K47-SUM('Expenditures 15-22'!G47,'Expenditures 15-22'!I47)+'Expenditures 15-22'!D243</f>
        <v>17446</v>
      </c>
      <c r="F22" s="1825"/>
      <c r="G22" s="1828">
        <f>'Expenditures 15-22'!K47-SUM('Expenditures 15-22'!G47,'Expenditures 15-22'!I47)+'Expenditures 15-22'!D243</f>
        <v>17446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184492</v>
      </c>
      <c r="F23" s="1825"/>
      <c r="G23" s="1827">
        <f>'Expenditures 15-22'!K53-SUM('Expenditures 15-22'!G53,'Expenditures 15-22'!I53)+'Expenditures 15-22'!D257+'Expenditures 15-22'!K330-SUM('Expenditures 15-22'!G330,'Expenditures 15-22'!I330)</f>
        <v>184492</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46297</v>
      </c>
      <c r="E27" s="1827">
        <f>E8</f>
        <v>0</v>
      </c>
      <c r="F27" s="1827">
        <f>'Expenditures 15-22'!K60-SUM('Expenditures 15-22'!G60,'Expenditures 15-22'!I60)+'Expenditures 15-22'!D264-E8</f>
        <v>46297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119324</v>
      </c>
      <c r="F28" s="1829">
        <f>'Expenditures 15-22'!K61-SUM('Expenditures 15-22'!G61,'Expenditures 15-22'!I61)+'Expenditures 15-22'!K124-SUM('Expenditures 15-22'!G124,'Expenditures 15-22'!I124)+'Expenditures 15-22'!D266-E9</f>
        <v>119324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54980</v>
      </c>
      <c r="F29" s="1825"/>
      <c r="G29" s="1828">
        <f>'Expenditures 15-22'!K62-SUM('Expenditures 15-22'!G62,'Expenditures 15-22'!I62)+'Expenditures 15-22'!K125-SUM('Expenditures 15-22'!G125,'Expenditures 15-22'!I125)+'Expenditures 15-22'!K182-SUM('Expenditures 15-22'!G182,'Expenditures 15-22'!I182)+'Expenditures 15-22'!D267</f>
        <v>54980</v>
      </c>
      <c r="H29" s="986"/>
    </row>
    <row r="30" spans="1:9" ht="12" customHeight="1" x14ac:dyDescent="0.2">
      <c r="A30" s="995" t="s">
        <v>102</v>
      </c>
      <c r="B30" s="998"/>
      <c r="C30" s="994">
        <v>2560</v>
      </c>
      <c r="D30" s="1825"/>
      <c r="E30" s="1827">
        <f>'Expenditures 15-22'!K63-SUM('Expenditures 15-22'!G63,'Expenditures 15-22'!I63)+'Expenditures 15-22'!D268-E10</f>
        <v>87467</v>
      </c>
      <c r="F30" s="1825"/>
      <c r="G30" s="1827">
        <f>'Expenditures 15-22'!K63-SUM('Expenditures 15-22'!G63,'Expenditures 15-22'!I63)+'Expenditures 15-22'!D268-E10</f>
        <v>87467</v>
      </c>
    </row>
    <row r="31" spans="1:9" ht="12" customHeight="1" x14ac:dyDescent="0.2">
      <c r="A31" s="995" t="s">
        <v>103</v>
      </c>
      <c r="B31" s="998"/>
      <c r="C31" s="994">
        <v>2570</v>
      </c>
      <c r="D31" s="1827">
        <f>'Expenditures 15-22'!K64-SUM('Expenditures 15-22'!G64,'Expenditures 15-22'!I64)+'Expenditures 15-22'!D269-E12</f>
        <v>4293</v>
      </c>
      <c r="E31" s="1827">
        <f>E12</f>
        <v>0</v>
      </c>
      <c r="F31" s="1827">
        <f>'Expenditures 15-22'!K64-SUM('Expenditures 15-22'!G64,'Expenditures 15-22'!I64)+'Expenditures 15-22'!D269-E12</f>
        <v>4293</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4757</v>
      </c>
      <c r="F39" s="1825"/>
      <c r="G39" s="1827">
        <f>'Expenditures 15-22'!K75-SUM('Expenditures 15-22'!G75,'Expenditures 15-22'!I75)+'Expenditures 15-22'!K130-SUM('Expenditures 15-22'!G130,'Expenditures 15-22'!I130)+'Expenditures 15-22'!K185-SUM('Expenditures 15-22'!G185,'Expenditures 15-22'!I185)+'Expenditures 15-22'!D280</f>
        <v>4757</v>
      </c>
    </row>
    <row r="40" spans="1:7" ht="12" customHeight="1" x14ac:dyDescent="0.2">
      <c r="A40" s="991" t="s">
        <v>1930</v>
      </c>
      <c r="B40" s="992"/>
      <c r="C40" s="994"/>
      <c r="D40" s="1825"/>
      <c r="E40" s="1829">
        <f>-'Contracts Paid in CY 29'!G141</f>
        <v>-39622</v>
      </c>
      <c r="F40" s="1825"/>
      <c r="G40" s="1829">
        <f>-'Contracts Paid in CY 29'!G141</f>
        <v>-39622</v>
      </c>
    </row>
    <row r="41" spans="1:7" ht="12" customHeight="1" x14ac:dyDescent="0.2">
      <c r="A41" s="999" t="s">
        <v>158</v>
      </c>
      <c r="B41" s="1000"/>
      <c r="C41" s="1001"/>
      <c r="D41" s="1829">
        <f>SUM(D19:D39)</f>
        <v>50590</v>
      </c>
      <c r="E41" s="1829">
        <f>SUM(E19:E40)</f>
        <v>1079880</v>
      </c>
      <c r="F41" s="1829">
        <f>SUM(F19:F39)</f>
        <v>169914</v>
      </c>
      <c r="G41" s="1829">
        <f>SUM(G19:G40)</f>
        <v>960556</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50590</v>
      </c>
      <c r="F43" s="1830" t="s">
        <v>495</v>
      </c>
      <c r="G43" s="1831">
        <f>F41</f>
        <v>169914</v>
      </c>
    </row>
    <row r="44" spans="1:7" ht="12" customHeight="1" x14ac:dyDescent="0.2">
      <c r="A44" s="988"/>
      <c r="B44" s="162"/>
      <c r="C44" s="1002"/>
      <c r="D44" s="1830" t="s">
        <v>494</v>
      </c>
      <c r="E44" s="1831">
        <f>E41</f>
        <v>1079880</v>
      </c>
      <c r="F44" s="1830" t="s">
        <v>494</v>
      </c>
      <c r="G44" s="1831">
        <f>G41</f>
        <v>960556</v>
      </c>
    </row>
    <row r="45" spans="1:7" ht="12" customHeight="1" x14ac:dyDescent="0.2">
      <c r="A45" s="988"/>
      <c r="B45" s="162"/>
      <c r="C45" s="162"/>
      <c r="D45" s="1832" t="s">
        <v>1063</v>
      </c>
      <c r="E45" s="1833">
        <f>(E43/E44)</f>
        <v>4.6847797903470753E-2</v>
      </c>
      <c r="F45" s="1832" t="s">
        <v>1063</v>
      </c>
      <c r="G45" s="1833">
        <f>(G43/G44)</f>
        <v>0.17689130045515306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D10" sqref="AD10"/>
      <selection pane="bottomLeft" activeCell="D16" sqref="D16"/>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New Holland-Middletown ESD #88</v>
      </c>
      <c r="D6" s="2326"/>
      <c r="E6" s="2326"/>
      <c r="F6" s="1877"/>
    </row>
    <row r="7" spans="1:10" ht="11.25" customHeight="1" thickBot="1" x14ac:dyDescent="0.3">
      <c r="A7" s="1875"/>
      <c r="B7" s="1876"/>
      <c r="C7" s="2327">
        <f>COVER!A13</f>
        <v>17054088002</v>
      </c>
      <c r="D7" s="2327"/>
      <c r="E7" s="2327"/>
      <c r="F7" s="1877"/>
    </row>
    <row r="8" spans="1:10" ht="25.5" customHeight="1" thickBot="1" x14ac:dyDescent="0.25">
      <c r="A8" s="1918" t="s">
        <v>2025</v>
      </c>
      <c r="B8" s="1878" t="s">
        <v>2093</v>
      </c>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t="s">
        <v>2113</v>
      </c>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0</v>
      </c>
      <c r="I34" s="1903">
        <f>SUM(I11:I32)</f>
        <v>0</v>
      </c>
      <c r="J34" s="1903">
        <f>SUM(J11:J32)</f>
        <v>0</v>
      </c>
      <c r="K34" s="1903">
        <f>SUM(H34:J34)</f>
        <v>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 right="0" top="0.25" bottom="0" header="0.17" footer="0.17"/>
  <pageSetup scale="7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9" sqref="H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New Holland-Middletown ESD #88</v>
      </c>
      <c r="J6" s="2336"/>
      <c r="Q6" s="1686"/>
    </row>
    <row r="7" spans="1:17" x14ac:dyDescent="0.2">
      <c r="A7" s="2337" t="s">
        <v>924</v>
      </c>
      <c r="B7" s="2338"/>
      <c r="C7" s="2338"/>
      <c r="D7" s="2338"/>
      <c r="E7" s="2339"/>
      <c r="F7" s="1018"/>
      <c r="G7" s="1010"/>
      <c r="H7" s="1017" t="s">
        <v>390</v>
      </c>
      <c r="I7" s="2340">
        <f>COVER!A13</f>
        <v>17054088002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126094</v>
      </c>
      <c r="F12" s="1040"/>
      <c r="G12" s="1834">
        <f t="shared" ref="G12:G18" si="0">SUM(E12:F12)</f>
        <v>126094</v>
      </c>
      <c r="H12" s="1041">
        <v>98500</v>
      </c>
      <c r="I12" s="1040"/>
      <c r="J12" s="1834">
        <f t="shared" ref="J12:J18" si="1">SUM(H12:I12)</f>
        <v>98500</v>
      </c>
    </row>
    <row r="13" spans="1:17" ht="15" customHeight="1" x14ac:dyDescent="0.2">
      <c r="A13" s="1036">
        <v>2</v>
      </c>
      <c r="B13" s="1037" t="s">
        <v>44</v>
      </c>
      <c r="C13" s="1038"/>
      <c r="D13" s="1039">
        <v>2330</v>
      </c>
      <c r="E13" s="1834">
        <f>'Expenditures 15-22'!K51</f>
        <v>0</v>
      </c>
      <c r="F13" s="1040"/>
      <c r="G13" s="1834">
        <f t="shared" si="0"/>
        <v>0</v>
      </c>
      <c r="H13" s="1041">
        <v>0</v>
      </c>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v>0</v>
      </c>
      <c r="I15" s="1041"/>
      <c r="J15" s="1834">
        <f t="shared" si="1"/>
        <v>0</v>
      </c>
    </row>
    <row r="16" spans="1:17" ht="15" customHeight="1" x14ac:dyDescent="0.2">
      <c r="A16" s="1036">
        <v>5</v>
      </c>
      <c r="B16" s="1037" t="s">
        <v>103</v>
      </c>
      <c r="C16" s="1038"/>
      <c r="D16" s="1039">
        <v>2570</v>
      </c>
      <c r="E16" s="1834">
        <f>'Expenditures 15-22'!K64</f>
        <v>4293</v>
      </c>
      <c r="F16" s="1040"/>
      <c r="G16" s="1834">
        <f t="shared" si="0"/>
        <v>4293</v>
      </c>
      <c r="H16" s="1041">
        <v>0</v>
      </c>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44" t="s">
        <v>7</v>
      </c>
      <c r="C18" s="2345"/>
      <c r="D18" s="2346"/>
      <c r="E18" s="1044"/>
      <c r="F18" s="1044"/>
      <c r="G18" s="1835">
        <f t="shared" si="0"/>
        <v>0</v>
      </c>
      <c r="H18" s="1041">
        <v>0</v>
      </c>
      <c r="I18" s="1041"/>
      <c r="J18" s="1834">
        <f t="shared" si="1"/>
        <v>0</v>
      </c>
    </row>
    <row r="19" spans="1:10" ht="12.75" customHeight="1" thickBot="1" x14ac:dyDescent="0.25">
      <c r="A19" s="1036">
        <v>8</v>
      </c>
      <c r="B19" s="1045" t="s">
        <v>1223</v>
      </c>
      <c r="D19" s="1046"/>
      <c r="E19" s="1836">
        <f t="shared" ref="E19:J19" si="2">SUM(E12:E17)-E18</f>
        <v>130387</v>
      </c>
      <c r="F19" s="1836">
        <f t="shared" si="2"/>
        <v>0</v>
      </c>
      <c r="G19" s="1836">
        <f t="shared" si="2"/>
        <v>130387</v>
      </c>
      <c r="H19" s="1836">
        <f t="shared" si="2"/>
        <v>98500</v>
      </c>
      <c r="I19" s="1836">
        <f t="shared" si="2"/>
        <v>0</v>
      </c>
      <c r="J19" s="1836">
        <f t="shared" si="2"/>
        <v>98500</v>
      </c>
    </row>
    <row r="20" spans="1:10" ht="13.5" thickTop="1" x14ac:dyDescent="0.2">
      <c r="A20" s="1036">
        <v>9</v>
      </c>
      <c r="B20" s="2347" t="s">
        <v>1703</v>
      </c>
      <c r="C20" s="2347"/>
      <c r="D20" s="2348"/>
      <c r="E20" s="1047"/>
      <c r="F20" s="1047"/>
      <c r="G20" s="1047"/>
      <c r="H20" s="1047"/>
      <c r="I20" s="1047"/>
      <c r="J20" s="1837">
        <f>IF(AND(G19&gt;0,J19&gt;0),(((J19-G19)/G19)),"Enter Budget Data")</f>
        <v>-0.24455658923052145</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t="s">
        <v>2082</v>
      </c>
      <c r="D28" s="2351"/>
      <c r="E28" s="1055"/>
      <c r="F28" s="2351" t="s">
        <v>2106</v>
      </c>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D10" sqref="AD1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2094</v>
      </c>
    </row>
    <row r="6" spans="1:2" x14ac:dyDescent="0.2">
      <c r="A6" s="1069">
        <v>2</v>
      </c>
      <c r="B6" s="329" t="s">
        <v>2095</v>
      </c>
    </row>
    <row r="7" spans="1:2" x14ac:dyDescent="0.2">
      <c r="A7" s="1069">
        <v>3</v>
      </c>
      <c r="B7" s="329" t="s">
        <v>2096</v>
      </c>
    </row>
    <row r="8" spans="1:2" x14ac:dyDescent="0.2">
      <c r="A8" s="1069">
        <v>4</v>
      </c>
      <c r="B8" s="329" t="s">
        <v>2097</v>
      </c>
    </row>
    <row r="9" spans="1:2" x14ac:dyDescent="0.2">
      <c r="A9" s="1070"/>
      <c r="B9" s="329" t="s">
        <v>2098</v>
      </c>
    </row>
    <row r="10" spans="1:2" x14ac:dyDescent="0.2">
      <c r="A10" s="1070"/>
      <c r="B10" s="329" t="s">
        <v>2101</v>
      </c>
    </row>
    <row r="11" spans="1:2" x14ac:dyDescent="0.2">
      <c r="A11" s="1070"/>
      <c r="B11" s="329" t="s">
        <v>2102</v>
      </c>
    </row>
    <row r="12" spans="1:2" x14ac:dyDescent="0.2">
      <c r="A12" s="1070"/>
      <c r="B12" s="329" t="s">
        <v>2099</v>
      </c>
    </row>
    <row r="13" spans="1:2" x14ac:dyDescent="0.2">
      <c r="A13" s="1070"/>
      <c r="B13" s="329" t="s">
        <v>2100</v>
      </c>
    </row>
    <row r="14" spans="1:2" x14ac:dyDescent="0.2">
      <c r="A14" s="1070"/>
    </row>
    <row r="15" spans="1:2" x14ac:dyDescent="0.2">
      <c r="A15" s="1070"/>
      <c r="B15" s="329" t="s">
        <v>2103</v>
      </c>
    </row>
    <row r="16" spans="1:2" x14ac:dyDescent="0.2">
      <c r="A16" s="1070"/>
    </row>
    <row r="17" spans="1:2" x14ac:dyDescent="0.2">
      <c r="A17" s="1070"/>
      <c r="B17" s="329" t="s">
        <v>2104</v>
      </c>
    </row>
    <row r="18" spans="1:2" x14ac:dyDescent="0.2">
      <c r="A18" s="1070"/>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New Holland-Middletown ESD #88</v>
      </c>
    </row>
    <row r="65" spans="2:2" x14ac:dyDescent="0.2">
      <c r="B65" s="1071">
        <f>COVER!A13</f>
        <v>17054088002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7" zoomScale="110" zoomScaleNormal="110" workbookViewId="0">
      <selection activeCell="AD10" sqref="AD1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D10" sqref="AD1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10" sqref="F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Document" dvAspect="DVASPECT_ICON" shapeId="35841" r:id="rId4">
          <objectPr defaultSize="0" r:id="rId5">
            <anchor moveWithCells="1">
              <from>
                <xdr:col>1</xdr:col>
                <xdr:colOff>438150</xdr:colOff>
                <xdr:row>0</xdr:row>
                <xdr:rowOff>123825</xdr:rowOff>
              </from>
              <to>
                <xdr:col>1</xdr:col>
                <xdr:colOff>1352550</xdr:colOff>
                <xdr:row>4</xdr:row>
                <xdr:rowOff>161925</xdr:rowOff>
              </to>
            </anchor>
          </objectPr>
        </oleObject>
      </mc:Choice>
      <mc:Fallback>
        <oleObject progId="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2524125</xdr:colOff>
                <xdr:row>4</xdr:row>
                <xdr:rowOff>47625</xdr:rowOff>
              </from>
              <to>
                <xdr:col>1</xdr:col>
                <xdr:colOff>3438525</xdr:colOff>
                <xdr:row>8</xdr:row>
                <xdr:rowOff>114300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D10" sqref="AD1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1247217</v>
      </c>
      <c r="C8" s="1838">
        <f>'Acct Summary 7-8'!D8</f>
        <v>171482</v>
      </c>
      <c r="D8" s="1838">
        <f>'Acct Summary 7-8'!F8</f>
        <v>126975</v>
      </c>
      <c r="E8" s="1838">
        <f>'Acct Summary 7-8'!I8</f>
        <v>14824</v>
      </c>
      <c r="F8" s="1838">
        <f>SUM(B8:E8)</f>
        <v>1560498</v>
      </c>
    </row>
    <row r="9" spans="1:8" s="1080" customFormat="1" ht="14.25" customHeight="1" thickBot="1" x14ac:dyDescent="0.25">
      <c r="A9" s="1079" t="s">
        <v>1436</v>
      </c>
      <c r="B9" s="1839">
        <f>'Acct Summary 7-8'!C17</f>
        <v>1008508</v>
      </c>
      <c r="C9" s="1839">
        <f>'Acct Summary 7-8'!D17</f>
        <v>140729</v>
      </c>
      <c r="D9" s="1839">
        <f>'Acct Summary 7-8'!F17</f>
        <v>111109</v>
      </c>
      <c r="E9" s="1838"/>
      <c r="F9" s="1838">
        <f>SUM(B9:E9)</f>
        <v>1260346</v>
      </c>
    </row>
    <row r="10" spans="1:8" s="1080" customFormat="1" ht="14.25" thickTop="1" thickBot="1" x14ac:dyDescent="0.25">
      <c r="A10" s="1081" t="s">
        <v>1437</v>
      </c>
      <c r="B10" s="1840">
        <f>(B8-B9)</f>
        <v>238709</v>
      </c>
      <c r="C10" s="1840">
        <f>(C8-C9)</f>
        <v>30753</v>
      </c>
      <c r="D10" s="1840">
        <f>(D8-D9)</f>
        <v>15866</v>
      </c>
      <c r="E10" s="1839">
        <f>(E8-E9)</f>
        <v>14824</v>
      </c>
      <c r="F10" s="1841">
        <f>SUM(F8-F9)</f>
        <v>300152</v>
      </c>
    </row>
    <row r="11" spans="1:8" s="1080" customFormat="1" ht="14.25" thickTop="1" thickBot="1" x14ac:dyDescent="0.25">
      <c r="A11" s="1082" t="s">
        <v>1785</v>
      </c>
      <c r="B11" s="1842">
        <f>'Acct Summary 7-8'!C81</f>
        <v>1520341</v>
      </c>
      <c r="C11" s="1842">
        <f>'Acct Summary 7-8'!D81</f>
        <v>477877</v>
      </c>
      <c r="D11" s="1842">
        <f>'Acct Summary 7-8'!F81</f>
        <v>38130</v>
      </c>
      <c r="E11" s="1842">
        <f>'Acct Summary 7-8'!I81</f>
        <v>0</v>
      </c>
      <c r="F11" s="1843">
        <f>SUM(B11:E11)</f>
        <v>2036348</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C75" sqref="C75"/>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ERROR</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17054088002</v>
      </c>
    </row>
    <row r="3" spans="1:2" x14ac:dyDescent="0.2">
      <c r="A3" t="s">
        <v>1013</v>
      </c>
      <c r="B3" s="138" t="str">
        <f>COVER!A15</f>
        <v>Logan</v>
      </c>
    </row>
    <row r="4" spans="1:2" x14ac:dyDescent="0.2">
      <c r="A4" t="s">
        <v>1064</v>
      </c>
      <c r="B4" s="138" t="str">
        <f>COVER!A17</f>
        <v>New Holland-Middletown ESD #88</v>
      </c>
    </row>
    <row r="5" spans="1:2" x14ac:dyDescent="0.2">
      <c r="A5" t="s">
        <v>728</v>
      </c>
      <c r="B5" s="138" t="str">
        <f>COVER!A38</f>
        <v>Marc Campbell, Superintendent</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065-015457</v>
      </c>
    </row>
    <row r="16" spans="1:2" x14ac:dyDescent="0.2">
      <c r="A16" t="s">
        <v>442</v>
      </c>
      <c r="B16" s="138" t="str">
        <f>COVER!T13</f>
        <v>Pamela J. Simpson, CPA</v>
      </c>
    </row>
    <row r="17" spans="1:2" x14ac:dyDescent="0.2">
      <c r="A17" t="s">
        <v>939</v>
      </c>
      <c r="B17" s="138" t="str">
        <f>COVER!T15</f>
        <v xml:space="preserve">Pamela J. Simpson  </v>
      </c>
    </row>
    <row r="18" spans="1:2" x14ac:dyDescent="0.2">
      <c r="A18" t="s">
        <v>1212</v>
      </c>
      <c r="B18" s="138" t="str">
        <f>COVER!T17</f>
        <v>920 West Pershing Road</v>
      </c>
    </row>
    <row r="19" spans="1:2" x14ac:dyDescent="0.2">
      <c r="A19" t="s">
        <v>941</v>
      </c>
      <c r="B19" s="138" t="str">
        <f>COVER!T25</f>
        <v>pjscpa31a@aol.com</v>
      </c>
    </row>
    <row r="20" spans="1:2" x14ac:dyDescent="0.2">
      <c r="A20" t="s">
        <v>942</v>
      </c>
      <c r="B20" s="138" t="str">
        <f>COVER!T19</f>
        <v>Decatur</v>
      </c>
    </row>
    <row r="21" spans="1:2" x14ac:dyDescent="0.2">
      <c r="A21" t="s">
        <v>500</v>
      </c>
      <c r="B21" s="138" t="str">
        <f>COVER!X19</f>
        <v>IL</v>
      </c>
    </row>
    <row r="22" spans="1:2" x14ac:dyDescent="0.2">
      <c r="A22" t="s">
        <v>943</v>
      </c>
      <c r="B22" s="138">
        <f>COVER!Z19</f>
        <v>62526</v>
      </c>
    </row>
    <row r="23" spans="1:2" x14ac:dyDescent="0.2">
      <c r="A23" t="s">
        <v>1214</v>
      </c>
      <c r="B23" s="138" t="str">
        <f>COVER!T21</f>
        <v>(217) 872-1908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507518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1520353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v>
      </c>
      <c r="C91" s="2" t="s">
        <v>594</v>
      </c>
      <c r="D91" s="2" t="str">
        <f t="shared" si="0"/>
        <v>Error?</v>
      </c>
    </row>
    <row r="92" spans="1:4" x14ac:dyDescent="0.2">
      <c r="A92" s="5">
        <v>31</v>
      </c>
      <c r="B92" s="138">
        <f>'Assets-Liab 5-6'!C39</f>
        <v>1520341</v>
      </c>
      <c r="D92" s="2" t="str">
        <f t="shared" si="0"/>
        <v>Error?</v>
      </c>
    </row>
    <row r="93" spans="1:4" x14ac:dyDescent="0.2">
      <c r="A93" s="5">
        <v>32</v>
      </c>
      <c r="B93" s="138">
        <f>'Assets-Liab 5-6'!C41</f>
        <v>1520353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77372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702877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225000</v>
      </c>
      <c r="C122" s="2" t="s">
        <v>594</v>
      </c>
      <c r="D122" s="2" t="str">
        <f t="shared" si="0"/>
        <v>Error?</v>
      </c>
    </row>
    <row r="123" spans="1:4" x14ac:dyDescent="0.2">
      <c r="A123" s="5">
        <v>62</v>
      </c>
      <c r="B123" s="138">
        <f>'Assets-Liab 5-6'!D39</f>
        <v>477877</v>
      </c>
      <c r="D123" s="2" t="str">
        <f t="shared" si="0"/>
        <v>Error?</v>
      </c>
    </row>
    <row r="124" spans="1:4" x14ac:dyDescent="0.2">
      <c r="A124" s="5">
        <v>63</v>
      </c>
      <c r="B124" s="138">
        <f>'Assets-Liab 5-6'!D41</f>
        <v>702877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56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555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38130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38130</v>
      </c>
      <c r="D170" s="2" t="str">
        <f t="shared" si="1"/>
        <v>Error?</v>
      </c>
    </row>
    <row r="171" spans="1:4" x14ac:dyDescent="0.2">
      <c r="A171" s="5">
        <v>110</v>
      </c>
      <c r="B171" s="138">
        <f>'Assets-Liab 5-6'!F41</f>
        <v>38130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11766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14405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45855</v>
      </c>
      <c r="D189" s="2" t="str">
        <f t="shared" si="1"/>
        <v>Error?</v>
      </c>
    </row>
    <row r="190" spans="1:4" x14ac:dyDescent="0.2">
      <c r="A190" s="5">
        <v>129</v>
      </c>
      <c r="B190" s="138">
        <f>'Assets-Liab 5-6'!G41</f>
        <v>14405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64702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64702</v>
      </c>
      <c r="D212" s="2" t="str">
        <f t="shared" si="2"/>
        <v>Error?</v>
      </c>
    </row>
    <row r="213" spans="1:4" x14ac:dyDescent="0.2">
      <c r="A213" s="12">
        <v>152</v>
      </c>
      <c r="B213" s="138">
        <f>'Assets-Liab 5-6'!H41</f>
        <v>64702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5000</v>
      </c>
      <c r="D273" s="2" t="str">
        <f t="shared" si="3"/>
        <v>Error?</v>
      </c>
    </row>
    <row r="274" spans="1:4" x14ac:dyDescent="0.2">
      <c r="A274" s="5">
        <v>213</v>
      </c>
      <c r="B274" s="138">
        <f>'Assets-Liab 5-6'!M17</f>
        <v>1059891</v>
      </c>
      <c r="D274" s="2" t="str">
        <f t="shared" si="3"/>
        <v>Error?</v>
      </c>
    </row>
    <row r="275" spans="1:4" x14ac:dyDescent="0.2">
      <c r="A275" s="5">
        <v>214</v>
      </c>
      <c r="B275" s="138">
        <f>'Assets-Liab 5-6'!M18</f>
        <v>205720</v>
      </c>
      <c r="D275" s="2" t="str">
        <f t="shared" si="3"/>
        <v>Error?</v>
      </c>
    </row>
    <row r="276" spans="1:4" x14ac:dyDescent="0.2">
      <c r="A276" s="5">
        <v>215</v>
      </c>
      <c r="B276" s="138">
        <f>'Assets-Liab 5-6'!M19</f>
        <v>104247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1374858</v>
      </c>
      <c r="C279" s="2" t="s">
        <v>594</v>
      </c>
      <c r="D279" s="2" t="str">
        <f t="shared" si="3"/>
        <v>Error?</v>
      </c>
    </row>
    <row r="280" spans="1:4" x14ac:dyDescent="0.2">
      <c r="A280" s="5">
        <v>219</v>
      </c>
      <c r="B280" s="138">
        <f>'Assets-Liab 5-6'!M40</f>
        <v>1374858</v>
      </c>
      <c r="D280" s="2" t="str">
        <f t="shared" si="3"/>
        <v>Error?</v>
      </c>
    </row>
    <row r="281" spans="1:4" x14ac:dyDescent="0.2">
      <c r="A281" s="5">
        <v>220</v>
      </c>
      <c r="B281" s="138">
        <f>'Assets-Liab 5-6'!M41</f>
        <v>1374858</v>
      </c>
      <c r="C281" s="2" t="s">
        <v>594</v>
      </c>
      <c r="D281" s="2" t="str">
        <f t="shared" si="3"/>
        <v>Error?</v>
      </c>
    </row>
    <row r="282" spans="1:4" x14ac:dyDescent="0.2">
      <c r="A282" s="5">
        <v>221</v>
      </c>
      <c r="B282" s="138">
        <f>'Assets-Liab 5-6'!N21</f>
        <v>56</v>
      </c>
      <c r="D282" s="2" t="str">
        <f t="shared" si="3"/>
        <v>Error?</v>
      </c>
    </row>
    <row r="283" spans="1:4" x14ac:dyDescent="0.2">
      <c r="A283" s="5">
        <v>222</v>
      </c>
      <c r="B283" s="138">
        <f>'Assets-Liab 5-6'!N22</f>
        <v>291944</v>
      </c>
      <c r="D283" s="2" t="str">
        <f t="shared" si="3"/>
        <v>Error?</v>
      </c>
    </row>
    <row r="284" spans="1:4" x14ac:dyDescent="0.2">
      <c r="A284" s="5">
        <v>223</v>
      </c>
      <c r="B284" s="138">
        <f>'Assets-Liab 5-6'!N23</f>
        <v>292000</v>
      </c>
      <c r="C284" s="2" t="s">
        <v>594</v>
      </c>
      <c r="D284" s="2" t="str">
        <f t="shared" si="3"/>
        <v>Error?</v>
      </c>
    </row>
    <row r="285" spans="1:4" x14ac:dyDescent="0.2">
      <c r="A285" s="5">
        <v>224</v>
      </c>
      <c r="B285" s="138">
        <f>'Assets-Liab 5-6'!N36</f>
        <v>292000</v>
      </c>
      <c r="D285" s="2" t="str">
        <f t="shared" si="3"/>
        <v>Error?</v>
      </c>
    </row>
    <row r="286" spans="1:4" x14ac:dyDescent="0.2">
      <c r="A286" s="10">
        <v>225</v>
      </c>
      <c r="D286" s="2" t="str">
        <f t="shared" si="3"/>
        <v>OK</v>
      </c>
    </row>
    <row r="287" spans="1:4" x14ac:dyDescent="0.2">
      <c r="A287" s="5">
        <v>226</v>
      </c>
      <c r="B287" s="138">
        <f>'Assets-Liab 5-6'!N37</f>
        <v>292000</v>
      </c>
      <c r="C287" s="2" t="s">
        <v>594</v>
      </c>
      <c r="D287" s="2" t="str">
        <f t="shared" si="3"/>
        <v>Error?</v>
      </c>
    </row>
    <row r="288" spans="1:4" x14ac:dyDescent="0.2">
      <c r="A288" s="5">
        <v>227</v>
      </c>
      <c r="B288" s="138">
        <f>'Assets-Liab 5-6'!N41</f>
        <v>292000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413787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472068</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1800</v>
      </c>
      <c r="D732" s="2" t="str">
        <f t="shared" si="10"/>
        <v>Error?</v>
      </c>
    </row>
    <row r="733" spans="1:4" x14ac:dyDescent="0.2">
      <c r="A733" s="5">
        <v>672</v>
      </c>
      <c r="B733" s="138">
        <f>'Expenditures 15-22'!C50</f>
        <v>108837</v>
      </c>
      <c r="D733" s="2" t="str">
        <f t="shared" si="10"/>
        <v>Error?</v>
      </c>
    </row>
    <row r="734" spans="1:4" x14ac:dyDescent="0.2">
      <c r="A734" s="5">
        <v>673</v>
      </c>
      <c r="B734" s="138">
        <f>'Expenditures 15-22'!C53</f>
        <v>110637</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35178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19143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54321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164958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637026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74595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83252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13921</v>
      </c>
      <c r="D791" s="2" t="str">
        <f t="shared" si="11"/>
        <v>Error?</v>
      </c>
    </row>
    <row r="792" spans="1:4" x14ac:dyDescent="0.2">
      <c r="A792" s="5">
        <v>731</v>
      </c>
      <c r="B792" s="138">
        <f>'Expenditures 15-22'!D53</f>
        <v>13921</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13921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97173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23707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2654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35221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2681</v>
      </c>
      <c r="D840" s="2" t="str">
        <f t="shared" si="12"/>
        <v>Error?</v>
      </c>
    </row>
    <row r="841" spans="1:4" x14ac:dyDescent="0.2">
      <c r="A841" s="5">
        <v>780</v>
      </c>
      <c r="B841" s="138">
        <f>'Expenditures 15-22'!E40</f>
        <v>7190</v>
      </c>
      <c r="D841" s="2" t="str">
        <f t="shared" si="12"/>
        <v>Error?</v>
      </c>
    </row>
    <row r="842" spans="1:4" x14ac:dyDescent="0.2">
      <c r="A842" s="5">
        <v>781</v>
      </c>
      <c r="B842" s="138">
        <f>'Expenditures 15-22'!E41</f>
        <v>1569</v>
      </c>
      <c r="D842" s="2" t="str">
        <f t="shared" si="12"/>
        <v>Error?</v>
      </c>
    </row>
    <row r="843" spans="1:4" x14ac:dyDescent="0.2">
      <c r="A843" s="5">
        <v>782</v>
      </c>
      <c r="B843" s="138">
        <f>'Expenditures 15-22'!E42</f>
        <v>11440</v>
      </c>
      <c r="C843" s="2" t="s">
        <v>594</v>
      </c>
      <c r="D843" s="2" t="str">
        <f t="shared" si="12"/>
        <v>Error?</v>
      </c>
    </row>
    <row r="844" spans="1:4" x14ac:dyDescent="0.2">
      <c r="A844" s="5">
        <v>783</v>
      </c>
      <c r="B844" s="138">
        <f>'Expenditures 15-22'!E44</f>
        <v>8643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914</v>
      </c>
      <c r="D846" s="2" t="str">
        <f t="shared" si="12"/>
        <v>Error?</v>
      </c>
    </row>
    <row r="847" spans="1:4" x14ac:dyDescent="0.2">
      <c r="A847" s="5">
        <v>786</v>
      </c>
      <c r="B847" s="138">
        <f>'Expenditures 15-22'!E47</f>
        <v>9557</v>
      </c>
      <c r="C847" s="2" t="s">
        <v>594</v>
      </c>
      <c r="D847" s="2" t="str">
        <f t="shared" si="12"/>
        <v>Error?</v>
      </c>
    </row>
    <row r="848" spans="1:4" x14ac:dyDescent="0.2">
      <c r="A848" s="5">
        <v>787</v>
      </c>
      <c r="B848" s="138">
        <f>'Expenditures 15-22'!E49</f>
        <v>7340</v>
      </c>
      <c r="D848" s="2" t="str">
        <f t="shared" si="12"/>
        <v>Error?</v>
      </c>
    </row>
    <row r="849" spans="1:4" x14ac:dyDescent="0.2">
      <c r="A849" s="5">
        <v>788</v>
      </c>
      <c r="B849" s="138">
        <f>'Expenditures 15-22'!E50</f>
        <v>3112</v>
      </c>
      <c r="D849" s="2" t="str">
        <f t="shared" si="12"/>
        <v>Error?</v>
      </c>
    </row>
    <row r="850" spans="1:4" x14ac:dyDescent="0.2">
      <c r="A850" s="5">
        <v>789</v>
      </c>
      <c r="B850" s="138">
        <f>'Expenditures 15-22'!E53</f>
        <v>14052</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4521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112</v>
      </c>
      <c r="D858" s="2" t="str">
        <f t="shared" si="12"/>
        <v>Error?</v>
      </c>
    </row>
    <row r="859" spans="1:4" x14ac:dyDescent="0.2">
      <c r="A859" s="5">
        <v>798</v>
      </c>
      <c r="B859" s="138">
        <f>'Expenditures 15-22'!E64</f>
        <v>4293</v>
      </c>
      <c r="D859" s="2" t="str">
        <f t="shared" si="12"/>
        <v>Error?</v>
      </c>
    </row>
    <row r="860" spans="1:4" x14ac:dyDescent="0.2">
      <c r="A860" s="10">
        <v>799</v>
      </c>
      <c r="D860" s="2" t="str">
        <f t="shared" si="12"/>
        <v>OK</v>
      </c>
    </row>
    <row r="861" spans="1:4" x14ac:dyDescent="0.2">
      <c r="A861" s="5">
        <v>800</v>
      </c>
      <c r="B861" s="138">
        <f>'Expenditures 15-22'!E65</f>
        <v>8926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43975</v>
      </c>
      <c r="C871" s="2" t="s">
        <v>594</v>
      </c>
      <c r="D871" s="2" t="str">
        <f t="shared" si="12"/>
        <v>Error?</v>
      </c>
    </row>
    <row r="872" spans="1:4" x14ac:dyDescent="0.2">
      <c r="A872" s="5">
        <v>811</v>
      </c>
      <c r="B872" s="138">
        <f>'Expenditures 15-22'!E75</f>
        <v>2277</v>
      </c>
      <c r="D872" s="2" t="str">
        <f t="shared" si="12"/>
        <v>Error?</v>
      </c>
    </row>
    <row r="873" spans="1:4" x14ac:dyDescent="0.2">
      <c r="A873" s="5">
        <v>812</v>
      </c>
      <c r="B873" s="138">
        <f>'Expenditures 15-22'!E114</f>
        <v>140111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29363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165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38212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4142</v>
      </c>
      <c r="D902" s="2" t="str">
        <f t="shared" si="13"/>
        <v>Error?</v>
      </c>
    </row>
    <row r="903" spans="1:4" x14ac:dyDescent="0.2">
      <c r="A903" s="5">
        <v>842</v>
      </c>
      <c r="B903" s="138">
        <f>'Expenditures 15-22'!F45</f>
        <v>2997</v>
      </c>
      <c r="D903" s="2" t="str">
        <f t="shared" si="13"/>
        <v>Error?</v>
      </c>
    </row>
    <row r="904" spans="1:4" x14ac:dyDescent="0.2">
      <c r="A904" s="5">
        <v>843</v>
      </c>
      <c r="B904" s="138">
        <f>'Expenditures 15-22'!F46</f>
        <v>750</v>
      </c>
      <c r="D904" s="2" t="str">
        <f t="shared" si="13"/>
        <v>Error?</v>
      </c>
    </row>
    <row r="905" spans="1:4" x14ac:dyDescent="0.2">
      <c r="A905" s="5">
        <v>844</v>
      </c>
      <c r="B905" s="138">
        <f>'Expenditures 15-22'!F47</f>
        <v>7889</v>
      </c>
      <c r="C905" s="2" t="s">
        <v>594</v>
      </c>
      <c r="D905" s="2" t="str">
        <f t="shared" si="13"/>
        <v>Error?</v>
      </c>
    </row>
    <row r="906" spans="1:4" x14ac:dyDescent="0.2">
      <c r="A906" s="5">
        <v>845</v>
      </c>
      <c r="B906" s="138">
        <f>'Expenditures 15-22'!F49</f>
        <v>753</v>
      </c>
      <c r="D906" s="2" t="str">
        <f t="shared" si="13"/>
        <v>Error?</v>
      </c>
    </row>
    <row r="907" spans="1:4" x14ac:dyDescent="0.2">
      <c r="A907" s="5">
        <v>846</v>
      </c>
      <c r="B907" s="138">
        <f>'Expenditures 15-22'!F50</f>
        <v>224</v>
      </c>
      <c r="D907" s="2" t="str">
        <f t="shared" si="13"/>
        <v>Error?</v>
      </c>
    </row>
    <row r="908" spans="1:4" x14ac:dyDescent="0.2">
      <c r="A908" s="5">
        <v>847</v>
      </c>
      <c r="B908" s="138">
        <f>'Expenditures 15-22'!F53</f>
        <v>977</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64622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64622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73488</v>
      </c>
      <c r="C929" s="2" t="s">
        <v>594</v>
      </c>
      <c r="D929" s="2" t="str">
        <f t="shared" si="13"/>
        <v>Error?</v>
      </c>
    </row>
    <row r="930" spans="1:4" x14ac:dyDescent="0.2">
      <c r="A930" s="5">
        <v>869</v>
      </c>
      <c r="B930" s="138">
        <f>'Expenditures 15-22'!F75</f>
        <v>2480</v>
      </c>
      <c r="D930" s="2" t="str">
        <f t="shared" si="13"/>
        <v>Error?</v>
      </c>
    </row>
    <row r="931" spans="1:4" x14ac:dyDescent="0.2">
      <c r="A931" s="5">
        <v>870</v>
      </c>
      <c r="B931" s="138">
        <f>'Expenditures 15-22'!F114</f>
        <v>114180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5709</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5709</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5709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5709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292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14017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14309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541452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2819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629045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2681</v>
      </c>
      <c r="C1112" s="2" t="s">
        <v>594</v>
      </c>
      <c r="D1112" s="2" t="str">
        <f t="shared" si="16"/>
        <v>Error?</v>
      </c>
    </row>
    <row r="1113" spans="1:4" x14ac:dyDescent="0.2">
      <c r="A1113" s="5">
        <v>1052</v>
      </c>
      <c r="B1113" s="138">
        <f>'Expenditures 15-22'!K40</f>
        <v>7190</v>
      </c>
      <c r="C1113" s="2" t="s">
        <v>594</v>
      </c>
      <c r="D1113" s="2" t="str">
        <f t="shared" si="16"/>
        <v>Error?</v>
      </c>
    </row>
    <row r="1114" spans="1:4" x14ac:dyDescent="0.2">
      <c r="A1114" s="5">
        <v>1053</v>
      </c>
      <c r="B1114" s="138">
        <f>'Expenditures 15-22'!K41</f>
        <v>1569</v>
      </c>
      <c r="C1114" s="2" t="s">
        <v>594</v>
      </c>
      <c r="D1114" s="2" t="str">
        <f t="shared" si="16"/>
        <v>Error?</v>
      </c>
    </row>
    <row r="1115" spans="1:4" x14ac:dyDescent="0.2">
      <c r="A1115" s="5">
        <v>1054</v>
      </c>
      <c r="B1115" s="138">
        <f>'Expenditures 15-22'!K42</f>
        <v>11440</v>
      </c>
      <c r="C1115" s="2" t="s">
        <v>594</v>
      </c>
      <c r="D1115" s="2" t="str">
        <f t="shared" si="16"/>
        <v>Error?</v>
      </c>
    </row>
    <row r="1116" spans="1:4" x14ac:dyDescent="0.2">
      <c r="A1116" s="5">
        <v>1055</v>
      </c>
      <c r="B1116" s="138">
        <f>'Expenditures 15-22'!K44</f>
        <v>18494</v>
      </c>
      <c r="C1116" s="2" t="s">
        <v>594</v>
      </c>
      <c r="D1116" s="2" t="str">
        <f t="shared" si="16"/>
        <v>Error?</v>
      </c>
    </row>
    <row r="1117" spans="1:4" x14ac:dyDescent="0.2">
      <c r="A1117" s="5">
        <v>1056</v>
      </c>
      <c r="B1117" s="138">
        <f>'Expenditures 15-22'!K45</f>
        <v>2997</v>
      </c>
      <c r="C1117" s="2" t="s">
        <v>594</v>
      </c>
      <c r="D1117" s="2" t="str">
        <f t="shared" si="16"/>
        <v>Error?</v>
      </c>
    </row>
    <row r="1118" spans="1:4" x14ac:dyDescent="0.2">
      <c r="A1118" s="5">
        <v>1057</v>
      </c>
      <c r="B1118" s="138">
        <f>'Expenditures 15-22'!K46</f>
        <v>1664</v>
      </c>
      <c r="C1118" s="2" t="s">
        <v>594</v>
      </c>
      <c r="D1118" s="2" t="str">
        <f t="shared" si="16"/>
        <v>Error?</v>
      </c>
    </row>
    <row r="1119" spans="1:4" x14ac:dyDescent="0.2">
      <c r="A1119" s="5">
        <v>1058</v>
      </c>
      <c r="B1119" s="138">
        <f>'Expenditures 15-22'!K47</f>
        <v>23155</v>
      </c>
      <c r="C1119" s="2" t="s">
        <v>594</v>
      </c>
      <c r="D1119" s="2" t="str">
        <f t="shared" si="16"/>
        <v>Error?</v>
      </c>
    </row>
    <row r="1120" spans="1:4" x14ac:dyDescent="0.2">
      <c r="A1120" s="5">
        <v>1059</v>
      </c>
      <c r="B1120" s="138">
        <f>'Expenditures 15-22'!K49</f>
        <v>9893</v>
      </c>
      <c r="C1120" s="2" t="s">
        <v>594</v>
      </c>
      <c r="D1120" s="2" t="str">
        <f t="shared" si="16"/>
        <v>Error?</v>
      </c>
    </row>
    <row r="1121" spans="1:4" x14ac:dyDescent="0.2">
      <c r="A1121" s="5">
        <v>1060</v>
      </c>
      <c r="B1121" s="138">
        <f>'Expenditures 15-22'!K50</f>
        <v>126094</v>
      </c>
      <c r="C1121" s="2" t="s">
        <v>594</v>
      </c>
      <c r="D1121" s="2" t="str">
        <f t="shared" si="16"/>
        <v>Error?</v>
      </c>
    </row>
    <row r="1122" spans="1:4" x14ac:dyDescent="0.2">
      <c r="A1122" s="5">
        <v>1061</v>
      </c>
      <c r="B1122" s="138">
        <f>'Expenditures 15-22'!K53</f>
        <v>139587</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39699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83877</v>
      </c>
      <c r="C1130" s="2" t="s">
        <v>594</v>
      </c>
      <c r="D1130" s="2" t="str">
        <f t="shared" si="16"/>
        <v>Error?</v>
      </c>
    </row>
    <row r="1131" spans="1:4" x14ac:dyDescent="0.2">
      <c r="A1131" s="5">
        <v>1070</v>
      </c>
      <c r="B1131" s="138">
        <f>'Expenditures 15-22'!K64</f>
        <v>4293</v>
      </c>
      <c r="C1131" s="2" t="s">
        <v>594</v>
      </c>
      <c r="D1131" s="2" t="str">
        <f t="shared" si="16"/>
        <v>Error?</v>
      </c>
    </row>
    <row r="1132" spans="1:4" x14ac:dyDescent="0.2">
      <c r="A1132" s="10">
        <v>1071</v>
      </c>
      <c r="D1132" s="2" t="str">
        <f t="shared" si="16"/>
        <v>OK</v>
      </c>
    </row>
    <row r="1133" spans="1:4" x14ac:dyDescent="0.2">
      <c r="A1133" s="5">
        <v>1072</v>
      </c>
      <c r="B1133" s="138">
        <f>'Expenditures 15-22'!K65</f>
        <v>127869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302051</v>
      </c>
      <c r="C1143" s="2" t="s">
        <v>594</v>
      </c>
      <c r="D1143" s="2" t="str">
        <f t="shared" si="16"/>
        <v>Error?</v>
      </c>
    </row>
    <row r="1144" spans="1:4" x14ac:dyDescent="0.2">
      <c r="A1144" s="5">
        <v>1083</v>
      </c>
      <c r="B1144" s="138">
        <f>'Expenditures 15-22'!K75</f>
        <v>4757</v>
      </c>
      <c r="C1144" s="2" t="s">
        <v>594</v>
      </c>
      <c r="D1144" s="2" t="str">
        <f t="shared" si="16"/>
        <v>Error?</v>
      </c>
    </row>
    <row r="1145" spans="1:4" x14ac:dyDescent="0.2">
      <c r="A1145" s="5">
        <v>1084</v>
      </c>
      <c r="B1145" s="138">
        <f>'Expenditures 15-22'!K102</f>
        <v>72655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1008508</v>
      </c>
      <c r="C1152" s="2" t="s">
        <v>594</v>
      </c>
      <c r="D1152" s="2" t="str">
        <f t="shared" si="17"/>
        <v>Error?</v>
      </c>
    </row>
    <row r="1153" spans="1:4" x14ac:dyDescent="0.2">
      <c r="A1153" s="5">
        <v>1092</v>
      </c>
      <c r="B1153" s="138">
        <f>'Expenditures 15-22'!K115</f>
        <v>238709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49353</v>
      </c>
      <c r="D1221" s="2" t="str">
        <f t="shared" si="18"/>
        <v>Error?</v>
      </c>
    </row>
    <row r="1222" spans="1:4" x14ac:dyDescent="0.2">
      <c r="A1222" s="10">
        <v>1161</v>
      </c>
      <c r="D1222" s="2" t="str">
        <f t="shared" si="18"/>
        <v>OK</v>
      </c>
    </row>
    <row r="1223" spans="1:4" x14ac:dyDescent="0.2">
      <c r="A1223" s="5">
        <v>1162</v>
      </c>
      <c r="B1223" s="138">
        <f>'Expenditures 15-22'!C127</f>
        <v>49353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49353</v>
      </c>
      <c r="C1225" s="2" t="s">
        <v>594</v>
      </c>
      <c r="D1225" s="2" t="str">
        <f t="shared" si="18"/>
        <v>Error?</v>
      </c>
    </row>
    <row r="1226" spans="1:4" x14ac:dyDescent="0.2">
      <c r="A1226" s="5">
        <v>1165</v>
      </c>
      <c r="B1226" s="138">
        <f>'Expenditures 15-22'!C151</f>
        <v>49353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4097</v>
      </c>
      <c r="D1229" s="2" t="str">
        <f t="shared" si="18"/>
        <v>Error?</v>
      </c>
    </row>
    <row r="1230" spans="1:4" x14ac:dyDescent="0.2">
      <c r="A1230" s="10">
        <v>1169</v>
      </c>
      <c r="D1230" s="2" t="str">
        <f t="shared" si="18"/>
        <v>OK</v>
      </c>
    </row>
    <row r="1231" spans="1:4" x14ac:dyDescent="0.2">
      <c r="A1231" s="5">
        <v>1170</v>
      </c>
      <c r="B1231" s="138">
        <f>'Expenditures 15-22'!D127</f>
        <v>4097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4097</v>
      </c>
      <c r="C1233" s="2" t="s">
        <v>594</v>
      </c>
      <c r="D1233" s="2" t="str">
        <f t="shared" si="18"/>
        <v>Error?</v>
      </c>
    </row>
    <row r="1234" spans="1:4" x14ac:dyDescent="0.2">
      <c r="A1234" s="5">
        <v>1173</v>
      </c>
      <c r="B1234" s="138">
        <f>'Expenditures 15-22'!D151</f>
        <v>4097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22001</v>
      </c>
      <c r="D1237" s="2" t="str">
        <f t="shared" si="18"/>
        <v>Error?</v>
      </c>
    </row>
    <row r="1238" spans="1:4" x14ac:dyDescent="0.2">
      <c r="A1238" s="10">
        <v>1177</v>
      </c>
      <c r="D1238" s="2" t="str">
        <f t="shared" si="18"/>
        <v>OK</v>
      </c>
    </row>
    <row r="1239" spans="1:4" x14ac:dyDescent="0.2">
      <c r="A1239" s="5">
        <v>1178</v>
      </c>
      <c r="B1239" s="138">
        <f>'Expenditures 15-22'!E127</f>
        <v>22001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22001</v>
      </c>
      <c r="C1241" s="2" t="s">
        <v>594</v>
      </c>
      <c r="D1241" s="2" t="str">
        <f t="shared" si="18"/>
        <v>Error?</v>
      </c>
    </row>
    <row r="1242" spans="1:4" x14ac:dyDescent="0.2">
      <c r="A1242" s="5">
        <v>1181</v>
      </c>
      <c r="B1242" s="138">
        <f>'Expenditures 15-22'!E151</f>
        <v>22001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34646</v>
      </c>
      <c r="D1245" s="2" t="str">
        <f t="shared" si="18"/>
        <v>Error?</v>
      </c>
    </row>
    <row r="1246" spans="1:4" x14ac:dyDescent="0.2">
      <c r="A1246" s="10">
        <v>1185</v>
      </c>
      <c r="D1246" s="2" t="str">
        <f t="shared" si="18"/>
        <v>OK</v>
      </c>
    </row>
    <row r="1247" spans="1:4" x14ac:dyDescent="0.2">
      <c r="A1247" s="5">
        <v>1186</v>
      </c>
      <c r="B1247" s="138">
        <f>'Expenditures 15-22'!F127</f>
        <v>34646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34646</v>
      </c>
      <c r="C1249" s="2" t="s">
        <v>594</v>
      </c>
      <c r="D1249" s="2" t="str">
        <f t="shared" si="18"/>
        <v>Error?</v>
      </c>
    </row>
    <row r="1250" spans="1:4" x14ac:dyDescent="0.2">
      <c r="A1250" s="5">
        <v>1189</v>
      </c>
      <c r="B1250" s="138">
        <f>'Expenditures 15-22'!F151</f>
        <v>34646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30632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30632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30632</v>
      </c>
      <c r="C1258" s="2" t="s">
        <v>594</v>
      </c>
      <c r="D1258" s="2" t="str">
        <f t="shared" si="18"/>
        <v>Error?</v>
      </c>
    </row>
    <row r="1259" spans="1:4" x14ac:dyDescent="0.2">
      <c r="A1259" s="5">
        <v>1198</v>
      </c>
      <c r="B1259" s="138">
        <f>'Expenditures 15-22'!G151</f>
        <v>30632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140729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140729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140729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140729</v>
      </c>
      <c r="C1288" s="2" t="s">
        <v>594</v>
      </c>
      <c r="D1288" s="2" t="str">
        <f t="shared" si="19"/>
        <v>Error?</v>
      </c>
    </row>
    <row r="1289" spans="1:4" x14ac:dyDescent="0.2">
      <c r="A1289" s="5">
        <v>1228</v>
      </c>
      <c r="B1289" s="138">
        <f>'Expenditures 15-22'!K152</f>
        <v>30753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14404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17000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31904</v>
      </c>
      <c r="C1317" s="2" t="s">
        <v>594</v>
      </c>
      <c r="D1317" s="2" t="str">
        <f t="shared" si="19"/>
        <v>Error?</v>
      </c>
    </row>
    <row r="1318" spans="1:4" x14ac:dyDescent="0.2">
      <c r="A1318" s="5">
        <v>1257</v>
      </c>
      <c r="B1318" s="138">
        <f>'Expenditures 15-22'!H174</f>
        <v>31904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14404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17000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31904</v>
      </c>
      <c r="C1331" s="2" t="s">
        <v>594</v>
      </c>
      <c r="D1331" s="2" t="str">
        <f t="shared" si="19"/>
        <v>Error?</v>
      </c>
    </row>
    <row r="1332" spans="1:4" x14ac:dyDescent="0.2">
      <c r="A1332" s="5">
        <v>1271</v>
      </c>
      <c r="B1332" s="138">
        <f>'Expenditures 15-22'!K174</f>
        <v>31904</v>
      </c>
      <c r="C1332" s="2" t="s">
        <v>594</v>
      </c>
      <c r="D1332" s="2" t="str">
        <f t="shared" si="19"/>
        <v>Error?</v>
      </c>
    </row>
    <row r="1333" spans="1:4" x14ac:dyDescent="0.2">
      <c r="A1333" s="5">
        <v>1272</v>
      </c>
      <c r="B1333" s="138">
        <f>'Expenditures 15-22'!K175</f>
        <v>-31904</v>
      </c>
      <c r="C1333" s="2" t="s">
        <v>594</v>
      </c>
      <c r="D1333" s="2" t="str">
        <f t="shared" si="19"/>
        <v>Error?</v>
      </c>
    </row>
    <row r="1334" spans="1:4" x14ac:dyDescent="0.2">
      <c r="A1334" s="10">
        <v>1273</v>
      </c>
      <c r="D1334" s="2" t="str">
        <f t="shared" si="19"/>
        <v>OK</v>
      </c>
    </row>
    <row r="1335" spans="1:4" x14ac:dyDescent="0.2">
      <c r="A1335" s="5">
        <v>1274</v>
      </c>
      <c r="B1335" s="138">
        <f>'Expenditures 15-22'!C182</f>
        <v>36459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36459</v>
      </c>
      <c r="C1339" s="2" t="s">
        <v>594</v>
      </c>
      <c r="D1339" s="2" t="str">
        <f t="shared" si="19"/>
        <v>Error?</v>
      </c>
    </row>
    <row r="1340" spans="1:4" x14ac:dyDescent="0.2">
      <c r="A1340" s="5">
        <v>1279</v>
      </c>
      <c r="B1340" s="138">
        <f>'Expenditures 15-22'!C210</f>
        <v>36459</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1317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1317</v>
      </c>
      <c r="C1351" s="2" t="s">
        <v>594</v>
      </c>
      <c r="D1351" s="2" t="str">
        <f t="shared" si="20"/>
        <v>Error?</v>
      </c>
    </row>
    <row r="1352" spans="1:4" x14ac:dyDescent="0.2">
      <c r="A1352" s="5">
        <v>1291</v>
      </c>
      <c r="B1352" s="138">
        <f>'Expenditures 15-22'!E196</f>
        <v>13000</v>
      </c>
      <c r="C1352" s="2" t="s">
        <v>594</v>
      </c>
      <c r="D1352" s="2" t="str">
        <f t="shared" si="20"/>
        <v>Error?</v>
      </c>
    </row>
    <row r="1353" spans="1:4" x14ac:dyDescent="0.2">
      <c r="A1353" s="5">
        <v>1292</v>
      </c>
      <c r="B1353" s="138">
        <f>'Expenditures 15-22'!E210</f>
        <v>14317</v>
      </c>
      <c r="C1353" s="2" t="s">
        <v>594</v>
      </c>
      <c r="D1353" s="2" t="str">
        <f t="shared" si="20"/>
        <v>Error?</v>
      </c>
    </row>
    <row r="1354" spans="1:4" x14ac:dyDescent="0.2">
      <c r="A1354" s="5">
        <v>1293</v>
      </c>
      <c r="B1354" s="138">
        <f>'Expenditures 15-22'!F182</f>
        <v>12204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12204</v>
      </c>
      <c r="C1358" s="2" t="s">
        <v>594</v>
      </c>
      <c r="D1358" s="2" t="str">
        <f t="shared" si="20"/>
        <v>Error?</v>
      </c>
    </row>
    <row r="1359" spans="1:4" x14ac:dyDescent="0.2">
      <c r="A1359" s="5">
        <v>1298</v>
      </c>
      <c r="B1359" s="138">
        <f>'Expenditures 15-22'!F210</f>
        <v>12204</v>
      </c>
      <c r="C1359" s="2" t="s">
        <v>594</v>
      </c>
      <c r="D1359" s="2" t="str">
        <f t="shared" si="20"/>
        <v>Error?</v>
      </c>
    </row>
    <row r="1360" spans="1:4" x14ac:dyDescent="0.2">
      <c r="A1360" s="5">
        <v>1299</v>
      </c>
      <c r="B1360" s="138">
        <f>'Expenditures 15-22'!G182</f>
        <v>48129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48129</v>
      </c>
      <c r="C1364" s="2" t="s">
        <v>594</v>
      </c>
      <c r="D1364" s="2" t="str">
        <f t="shared" si="20"/>
        <v>Error?</v>
      </c>
    </row>
    <row r="1365" spans="1:4" x14ac:dyDescent="0.2">
      <c r="A1365" s="5">
        <v>1304</v>
      </c>
      <c r="B1365" s="138">
        <f>'Expenditures 15-22'!G210</f>
        <v>48129</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98109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98109</v>
      </c>
      <c r="C1381" s="2" t="s">
        <v>594</v>
      </c>
      <c r="D1381" s="2" t="str">
        <f t="shared" si="20"/>
        <v>Error?</v>
      </c>
    </row>
    <row r="1382" spans="1:4" x14ac:dyDescent="0.2">
      <c r="A1382" s="5">
        <v>1321</v>
      </c>
      <c r="B1382" s="138">
        <f>'Expenditures 15-22'!K196</f>
        <v>13000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111109</v>
      </c>
      <c r="C1388" s="2" t="s">
        <v>594</v>
      </c>
      <c r="D1388" s="2" t="str">
        <f t="shared" si="20"/>
        <v>Error?</v>
      </c>
    </row>
    <row r="1389" spans="1:4" x14ac:dyDescent="0.2">
      <c r="A1389" s="5">
        <v>1328</v>
      </c>
      <c r="B1389" s="138">
        <f>'Expenditures 15-22'!K211</f>
        <v>15866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10551</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338</v>
      </c>
      <c r="D1422" s="2" t="str">
        <f t="shared" si="21"/>
        <v>Error?</v>
      </c>
    </row>
    <row r="1423" spans="1:4" x14ac:dyDescent="0.2">
      <c r="A1423" s="5">
        <v>1362</v>
      </c>
      <c r="B1423" s="138">
        <f>'Expenditures 15-22'!D246</f>
        <v>1578</v>
      </c>
      <c r="D1423" s="2" t="str">
        <f t="shared" si="21"/>
        <v>Error?</v>
      </c>
    </row>
    <row r="1424" spans="1:4" x14ac:dyDescent="0.2">
      <c r="A1424" s="5">
        <v>1363</v>
      </c>
      <c r="B1424" s="138">
        <f>'Expenditures 15-22'!D257</f>
        <v>1945</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6598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9227</v>
      </c>
      <c r="D1431" s="2" t="str">
        <f t="shared" si="21"/>
        <v>Error?</v>
      </c>
    </row>
    <row r="1432" spans="1:4" x14ac:dyDescent="0.2">
      <c r="A1432" s="5">
        <v>1371</v>
      </c>
      <c r="B1432" s="138">
        <f>'Expenditures 15-22'!D267</f>
        <v>5000</v>
      </c>
      <c r="D1432" s="2" t="str">
        <f t="shared" si="21"/>
        <v>Error?</v>
      </c>
    </row>
    <row r="1433" spans="1:4" x14ac:dyDescent="0.2">
      <c r="A1433" s="5">
        <v>1372</v>
      </c>
      <c r="B1433" s="138">
        <f>'Expenditures 15-22'!D268</f>
        <v>3590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24415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26360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36911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10551</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338</v>
      </c>
      <c r="C1486" s="2" t="s">
        <v>594</v>
      </c>
      <c r="D1486" s="2" t="str">
        <f t="shared" si="22"/>
        <v>Error?</v>
      </c>
    </row>
    <row r="1487" spans="1:4" x14ac:dyDescent="0.2">
      <c r="A1487" s="5">
        <v>1426</v>
      </c>
      <c r="B1487" s="138">
        <f>'Expenditures 15-22'!K246</f>
        <v>1578</v>
      </c>
      <c r="C1487" s="2" t="s">
        <v>594</v>
      </c>
      <c r="D1487" s="2" t="str">
        <f t="shared" si="22"/>
        <v>Error?</v>
      </c>
    </row>
    <row r="1488" spans="1:4" x14ac:dyDescent="0.2">
      <c r="A1488" s="5">
        <v>1427</v>
      </c>
      <c r="B1488" s="138">
        <f>'Expenditures 15-22'!K257</f>
        <v>1945</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6598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9227</v>
      </c>
      <c r="C1495" s="2" t="s">
        <v>594</v>
      </c>
      <c r="D1495" s="2" t="str">
        <f t="shared" si="22"/>
        <v>Error?</v>
      </c>
    </row>
    <row r="1496" spans="1:4" x14ac:dyDescent="0.2">
      <c r="A1496" s="5">
        <v>1435</v>
      </c>
      <c r="B1496" s="138">
        <f>'Expenditures 15-22'!K267</f>
        <v>5000</v>
      </c>
      <c r="C1496" s="2" t="s">
        <v>594</v>
      </c>
      <c r="D1496" s="2" t="str">
        <f t="shared" si="22"/>
        <v>Error?</v>
      </c>
    </row>
    <row r="1497" spans="1:4" x14ac:dyDescent="0.2">
      <c r="A1497" s="5">
        <v>1436</v>
      </c>
      <c r="B1497" s="138">
        <f>'Expenditures 15-22'!K268</f>
        <v>3590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24415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26360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36911</v>
      </c>
      <c r="C1517" s="2" t="s">
        <v>594</v>
      </c>
      <c r="D1517" s="2" t="str">
        <f t="shared" si="22"/>
        <v>Error?</v>
      </c>
    </row>
    <row r="1518" spans="1:4" x14ac:dyDescent="0.2">
      <c r="A1518" s="5">
        <v>1457</v>
      </c>
      <c r="B1518" s="138">
        <f>'Expenditures 15-22'!K296</f>
        <v>-15572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3114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3114</v>
      </c>
      <c r="C1535" s="2" t="s">
        <v>594</v>
      </c>
      <c r="D1535" s="2" t="str">
        <f t="shared" ref="D1535:D1598" si="23">IF(ISBLANK(B1535),"OK",IF(A1535-B1535=0,"OK","Error?"))</f>
        <v>Error?</v>
      </c>
    </row>
    <row r="1536" spans="1:4" x14ac:dyDescent="0.2">
      <c r="A1536" s="5">
        <v>1475</v>
      </c>
      <c r="B1536" s="138">
        <f>'Expenditures 15-22'!E312</f>
        <v>3114</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1098</v>
      </c>
      <c r="D1546" s="2" t="str">
        <f t="shared" si="23"/>
        <v>Error?</v>
      </c>
    </row>
    <row r="1547" spans="1:4" x14ac:dyDescent="0.2">
      <c r="A1547" s="5">
        <v>1486</v>
      </c>
      <c r="B1547" s="138">
        <f>'Expenditures 15-22'!G303</f>
        <v>1098</v>
      </c>
      <c r="C1547" s="2" t="s">
        <v>594</v>
      </c>
      <c r="D1547" s="2" t="str">
        <f t="shared" si="23"/>
        <v>Error?</v>
      </c>
    </row>
    <row r="1548" spans="1:4" x14ac:dyDescent="0.2">
      <c r="A1548" s="5">
        <v>1487</v>
      </c>
      <c r="B1548" s="138">
        <f>'Expenditures 15-22'!G312</f>
        <v>1098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3114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1098</v>
      </c>
      <c r="C1558" s="2" t="s">
        <v>594</v>
      </c>
      <c r="D1558" s="2" t="str">
        <f t="shared" si="23"/>
        <v>Error?</v>
      </c>
    </row>
    <row r="1559" spans="1:4" x14ac:dyDescent="0.2">
      <c r="A1559" s="5">
        <v>1498</v>
      </c>
      <c r="B1559" s="138">
        <f>'Expenditures 15-22'!K303</f>
        <v>4212</v>
      </c>
      <c r="C1559" s="2" t="s">
        <v>594</v>
      </c>
      <c r="D1559" s="2" t="str">
        <f t="shared" si="23"/>
        <v>Error?</v>
      </c>
    </row>
    <row r="1560" spans="1:4" x14ac:dyDescent="0.2">
      <c r="A1560" s="5">
        <v>1499</v>
      </c>
      <c r="B1560" s="138">
        <f>'Expenditures 15-22'!K312</f>
        <v>4212</v>
      </c>
      <c r="C1560" s="2" t="s">
        <v>594</v>
      </c>
      <c r="D1560" s="2" t="str">
        <f t="shared" si="23"/>
        <v>Error?</v>
      </c>
    </row>
    <row r="1561" spans="1:4" x14ac:dyDescent="0.2">
      <c r="A1561" s="5">
        <v>1500</v>
      </c>
      <c r="B1561" s="138">
        <f>'Expenditures 15-22'!K313</f>
        <v>47402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1281479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1520341</v>
      </c>
      <c r="C1630" s="2" t="s">
        <v>594</v>
      </c>
      <c r="D1630" s="2" t="str">
        <f t="shared" si="24"/>
        <v>Error?</v>
      </c>
    </row>
    <row r="1631" spans="1:4" x14ac:dyDescent="0.2">
      <c r="A1631" s="5">
        <v>1570</v>
      </c>
      <c r="B1631" s="138">
        <f>'Acct Summary 7-8'!D79</f>
        <v>447124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477877</v>
      </c>
      <c r="C1644" s="2" t="s">
        <v>594</v>
      </c>
      <c r="D1644" s="2" t="str">
        <f t="shared" si="24"/>
        <v>Error?</v>
      </c>
    </row>
    <row r="1645" spans="1:4" x14ac:dyDescent="0.2">
      <c r="A1645" s="5">
        <v>1584</v>
      </c>
      <c r="B1645" s="138">
        <f>'Acct Summary 7-8'!E79</f>
        <v>-540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56</v>
      </c>
      <c r="C1658" s="2" t="s">
        <v>594</v>
      </c>
      <c r="D1658" s="2" t="str">
        <f t="shared" si="24"/>
        <v>Error?</v>
      </c>
    </row>
    <row r="1659" spans="1:4" x14ac:dyDescent="0.2">
      <c r="A1659" s="5">
        <v>1598</v>
      </c>
      <c r="B1659" s="138">
        <f>'Acct Summary 7-8'!F79</f>
        <v>22264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38130</v>
      </c>
      <c r="C1672" s="2" t="s">
        <v>594</v>
      </c>
      <c r="D1672" s="2" t="str">
        <f t="shared" si="25"/>
        <v>Error?</v>
      </c>
    </row>
    <row r="1673" spans="1:4" x14ac:dyDescent="0.2">
      <c r="A1673" s="5">
        <v>1612</v>
      </c>
      <c r="B1673" s="138">
        <f>'Acct Summary 7-8'!G79</f>
        <v>15153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14405</v>
      </c>
      <c r="C1686" s="2" t="s">
        <v>594</v>
      </c>
      <c r="D1686" s="2" t="str">
        <f t="shared" si="25"/>
        <v>Error?</v>
      </c>
    </row>
    <row r="1687" spans="1:4" x14ac:dyDescent="0.2">
      <c r="A1687" s="5">
        <v>1626</v>
      </c>
      <c r="B1687" s="138">
        <f>'Acct Summary 7-8'!H79</f>
        <v>49800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64702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818286</v>
      </c>
      <c r="C1744" s="2" t="s">
        <v>594</v>
      </c>
      <c r="D1744" s="2" t="str">
        <f t="shared" si="26"/>
        <v>Error?</v>
      </c>
    </row>
    <row r="1745" spans="1:5" x14ac:dyDescent="0.2">
      <c r="A1745" s="5">
        <v>1684</v>
      </c>
      <c r="B1745" s="138">
        <f>'Tax Sched 23'!B5</f>
        <v>165653</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37025</v>
      </c>
      <c r="C1747" s="2" t="s">
        <v>594</v>
      </c>
      <c r="D1747" s="2" t="str">
        <f t="shared" si="26"/>
        <v>Error?</v>
      </c>
    </row>
    <row r="1748" spans="1:5" x14ac:dyDescent="0.2">
      <c r="A1748" s="5">
        <v>1687</v>
      </c>
      <c r="B1748" s="138">
        <f>'Tax Sched 23'!B8</f>
        <v>18463</v>
      </c>
      <c r="C1748" s="2" t="s">
        <v>594</v>
      </c>
      <c r="D1748" s="2" t="str">
        <f t="shared" si="26"/>
        <v>Error?</v>
      </c>
    </row>
    <row r="1749" spans="1:5" x14ac:dyDescent="0.2">
      <c r="A1749" s="5">
        <v>1688</v>
      </c>
      <c r="B1749" s="138">
        <f>'Tax Sched 23'!B10</f>
        <v>14822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44908</v>
      </c>
      <c r="C1752" s="2" t="s">
        <v>594</v>
      </c>
      <c r="D1752" s="2" t="str">
        <f t="shared" si="26"/>
        <v>Error?</v>
      </c>
    </row>
    <row r="1753" spans="1:5" x14ac:dyDescent="0.2">
      <c r="A1753" s="5">
        <v>1692</v>
      </c>
      <c r="B1753" s="138">
        <f>'Tax Sched 23'!B12</f>
        <v>14723</v>
      </c>
      <c r="C1753" s="2" t="s">
        <v>594</v>
      </c>
      <c r="D1753" s="2" t="str">
        <f t="shared" si="26"/>
        <v>Error?</v>
      </c>
    </row>
    <row r="1754" spans="1:5" x14ac:dyDescent="0.2">
      <c r="A1754" s="5">
        <v>1693</v>
      </c>
      <c r="B1754" s="138">
        <f>'Tax Sched 23'!B14</f>
        <v>4991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1129851</v>
      </c>
      <c r="C1759" s="2" t="s">
        <v>594</v>
      </c>
      <c r="D1759" s="2" t="str">
        <f t="shared" si="26"/>
        <v>Error?</v>
      </c>
    </row>
    <row r="1760" spans="1:5" x14ac:dyDescent="0.2">
      <c r="A1760" s="5">
        <v>1699</v>
      </c>
      <c r="B1760" s="138">
        <f>'Tax Sched 23'!D4</f>
        <v>818286</v>
      </c>
      <c r="C1760" s="2" t="s">
        <v>594</v>
      </c>
      <c r="D1760" s="2" t="str">
        <f t="shared" si="26"/>
        <v>Error?</v>
      </c>
    </row>
    <row r="1761" spans="1:5" x14ac:dyDescent="0.2">
      <c r="A1761" s="5">
        <v>1700</v>
      </c>
      <c r="B1761" s="138">
        <f>'Tax Sched 23'!D5</f>
        <v>165653</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37025</v>
      </c>
      <c r="C1763" s="2" t="s">
        <v>594</v>
      </c>
      <c r="D1763" s="2" t="str">
        <f t="shared" si="26"/>
        <v>Error?</v>
      </c>
    </row>
    <row r="1764" spans="1:5" x14ac:dyDescent="0.2">
      <c r="A1764" s="5">
        <v>1703</v>
      </c>
      <c r="B1764" s="138">
        <f>'Tax Sched 23'!D8</f>
        <v>18463</v>
      </c>
      <c r="C1764" s="2" t="s">
        <v>594</v>
      </c>
      <c r="D1764" s="2" t="str">
        <f t="shared" si="26"/>
        <v>Error?</v>
      </c>
    </row>
    <row r="1765" spans="1:5" x14ac:dyDescent="0.2">
      <c r="A1765" s="5">
        <v>1704</v>
      </c>
      <c r="B1765" s="138">
        <f>'Tax Sched 23'!D10</f>
        <v>14822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44908</v>
      </c>
      <c r="C1768" s="2" t="s">
        <v>594</v>
      </c>
      <c r="D1768" s="2" t="str">
        <f t="shared" si="26"/>
        <v>Error?</v>
      </c>
    </row>
    <row r="1769" spans="1:5" x14ac:dyDescent="0.2">
      <c r="A1769" s="5">
        <v>1708</v>
      </c>
      <c r="B1769" s="138">
        <f>'Tax Sched 23'!D12</f>
        <v>14723</v>
      </c>
      <c r="C1769" s="2" t="s">
        <v>594</v>
      </c>
      <c r="D1769" s="2" t="str">
        <f t="shared" si="26"/>
        <v>Error?</v>
      </c>
    </row>
    <row r="1770" spans="1:5" x14ac:dyDescent="0.2">
      <c r="A1770" s="5">
        <v>1709</v>
      </c>
      <c r="B1770" s="138">
        <f>'Tax Sched 23'!D14</f>
        <v>4991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1129851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875000</v>
      </c>
      <c r="C1792" s="2" t="s">
        <v>594</v>
      </c>
      <c r="D1792" s="2" t="str">
        <f t="shared" si="27"/>
        <v>Error?</v>
      </c>
    </row>
    <row r="1793" spans="1:4" x14ac:dyDescent="0.2">
      <c r="A1793" s="5">
        <v>1732</v>
      </c>
      <c r="B1793" s="138">
        <f>'Tax Sched 23'!F5</f>
        <v>181001</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39001</v>
      </c>
      <c r="C1795" s="2" t="s">
        <v>594</v>
      </c>
      <c r="D1795" s="2" t="str">
        <f t="shared" si="27"/>
        <v>Error?</v>
      </c>
    </row>
    <row r="1796" spans="1:4" x14ac:dyDescent="0.2">
      <c r="A1796" s="5">
        <v>1735</v>
      </c>
      <c r="B1796" s="138">
        <f>'Tax Sched 23'!F8</f>
        <v>22001</v>
      </c>
      <c r="C1796" s="2" t="s">
        <v>594</v>
      </c>
      <c r="D1796" s="2" t="str">
        <f t="shared" si="27"/>
        <v>Error?</v>
      </c>
    </row>
    <row r="1797" spans="1:4" x14ac:dyDescent="0.2">
      <c r="A1797" s="5">
        <v>1736</v>
      </c>
      <c r="B1797" s="138">
        <f>'Tax Sched 23'!F10</f>
        <v>15001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26003</v>
      </c>
      <c r="C1800" s="2" t="s">
        <v>594</v>
      </c>
      <c r="D1800" s="2" t="str">
        <f t="shared" si="27"/>
        <v>Error?</v>
      </c>
    </row>
    <row r="1801" spans="1:4" x14ac:dyDescent="0.2">
      <c r="A1801" s="5">
        <v>1740</v>
      </c>
      <c r="B1801" s="138">
        <f>'Tax Sched 23'!F12</f>
        <v>15001</v>
      </c>
      <c r="C1801" s="2" t="s">
        <v>594</v>
      </c>
      <c r="D1801" s="2" t="str">
        <f t="shared" si="27"/>
        <v>Error?</v>
      </c>
    </row>
    <row r="1802" spans="1:4" x14ac:dyDescent="0.2">
      <c r="A1802" s="5">
        <v>1741</v>
      </c>
      <c r="B1802" s="138">
        <f>'Tax Sched 23'!F14</f>
        <v>4800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1188611</v>
      </c>
      <c r="C1807" s="2" t="s">
        <v>594</v>
      </c>
      <c r="D1807" s="2" t="str">
        <f t="shared" si="27"/>
        <v>Error?</v>
      </c>
    </row>
    <row r="1808" spans="1:4" x14ac:dyDescent="0.2">
      <c r="A1808" s="5">
        <v>1747</v>
      </c>
      <c r="B1808" s="138">
        <f>'Tax Sched 23'!E4</f>
        <v>875000</v>
      </c>
      <c r="D1808" s="2" t="str">
        <f t="shared" si="27"/>
        <v>Error?</v>
      </c>
    </row>
    <row r="1809" spans="1:4" x14ac:dyDescent="0.2">
      <c r="A1809" s="5">
        <v>1748</v>
      </c>
      <c r="B1809" s="138">
        <f>'Tax Sched 23'!E5</f>
        <v>181001</v>
      </c>
      <c r="D1809" s="2" t="str">
        <f t="shared" si="27"/>
        <v>Error?</v>
      </c>
    </row>
    <row r="1810" spans="1:4" x14ac:dyDescent="0.2">
      <c r="A1810" s="5">
        <v>1749</v>
      </c>
      <c r="B1810" s="138">
        <f>'Tax Sched 23'!E6</f>
        <v>0</v>
      </c>
      <c r="D1810" s="2" t="str">
        <f t="shared" si="27"/>
        <v>Error?</v>
      </c>
    </row>
    <row r="1811" spans="1:4" x14ac:dyDescent="0.2">
      <c r="A1811" s="5">
        <v>1750</v>
      </c>
      <c r="B1811" s="138">
        <f>'Tax Sched 23'!E7</f>
        <v>39001</v>
      </c>
      <c r="D1811" s="2" t="str">
        <f t="shared" si="27"/>
        <v>Error?</v>
      </c>
    </row>
    <row r="1812" spans="1:4" x14ac:dyDescent="0.2">
      <c r="A1812" s="5">
        <v>1751</v>
      </c>
      <c r="B1812" s="138">
        <f>'Tax Sched 23'!E8</f>
        <v>22001</v>
      </c>
      <c r="D1812" s="2" t="str">
        <f t="shared" si="27"/>
        <v>Error?</v>
      </c>
    </row>
    <row r="1813" spans="1:4" x14ac:dyDescent="0.2">
      <c r="A1813" s="5">
        <v>1752</v>
      </c>
      <c r="B1813" s="138">
        <f>'Tax Sched 23'!E10</f>
        <v>15001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26003</v>
      </c>
      <c r="D1816" s="2" t="str">
        <f t="shared" si="27"/>
        <v>Error?</v>
      </c>
    </row>
    <row r="1817" spans="1:4" x14ac:dyDescent="0.2">
      <c r="A1817" s="5">
        <v>1756</v>
      </c>
      <c r="B1817" s="138">
        <f>'Tax Sched 23'!E12</f>
        <v>15001</v>
      </c>
      <c r="D1817" s="2" t="str">
        <f t="shared" si="27"/>
        <v>Error?</v>
      </c>
    </row>
    <row r="1818" spans="1:4" x14ac:dyDescent="0.2">
      <c r="A1818" s="5">
        <v>1757</v>
      </c>
      <c r="B1818" s="138">
        <f>'Tax Sched 23'!E14</f>
        <v>4800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1188611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309000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4991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4991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4991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5000</v>
      </c>
      <c r="D2008" s="2" t="str">
        <f t="shared" si="30"/>
        <v>Error?</v>
      </c>
    </row>
    <row r="2009" spans="1:4" x14ac:dyDescent="0.2">
      <c r="A2009" s="5">
        <v>1948</v>
      </c>
      <c r="B2009" s="138">
        <f>'Cap Outlay Deprec 26'!C8</f>
        <v>2923142</v>
      </c>
      <c r="D2009" s="2" t="str">
        <f t="shared" si="30"/>
        <v>Error?</v>
      </c>
    </row>
    <row r="2010" spans="1:4" x14ac:dyDescent="0.2">
      <c r="A2010" s="5">
        <v>1949</v>
      </c>
      <c r="B2010" s="138">
        <f>'Cap Outlay Deprec 26'!C10</f>
        <v>186422</v>
      </c>
      <c r="D2010" s="2" t="str">
        <f t="shared" si="30"/>
        <v>Error?</v>
      </c>
    </row>
    <row r="2011" spans="1:4" x14ac:dyDescent="0.2">
      <c r="A2011" s="5">
        <v>1950</v>
      </c>
      <c r="B2011" s="138">
        <f>'Cap Outlay Deprec 26'!C12</f>
        <v>787302</v>
      </c>
      <c r="D2011" s="2" t="str">
        <f t="shared" si="30"/>
        <v>Error?</v>
      </c>
    </row>
    <row r="2012" spans="1:4" x14ac:dyDescent="0.2">
      <c r="A2012" s="5">
        <v>1951</v>
      </c>
      <c r="B2012" s="138">
        <f>'Cap Outlay Deprec 26'!C13</f>
        <v>53555</v>
      </c>
      <c r="D2012" s="2" t="str">
        <f t="shared" si="30"/>
        <v>Error?</v>
      </c>
    </row>
    <row r="2013" spans="1:4" x14ac:dyDescent="0.2">
      <c r="A2013" s="5">
        <v>1952</v>
      </c>
      <c r="B2013" s="138">
        <f>'Cap Outlay Deprec 26'!C16</f>
        <v>3955421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54523</v>
      </c>
      <c r="D2016" s="2" t="str">
        <f t="shared" si="30"/>
        <v>Error?</v>
      </c>
    </row>
    <row r="2017" spans="1:4" x14ac:dyDescent="0.2">
      <c r="A2017" s="5">
        <v>1956</v>
      </c>
      <c r="B2017" s="138">
        <f>'Cap Outlay Deprec 26'!D12</f>
        <v>12374</v>
      </c>
      <c r="D2017" s="2" t="str">
        <f t="shared" si="30"/>
        <v>Error?</v>
      </c>
    </row>
    <row r="2018" spans="1:4" x14ac:dyDescent="0.2">
      <c r="A2018" s="5">
        <v>1957</v>
      </c>
      <c r="B2018" s="138">
        <f>'Cap Outlay Deprec 26'!D13</f>
        <v>45257</v>
      </c>
      <c r="D2018" s="2" t="str">
        <f t="shared" si="30"/>
        <v>Error?</v>
      </c>
    </row>
    <row r="2019" spans="1:4" x14ac:dyDescent="0.2">
      <c r="A2019" s="5">
        <v>1958</v>
      </c>
      <c r="B2019" s="138">
        <f>'Cap Outlay Deprec 26'!D16</f>
        <v>112154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12806</v>
      </c>
      <c r="D2024" s="2" t="str">
        <f t="shared" si="30"/>
        <v>Error?</v>
      </c>
    </row>
    <row r="2025" spans="1:4" x14ac:dyDescent="0.2">
      <c r="A2025" s="5">
        <v>1964</v>
      </c>
      <c r="B2025" s="138">
        <f>'Cap Outlay Deprec 26'!E16</f>
        <v>12806</v>
      </c>
      <c r="C2025" s="2" t="s">
        <v>594</v>
      </c>
      <c r="D2025" s="2" t="str">
        <f t="shared" si="30"/>
        <v>Error?</v>
      </c>
    </row>
    <row r="2026" spans="1:4" x14ac:dyDescent="0.2">
      <c r="A2026" s="5">
        <v>1965</v>
      </c>
      <c r="B2026" s="138">
        <f>'Cap Outlay Deprec 26'!F5</f>
        <v>5000</v>
      </c>
      <c r="C2026" s="2" t="s">
        <v>594</v>
      </c>
      <c r="D2026" s="2" t="str">
        <f t="shared" si="30"/>
        <v>Error?</v>
      </c>
    </row>
    <row r="2027" spans="1:4" x14ac:dyDescent="0.2">
      <c r="A2027" s="5">
        <v>1966</v>
      </c>
      <c r="B2027" s="138">
        <f>'Cap Outlay Deprec 26'!F8</f>
        <v>2923142</v>
      </c>
      <c r="C2027" s="2" t="s">
        <v>594</v>
      </c>
      <c r="D2027" s="2" t="str">
        <f t="shared" si="30"/>
        <v>Error?</v>
      </c>
    </row>
    <row r="2028" spans="1:4" x14ac:dyDescent="0.2">
      <c r="A2028" s="5">
        <v>1967</v>
      </c>
      <c r="B2028" s="138">
        <f>'Cap Outlay Deprec 26'!F10</f>
        <v>240945</v>
      </c>
      <c r="C2028" s="2" t="s">
        <v>594</v>
      </c>
      <c r="D2028" s="2" t="str">
        <f t="shared" si="30"/>
        <v>Error?</v>
      </c>
    </row>
    <row r="2029" spans="1:4" x14ac:dyDescent="0.2">
      <c r="A2029" s="5">
        <v>1968</v>
      </c>
      <c r="B2029" s="138">
        <f>'Cap Outlay Deprec 26'!F12</f>
        <v>799676</v>
      </c>
      <c r="C2029" s="2" t="s">
        <v>594</v>
      </c>
      <c r="D2029" s="2" t="str">
        <f t="shared" si="30"/>
        <v>Error?</v>
      </c>
    </row>
    <row r="2030" spans="1:4" x14ac:dyDescent="0.2">
      <c r="A2030" s="5">
        <v>1969</v>
      </c>
      <c r="B2030" s="138">
        <f>'Cap Outlay Deprec 26'!F13</f>
        <v>86006</v>
      </c>
      <c r="C2030" s="2" t="s">
        <v>594</v>
      </c>
      <c r="D2030" s="2" t="str">
        <f t="shared" si="30"/>
        <v>Error?</v>
      </c>
    </row>
    <row r="2031" spans="1:4" x14ac:dyDescent="0.2">
      <c r="A2031" s="5">
        <v>1970</v>
      </c>
      <c r="B2031" s="138">
        <f>'Cap Outlay Deprec 26'!F16</f>
        <v>4054769</v>
      </c>
      <c r="C2031" s="2" t="s">
        <v>594</v>
      </c>
      <c r="D2031" s="2" t="str">
        <f t="shared" si="30"/>
        <v>Error?</v>
      </c>
    </row>
    <row r="2032" spans="1:4" x14ac:dyDescent="0.2">
      <c r="A2032" s="10">
        <v>1971</v>
      </c>
      <c r="D2032" s="2" t="str">
        <f t="shared" si="30"/>
        <v>OK</v>
      </c>
    </row>
    <row r="2033" spans="1:4" x14ac:dyDescent="0.2">
      <c r="A2033" s="5">
        <v>1972</v>
      </c>
      <c r="B2033" s="138">
        <f>'Cap Outlay Deprec 26'!H8</f>
        <v>1804787</v>
      </c>
      <c r="D2033" s="2" t="str">
        <f t="shared" si="30"/>
        <v>Error?</v>
      </c>
    </row>
    <row r="2034" spans="1:4" x14ac:dyDescent="0.2">
      <c r="A2034" s="5">
        <v>1973</v>
      </c>
      <c r="B2034" s="138">
        <f>'Cap Outlay Deprec 26'!H10</f>
        <v>23399</v>
      </c>
      <c r="D2034" s="2" t="str">
        <f t="shared" si="30"/>
        <v>Error?</v>
      </c>
    </row>
    <row r="2035" spans="1:4" x14ac:dyDescent="0.2">
      <c r="A2035" s="5">
        <v>1974</v>
      </c>
      <c r="B2035" s="138">
        <f>'Cap Outlay Deprec 26'!H12</f>
        <v>720146</v>
      </c>
      <c r="D2035" s="2" t="str">
        <f t="shared" si="30"/>
        <v>Error?</v>
      </c>
    </row>
    <row r="2036" spans="1:4" x14ac:dyDescent="0.2">
      <c r="A2036" s="5">
        <v>1975</v>
      </c>
      <c r="B2036" s="138">
        <f>'Cap Outlay Deprec 26'!H13</f>
        <v>50642</v>
      </c>
      <c r="D2036" s="2" t="str">
        <f t="shared" si="30"/>
        <v>Error?</v>
      </c>
    </row>
    <row r="2037" spans="1:4" x14ac:dyDescent="0.2">
      <c r="A2037" s="5">
        <v>1976</v>
      </c>
      <c r="B2037" s="138">
        <f>'Cap Outlay Deprec 26'!H16</f>
        <v>2598974</v>
      </c>
      <c r="C2037" s="2" t="s">
        <v>594</v>
      </c>
      <c r="D2037" s="2" t="str">
        <f t="shared" si="30"/>
        <v>Error?</v>
      </c>
    </row>
    <row r="2038" spans="1:4" x14ac:dyDescent="0.2">
      <c r="A2038" s="10">
        <v>1977</v>
      </c>
      <c r="D2038" s="2" t="str">
        <f t="shared" si="30"/>
        <v>OK</v>
      </c>
    </row>
    <row r="2039" spans="1:4" x14ac:dyDescent="0.2">
      <c r="A2039" s="5">
        <v>1978</v>
      </c>
      <c r="B2039" s="138">
        <f>'Cap Outlay Deprec 26'!I8</f>
        <v>58464</v>
      </c>
      <c r="D2039" s="2" t="str">
        <f t="shared" si="30"/>
        <v>Error?</v>
      </c>
    </row>
    <row r="2040" spans="1:4" x14ac:dyDescent="0.2">
      <c r="A2040" s="5">
        <v>1979</v>
      </c>
      <c r="B2040" s="138">
        <f>'Cap Outlay Deprec 26'!I10</f>
        <v>11826</v>
      </c>
      <c r="D2040" s="2" t="str">
        <f t="shared" si="30"/>
        <v>Error?</v>
      </c>
    </row>
    <row r="2041" spans="1:4" x14ac:dyDescent="0.2">
      <c r="A2041" s="5">
        <v>1980</v>
      </c>
      <c r="B2041" s="138">
        <f>'Cap Outlay Deprec 26'!I12</f>
        <v>13431</v>
      </c>
      <c r="D2041" s="2" t="str">
        <f t="shared" si="30"/>
        <v>Error?</v>
      </c>
    </row>
    <row r="2042" spans="1:4" x14ac:dyDescent="0.2">
      <c r="A2042" s="5">
        <v>1981</v>
      </c>
      <c r="B2042" s="138">
        <f>'Cap Outlay Deprec 26'!I13</f>
        <v>10022</v>
      </c>
      <c r="D2042" s="2" t="str">
        <f t="shared" si="30"/>
        <v>Error?</v>
      </c>
    </row>
    <row r="2043" spans="1:4" x14ac:dyDescent="0.2">
      <c r="A2043" s="5">
        <v>1982</v>
      </c>
      <c r="B2043" s="138">
        <f>'Cap Outlay Deprec 26'!I16</f>
        <v>93743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12806</v>
      </c>
      <c r="D2048" s="2" t="str">
        <f t="shared" si="31"/>
        <v>Error?</v>
      </c>
    </row>
    <row r="2049" spans="1:4" x14ac:dyDescent="0.2">
      <c r="A2049" s="5">
        <v>1988</v>
      </c>
      <c r="B2049" s="138">
        <f>'Cap Outlay Deprec 26'!J16</f>
        <v>12806</v>
      </c>
      <c r="C2049" s="2" t="s">
        <v>594</v>
      </c>
      <c r="D2049" s="2" t="str">
        <f t="shared" si="31"/>
        <v>Error?</v>
      </c>
    </row>
    <row r="2050" spans="1:4" x14ac:dyDescent="0.2">
      <c r="A2050" s="10">
        <v>1989</v>
      </c>
      <c r="D2050" s="2" t="str">
        <f t="shared" si="31"/>
        <v>OK</v>
      </c>
    </row>
    <row r="2051" spans="1:4" x14ac:dyDescent="0.2">
      <c r="A2051" s="5">
        <v>1990</v>
      </c>
      <c r="B2051" s="138">
        <f>'Cap Outlay Deprec 26'!K8</f>
        <v>1863251</v>
      </c>
      <c r="C2051" s="2" t="s">
        <v>594</v>
      </c>
      <c r="D2051" s="2" t="str">
        <f t="shared" si="31"/>
        <v>Error?</v>
      </c>
    </row>
    <row r="2052" spans="1:4" x14ac:dyDescent="0.2">
      <c r="A2052" s="5">
        <v>1991</v>
      </c>
      <c r="B2052" s="138">
        <f>'Cap Outlay Deprec 26'!K10</f>
        <v>35225</v>
      </c>
      <c r="C2052" s="2" t="s">
        <v>594</v>
      </c>
      <c r="D2052" s="2" t="str">
        <f t="shared" si="31"/>
        <v>Error?</v>
      </c>
    </row>
    <row r="2053" spans="1:4" x14ac:dyDescent="0.2">
      <c r="A2053" s="5">
        <v>1992</v>
      </c>
      <c r="B2053" s="138">
        <f>'Cap Outlay Deprec 26'!K12</f>
        <v>733577</v>
      </c>
      <c r="C2053" s="2" t="s">
        <v>594</v>
      </c>
      <c r="D2053" s="2" t="str">
        <f t="shared" si="31"/>
        <v>Error?</v>
      </c>
    </row>
    <row r="2054" spans="1:4" x14ac:dyDescent="0.2">
      <c r="A2054" s="5">
        <v>1993</v>
      </c>
      <c r="B2054" s="138">
        <f>'Cap Outlay Deprec 26'!K13</f>
        <v>47858</v>
      </c>
      <c r="C2054" s="2" t="s">
        <v>594</v>
      </c>
      <c r="D2054" s="2" t="str">
        <f t="shared" si="31"/>
        <v>Error?</v>
      </c>
    </row>
    <row r="2055" spans="1:4" x14ac:dyDescent="0.2">
      <c r="A2055" s="5">
        <v>1994</v>
      </c>
      <c r="B2055" s="138">
        <f>'Cap Outlay Deprec 26'!K16</f>
        <v>2679911</v>
      </c>
      <c r="C2055" s="2" t="s">
        <v>594</v>
      </c>
      <c r="D2055" s="2" t="str">
        <f t="shared" si="31"/>
        <v>Error?</v>
      </c>
    </row>
    <row r="2056" spans="1:4" x14ac:dyDescent="0.2">
      <c r="A2056" s="5">
        <v>1995</v>
      </c>
      <c r="B2056" s="138">
        <f>'Cap Outlay Deprec 26'!L5</f>
        <v>5000</v>
      </c>
      <c r="C2056" s="2" t="s">
        <v>594</v>
      </c>
      <c r="D2056" s="2" t="str">
        <f t="shared" si="31"/>
        <v>Error?</v>
      </c>
    </row>
    <row r="2057" spans="1:4" x14ac:dyDescent="0.2">
      <c r="A2057" s="5">
        <v>1996</v>
      </c>
      <c r="B2057" s="138">
        <f>'Cap Outlay Deprec 26'!L8</f>
        <v>1059891</v>
      </c>
      <c r="C2057" s="2" t="s">
        <v>594</v>
      </c>
      <c r="D2057" s="2" t="str">
        <f t="shared" si="31"/>
        <v>Error?</v>
      </c>
    </row>
    <row r="2058" spans="1:4" x14ac:dyDescent="0.2">
      <c r="A2058" s="5">
        <v>1997</v>
      </c>
      <c r="B2058" s="138">
        <f>'Cap Outlay Deprec 26'!L10</f>
        <v>205720</v>
      </c>
      <c r="C2058" s="2" t="s">
        <v>594</v>
      </c>
      <c r="D2058" s="2" t="str">
        <f t="shared" si="31"/>
        <v>Error?</v>
      </c>
    </row>
    <row r="2059" spans="1:4" x14ac:dyDescent="0.2">
      <c r="A2059" s="5">
        <v>1998</v>
      </c>
      <c r="B2059" s="138">
        <f>'Cap Outlay Deprec 26'!L12</f>
        <v>66099</v>
      </c>
      <c r="C2059" s="2" t="s">
        <v>594</v>
      </c>
      <c r="D2059" s="2" t="str">
        <f t="shared" si="31"/>
        <v>Error?</v>
      </c>
    </row>
    <row r="2060" spans="1:4" x14ac:dyDescent="0.2">
      <c r="A2060" s="5">
        <v>1999</v>
      </c>
      <c r="B2060" s="138">
        <f>'Cap Outlay Deprec 26'!L13</f>
        <v>38148</v>
      </c>
      <c r="C2060" s="2" t="s">
        <v>594</v>
      </c>
      <c r="D2060" s="2" t="str">
        <f t="shared" si="31"/>
        <v>Error?</v>
      </c>
    </row>
    <row r="2061" spans="1:4" x14ac:dyDescent="0.2">
      <c r="A2061" s="5">
        <v>2000</v>
      </c>
      <c r="B2061" s="138">
        <f>'Cap Outlay Deprec 26'!L16</f>
        <v>1374858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14017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72655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14824</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-31450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56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908929</v>
      </c>
      <c r="C2551" s="2" t="s">
        <v>594</v>
      </c>
      <c r="D2551" s="2" t="str">
        <f t="shared" si="38"/>
        <v>Error?</v>
      </c>
    </row>
    <row r="2552" spans="1:4" x14ac:dyDescent="0.2">
      <c r="A2552" s="10">
        <v>2491</v>
      </c>
      <c r="D2552" s="2" t="str">
        <f t="shared" si="38"/>
        <v>OK</v>
      </c>
    </row>
    <row r="2553" spans="1:4" x14ac:dyDescent="0.2">
      <c r="A2553" s="5">
        <v>2492</v>
      </c>
      <c r="B2553" s="138">
        <f>'Acct Summary 7-8'!C6</f>
        <v>226709</v>
      </c>
      <c r="C2553" s="2" t="s">
        <v>594</v>
      </c>
      <c r="D2553" s="2" t="str">
        <f t="shared" si="38"/>
        <v>Error?</v>
      </c>
    </row>
    <row r="2554" spans="1:4" x14ac:dyDescent="0.2">
      <c r="A2554" s="5">
        <v>2493</v>
      </c>
      <c r="B2554" s="138">
        <f>'Acct Summary 7-8'!C7</f>
        <v>111579</v>
      </c>
      <c r="C2554" s="2" t="s">
        <v>594</v>
      </c>
      <c r="D2554" s="2" t="str">
        <f t="shared" si="38"/>
        <v>Error?</v>
      </c>
    </row>
    <row r="2555" spans="1:4" x14ac:dyDescent="0.2">
      <c r="A2555" s="5">
        <v>2494</v>
      </c>
      <c r="B2555" s="138">
        <f>'Acct Summary 7-8'!C8</f>
        <v>1247217</v>
      </c>
      <c r="C2555" s="2" t="s">
        <v>594</v>
      </c>
      <c r="D2555" s="2" t="str">
        <f t="shared" si="38"/>
        <v>Error?</v>
      </c>
    </row>
    <row r="2556" spans="1:4" x14ac:dyDescent="0.2">
      <c r="A2556" s="5">
        <v>2495</v>
      </c>
      <c r="B2556" s="138">
        <f>'Acct Summary 7-8'!C12</f>
        <v>629045</v>
      </c>
      <c r="C2556" s="2" t="s">
        <v>594</v>
      </c>
      <c r="D2556" s="2" t="str">
        <f t="shared" si="38"/>
        <v>Error?</v>
      </c>
    </row>
    <row r="2557" spans="1:4" x14ac:dyDescent="0.2">
      <c r="A2557" s="5">
        <v>2496</v>
      </c>
      <c r="B2557" s="138">
        <f>'Acct Summary 7-8'!C13</f>
        <v>302051</v>
      </c>
      <c r="C2557" s="2" t="s">
        <v>594</v>
      </c>
      <c r="D2557" s="2" t="str">
        <f t="shared" si="38"/>
        <v>Error?</v>
      </c>
    </row>
    <row r="2558" spans="1:4" x14ac:dyDescent="0.2">
      <c r="A2558" s="5">
        <v>2497</v>
      </c>
      <c r="B2558" s="138">
        <f>'Acct Summary 7-8'!C14</f>
        <v>4757</v>
      </c>
      <c r="C2558" s="2" t="s">
        <v>594</v>
      </c>
      <c r="D2558" s="2" t="str">
        <f t="shared" si="38"/>
        <v>Error?</v>
      </c>
    </row>
    <row r="2559" spans="1:4" x14ac:dyDescent="0.2">
      <c r="A2559" s="5">
        <v>2498</v>
      </c>
      <c r="B2559" s="138">
        <f>'Acct Summary 7-8'!C15</f>
        <v>72655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1008508</v>
      </c>
      <c r="C2561" s="2" t="s">
        <v>594</v>
      </c>
      <c r="D2561" s="2" t="str">
        <f t="shared" si="39"/>
        <v>Error?</v>
      </c>
    </row>
    <row r="2562" spans="1:4" x14ac:dyDescent="0.2">
      <c r="A2562" s="5">
        <v>2501</v>
      </c>
      <c r="B2562" s="138">
        <f>'Acct Summary 7-8'!C20</f>
        <v>238709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171482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171482</v>
      </c>
      <c r="C2568" s="2" t="s">
        <v>594</v>
      </c>
      <c r="D2568" s="2" t="str">
        <f t="shared" si="39"/>
        <v>Error?</v>
      </c>
    </row>
    <row r="2569" spans="1:4" x14ac:dyDescent="0.2">
      <c r="A2569" s="5">
        <v>2508</v>
      </c>
      <c r="B2569" s="138">
        <f>'Acct Summary 7-8'!D13</f>
        <v>140729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140729</v>
      </c>
      <c r="C2573" s="2" t="s">
        <v>594</v>
      </c>
      <c r="D2573" s="2" t="str">
        <f t="shared" si="39"/>
        <v>Error?</v>
      </c>
    </row>
    <row r="2574" spans="1:4" x14ac:dyDescent="0.2">
      <c r="A2574" s="5">
        <v>2513</v>
      </c>
      <c r="B2574" s="138">
        <f>'Acct Summary 7-8'!D20</f>
        <v>30753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37066</v>
      </c>
      <c r="C2591" s="2" t="s">
        <v>594</v>
      </c>
      <c r="D2591" s="2" t="str">
        <f t="shared" si="39"/>
        <v>Error?</v>
      </c>
    </row>
    <row r="2592" spans="1:4" x14ac:dyDescent="0.2">
      <c r="A2592" s="10">
        <v>2531</v>
      </c>
      <c r="D2592" s="2" t="str">
        <f t="shared" si="39"/>
        <v>OK</v>
      </c>
    </row>
    <row r="2593" spans="1:4" x14ac:dyDescent="0.2">
      <c r="A2593" s="5">
        <v>2532</v>
      </c>
      <c r="B2593" s="138">
        <f>'Acct Summary 7-8'!F6</f>
        <v>89909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126975</v>
      </c>
      <c r="C2595" s="2" t="s">
        <v>594</v>
      </c>
      <c r="D2595" s="2" t="str">
        <f t="shared" si="39"/>
        <v>Error?</v>
      </c>
    </row>
    <row r="2596" spans="1:4" x14ac:dyDescent="0.2">
      <c r="A2596" s="5">
        <v>2535</v>
      </c>
      <c r="B2596" s="138">
        <f>'Acct Summary 7-8'!F13</f>
        <v>98109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13000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111109</v>
      </c>
      <c r="C2600" s="2" t="s">
        <v>594</v>
      </c>
      <c r="D2600" s="2" t="str">
        <f t="shared" si="39"/>
        <v>Error?</v>
      </c>
    </row>
    <row r="2601" spans="1:4" x14ac:dyDescent="0.2">
      <c r="A2601" s="5">
        <v>2540</v>
      </c>
      <c r="B2601" s="138">
        <f>'Acct Summary 7-8'!F20</f>
        <v>15866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21339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21339</v>
      </c>
      <c r="C2606" s="2" t="s">
        <v>594</v>
      </c>
      <c r="D2606" s="2" t="str">
        <f t="shared" si="39"/>
        <v>Error?</v>
      </c>
    </row>
    <row r="2607" spans="1:4" x14ac:dyDescent="0.2">
      <c r="A2607" s="5">
        <v>2546</v>
      </c>
      <c r="B2607" s="138">
        <f>'Acct Summary 7-8'!G12</f>
        <v>10551</v>
      </c>
      <c r="C2607" s="2" t="s">
        <v>594</v>
      </c>
      <c r="D2607" s="2" t="str">
        <f t="shared" si="39"/>
        <v>Error?</v>
      </c>
    </row>
    <row r="2608" spans="1:4" x14ac:dyDescent="0.2">
      <c r="A2608" s="5">
        <v>2547</v>
      </c>
      <c r="B2608" s="138">
        <f>'Acct Summary 7-8'!G13</f>
        <v>26360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36911</v>
      </c>
      <c r="C2612" s="2" t="s">
        <v>594</v>
      </c>
      <c r="D2612" s="2" t="str">
        <f t="shared" si="39"/>
        <v>Error?</v>
      </c>
    </row>
    <row r="2613" spans="1:4" x14ac:dyDescent="0.2">
      <c r="A2613" s="5">
        <v>2552</v>
      </c>
      <c r="B2613" s="138">
        <f>'Acct Summary 7-8'!G20</f>
        <v>-15572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31904</v>
      </c>
      <c r="C2634" s="2" t="s">
        <v>594</v>
      </c>
      <c r="D2634" s="2" t="str">
        <f t="shared" si="40"/>
        <v>Error?</v>
      </c>
    </row>
    <row r="2635" spans="1:4" x14ac:dyDescent="0.2">
      <c r="A2635" s="5">
        <v>2574</v>
      </c>
      <c r="B2635" s="138">
        <f>'Acct Summary 7-8'!E17</f>
        <v>31904</v>
      </c>
      <c r="C2635" s="2" t="s">
        <v>594</v>
      </c>
      <c r="D2635" s="2" t="str">
        <f t="shared" si="40"/>
        <v>Error?</v>
      </c>
    </row>
    <row r="2636" spans="1:4" x14ac:dyDescent="0.2">
      <c r="A2636" s="5">
        <v>2575</v>
      </c>
      <c r="B2636" s="138">
        <f>'Acct Summary 7-8'!E20</f>
        <v>-31904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51614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51614</v>
      </c>
      <c r="C2658" s="2" t="s">
        <v>594</v>
      </c>
      <c r="D2658" s="2" t="str">
        <f t="shared" si="40"/>
        <v>Error?</v>
      </c>
    </row>
    <row r="2659" spans="1:4" x14ac:dyDescent="0.2">
      <c r="A2659" s="5">
        <v>2598</v>
      </c>
      <c r="B2659" s="138">
        <f>'Acct Summary 7-8'!H13</f>
        <v>4212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4212</v>
      </c>
      <c r="C2661" s="2" t="s">
        <v>594</v>
      </c>
      <c r="D2661" s="2" t="str">
        <f t="shared" si="40"/>
        <v>Error?</v>
      </c>
    </row>
    <row r="2662" spans="1:4" x14ac:dyDescent="0.2">
      <c r="A2662" s="5">
        <v>2601</v>
      </c>
      <c r="B2662" s="138">
        <f>'Acct Summary 7-8'!H20</f>
        <v>47402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58638</v>
      </c>
      <c r="C2789" s="2" t="s">
        <v>594</v>
      </c>
      <c r="D2789" s="2" t="str">
        <f t="shared" si="42"/>
        <v>Error?</v>
      </c>
    </row>
    <row r="2790" spans="1:4" x14ac:dyDescent="0.2">
      <c r="A2790" s="5">
        <v>2729</v>
      </c>
      <c r="B2790" s="138">
        <f>'Expenditures 15-22'!E102</f>
        <v>58638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13000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13000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13413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13413</v>
      </c>
      <c r="D2914" s="2" t="str">
        <f t="shared" si="44"/>
        <v>Error?</v>
      </c>
    </row>
    <row r="2915" spans="1:4" x14ac:dyDescent="0.2">
      <c r="A2915" s="10">
        <v>2854</v>
      </c>
      <c r="D2915" s="2" t="str">
        <f t="shared" si="44"/>
        <v>OK</v>
      </c>
    </row>
    <row r="2916" spans="1:4" x14ac:dyDescent="0.2">
      <c r="A2916" s="5">
        <v>2855</v>
      </c>
      <c r="B2916" s="138">
        <f>'Assets-Liab 5-6'!L34</f>
        <v>13413</v>
      </c>
      <c r="C2916" s="2" t="s">
        <v>594</v>
      </c>
      <c r="D2916" s="2" t="str">
        <f t="shared" si="44"/>
        <v>Error?</v>
      </c>
    </row>
    <row r="2917" spans="1:4" x14ac:dyDescent="0.2">
      <c r="A2917" s="5">
        <v>2856</v>
      </c>
      <c r="B2917" s="138">
        <f>'Assets-Liab 5-6'!L41</f>
        <v>13413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31586</v>
      </c>
      <c r="D2949" s="2" t="str">
        <f t="shared" si="45"/>
        <v>Error?</v>
      </c>
    </row>
    <row r="2950" spans="1:4" x14ac:dyDescent="0.2">
      <c r="A2950" s="5">
        <v>2889</v>
      </c>
      <c r="B2950" s="138">
        <f>'Expenditures 15-22'!E79</f>
        <v>27052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10971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3046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31586</v>
      </c>
      <c r="C2973" s="2" t="s">
        <v>594</v>
      </c>
      <c r="D2973" s="2" t="str">
        <f t="shared" si="45"/>
        <v>Error?</v>
      </c>
    </row>
    <row r="2974" spans="1:4" x14ac:dyDescent="0.2">
      <c r="A2974" s="5">
        <v>2913</v>
      </c>
      <c r="B2974" s="138">
        <f>'Expenditures 15-22'!K79</f>
        <v>38023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3046</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13000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13000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5445</v>
      </c>
      <c r="D3055" s="2" t="str">
        <f t="shared" si="46"/>
        <v>Error?</v>
      </c>
    </row>
    <row r="3056" spans="1:4" x14ac:dyDescent="0.2">
      <c r="A3056" s="5">
        <v>2995</v>
      </c>
      <c r="B3056" s="138">
        <f>'Expenditures 15-22'!D10</f>
        <v>3730</v>
      </c>
      <c r="D3056" s="2" t="str">
        <f t="shared" si="46"/>
        <v>Error?</v>
      </c>
    </row>
    <row r="3057" spans="1:4" x14ac:dyDescent="0.2">
      <c r="A3057" s="5">
        <v>2996</v>
      </c>
      <c r="B3057" s="138">
        <f>'Expenditures 15-22'!E10</f>
        <v>8615</v>
      </c>
      <c r="D3057" s="2" t="str">
        <f t="shared" si="46"/>
        <v>Error?</v>
      </c>
    </row>
    <row r="3058" spans="1:4" x14ac:dyDescent="0.2">
      <c r="A3058" s="5">
        <v>2997</v>
      </c>
      <c r="B3058" s="138">
        <f>'Expenditures 15-22'!F10</f>
        <v>4637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22427</v>
      </c>
      <c r="C3062" s="2" t="s">
        <v>594</v>
      </c>
      <c r="D3062" s="2" t="str">
        <f t="shared" si="46"/>
        <v>Error?</v>
      </c>
    </row>
    <row r="3063" spans="1:4" x14ac:dyDescent="0.2">
      <c r="A3063" s="10">
        <v>3002</v>
      </c>
      <c r="D3063" s="2" t="str">
        <f t="shared" si="46"/>
        <v>OK</v>
      </c>
    </row>
    <row r="3064" spans="1:4" x14ac:dyDescent="0.2">
      <c r="A3064" s="5">
        <v>3003</v>
      </c>
      <c r="B3064" s="138">
        <f>'Expenditures 15-22'!D219</f>
        <v>78</v>
      </c>
      <c r="D3064" s="2" t="str">
        <f t="shared" si="46"/>
        <v>Error?</v>
      </c>
    </row>
    <row r="3065" spans="1:4" x14ac:dyDescent="0.2">
      <c r="A3065" s="5">
        <v>3004</v>
      </c>
      <c r="B3065" s="138">
        <f>'Expenditures 15-22'!K219</f>
        <v>78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14824</v>
      </c>
      <c r="C3225" s="2" t="s">
        <v>594</v>
      </c>
      <c r="D3225" s="2" t="str">
        <f t="shared" si="49"/>
        <v>Error?</v>
      </c>
    </row>
    <row r="3226" spans="1:4" x14ac:dyDescent="0.2">
      <c r="A3226" s="5">
        <v>3165</v>
      </c>
      <c r="B3226" s="138">
        <f>'Acct Summary 7-8'!I8</f>
        <v>14824</v>
      </c>
      <c r="C3226" s="2" t="s">
        <v>594</v>
      </c>
      <c r="D3226" s="2" t="str">
        <f t="shared" si="49"/>
        <v>Error?</v>
      </c>
    </row>
    <row r="3227" spans="1:4" x14ac:dyDescent="0.2">
      <c r="A3227" s="5">
        <v>3166</v>
      </c>
      <c r="B3227" s="138">
        <f>'Acct Summary 7-8'!I20</f>
        <v>14824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-153</v>
      </c>
      <c r="D3230" s="2" t="str">
        <f t="shared" si="49"/>
        <v>Error?</v>
      </c>
    </row>
    <row r="3231" spans="1:4" x14ac:dyDescent="0.2">
      <c r="A3231" s="5">
        <v>3170</v>
      </c>
      <c r="B3231" s="138">
        <f>'Acct Summary 7-8'!C76</f>
        <v>-153</v>
      </c>
      <c r="C3231" s="2" t="s">
        <v>594</v>
      </c>
      <c r="D3231" s="2" t="str">
        <f t="shared" si="49"/>
        <v>Error?</v>
      </c>
    </row>
    <row r="3232" spans="1:4" x14ac:dyDescent="0.2">
      <c r="A3232" s="5">
        <v>3171</v>
      </c>
      <c r="B3232" s="138">
        <f>'Acct Summary 7-8'!C77</f>
        <v>153</v>
      </c>
      <c r="C3232" s="2" t="s">
        <v>594</v>
      </c>
      <c r="D3232" s="2" t="str">
        <f t="shared" si="49"/>
        <v>Error?</v>
      </c>
    </row>
    <row r="3233" spans="1:4" x14ac:dyDescent="0.2">
      <c r="A3233" s="5">
        <v>3172</v>
      </c>
      <c r="B3233" s="138">
        <f>'Acct Summary 7-8'!C78</f>
        <v>238862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30753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15866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14824</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14824</v>
      </c>
      <c r="C3261" s="2" t="s">
        <v>594</v>
      </c>
      <c r="D3261" s="2" t="str">
        <f t="shared" si="49"/>
        <v>Error?</v>
      </c>
    </row>
    <row r="3262" spans="1:4" x14ac:dyDescent="0.2">
      <c r="A3262" s="5">
        <v>3201</v>
      </c>
      <c r="B3262" s="138">
        <f>'Acct Summary 7-8'!G78</f>
        <v>-748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32500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32500</v>
      </c>
      <c r="C3277" s="2" t="s">
        <v>594</v>
      </c>
      <c r="D3277" s="2" t="str">
        <f t="shared" si="50"/>
        <v>Error?</v>
      </c>
    </row>
    <row r="3278" spans="1:4" x14ac:dyDescent="0.2">
      <c r="A3278" s="5">
        <v>3217</v>
      </c>
      <c r="B3278" s="138">
        <f>'Acct Summary 7-8'!E78</f>
        <v>596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32500</v>
      </c>
      <c r="C3298" s="2" t="s">
        <v>594</v>
      </c>
      <c r="D3298" s="2" t="str">
        <f t="shared" si="50"/>
        <v>Error?</v>
      </c>
    </row>
    <row r="3299" spans="1:4" x14ac:dyDescent="0.2">
      <c r="A3299" s="5">
        <v>3238</v>
      </c>
      <c r="B3299" s="138">
        <f>'Acct Summary 7-8'!H77</f>
        <v>-32500</v>
      </c>
      <c r="C3299" s="2" t="s">
        <v>594</v>
      </c>
      <c r="D3299" s="2" t="str">
        <f t="shared" si="50"/>
        <v>Error?</v>
      </c>
    </row>
    <row r="3300" spans="1:4" x14ac:dyDescent="0.2">
      <c r="A3300" s="5">
        <v>3239</v>
      </c>
      <c r="B3300" s="138">
        <f>'Acct Summary 7-8'!H78</f>
        <v>14902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14824</v>
      </c>
      <c r="C3318" s="2" t="s">
        <v>594</v>
      </c>
      <c r="D3318" s="2" t="str">
        <f t="shared" si="50"/>
        <v>Error?</v>
      </c>
    </row>
    <row r="3319" spans="1:4" x14ac:dyDescent="0.2">
      <c r="A3319" s="5">
        <v>3258</v>
      </c>
      <c r="B3319" s="138">
        <f>'Acct Summary 7-8'!I77</f>
        <v>-14824</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52836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4927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4047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62055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7176</v>
      </c>
      <c r="D3387" s="2" t="str">
        <f t="shared" si="51"/>
        <v>Error?</v>
      </c>
    </row>
    <row r="3388" spans="1:4" x14ac:dyDescent="0.2">
      <c r="A3388" s="5">
        <v>3327</v>
      </c>
      <c r="B3388" s="138">
        <f>'Expenditures 15-22'!D217</f>
        <v>3297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7176</v>
      </c>
      <c r="C3390" s="2" t="s">
        <v>594</v>
      </c>
      <c r="D3390" s="2" t="str">
        <f t="shared" si="51"/>
        <v>Error?</v>
      </c>
    </row>
    <row r="3391" spans="1:4" x14ac:dyDescent="0.2">
      <c r="A3391" s="5">
        <v>3330</v>
      </c>
      <c r="B3391" s="138">
        <f>'Expenditures 15-22'!K217</f>
        <v>3297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787835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625505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56</v>
      </c>
      <c r="D3417" s="2" t="str">
        <f t="shared" si="52"/>
        <v>Error?</v>
      </c>
    </row>
    <row r="3418" spans="1:4" x14ac:dyDescent="0.2">
      <c r="A3418" s="10">
        <v>3357</v>
      </c>
      <c r="D3418" s="2" t="str">
        <f t="shared" si="52"/>
        <v>OK</v>
      </c>
    </row>
    <row r="3419" spans="1:4" x14ac:dyDescent="0.2">
      <c r="A3419" s="5">
        <v>3358</v>
      </c>
      <c r="B3419" s="138">
        <f>'Assets-Liab 5-6'!F4</f>
        <v>37575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2639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64702</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13413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1997</v>
      </c>
      <c r="C3446" s="2" t="s">
        <v>594</v>
      </c>
      <c r="D3446" s="2" t="str">
        <f t="shared" si="52"/>
        <v>Error?</v>
      </c>
    </row>
    <row r="3447" spans="1:4" x14ac:dyDescent="0.2">
      <c r="A3447" s="5">
        <v>3386</v>
      </c>
      <c r="B3447" s="138">
        <f>'Tax Sched 23'!D16</f>
        <v>1997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1801</v>
      </c>
      <c r="C3449" s="2" t="s">
        <v>594</v>
      </c>
      <c r="D3449" s="2" t="str">
        <f t="shared" si="52"/>
        <v>Error?</v>
      </c>
    </row>
    <row r="3450" spans="1:4" x14ac:dyDescent="0.2">
      <c r="A3450" s="5">
        <v>3389</v>
      </c>
      <c r="B3450" s="138">
        <f>'Tax Sched 23'!E16</f>
        <v>1801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4443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4443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1697</v>
      </c>
      <c r="C3565" s="2" t="s">
        <v>594</v>
      </c>
      <c r="D3565" s="2" t="str">
        <f t="shared" si="54"/>
        <v>Error?</v>
      </c>
    </row>
    <row r="3566" spans="1:4" x14ac:dyDescent="0.2">
      <c r="A3566" s="5">
        <v>3505</v>
      </c>
      <c r="B3566" s="138">
        <f>'Assets-Liab 5-6'!K38</f>
        <v>2746</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4443</v>
      </c>
      <c r="C3568" s="2" t="s">
        <v>594</v>
      </c>
      <c r="D3568" s="2" t="str">
        <f t="shared" si="54"/>
        <v>Error?</v>
      </c>
    </row>
    <row r="3569" spans="1:4" x14ac:dyDescent="0.2">
      <c r="A3569" s="5">
        <v>3508</v>
      </c>
      <c r="B3569" s="138">
        <f>'Acct Summary 7-8'!K4</f>
        <v>14733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14733</v>
      </c>
      <c r="C3571" s="2" t="s">
        <v>594</v>
      </c>
      <c r="D3571" s="2" t="str">
        <f t="shared" si="54"/>
        <v>Error?</v>
      </c>
    </row>
    <row r="3572" spans="1:4" x14ac:dyDescent="0.2">
      <c r="A3572" s="5">
        <v>3511</v>
      </c>
      <c r="B3572" s="138">
        <f>'Acct Summary 7-8'!K13</f>
        <v>28632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28632</v>
      </c>
      <c r="C3575" s="2" t="s">
        <v>594</v>
      </c>
      <c r="D3575" s="2" t="str">
        <f t="shared" si="54"/>
        <v>Error?</v>
      </c>
    </row>
    <row r="3576" spans="1:4" x14ac:dyDescent="0.2">
      <c r="A3576" s="5">
        <v>3515</v>
      </c>
      <c r="B3576" s="138">
        <f>'Acct Summary 7-8'!K20</f>
        <v>-13899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-13899</v>
      </c>
      <c r="C3588" s="2" t="s">
        <v>594</v>
      </c>
      <c r="D3588" s="2" t="str">
        <f t="shared" si="55"/>
        <v>Error?</v>
      </c>
    </row>
    <row r="3589" spans="1:4" x14ac:dyDescent="0.2">
      <c r="A3589" s="5">
        <v>3528</v>
      </c>
      <c r="B3589" s="138">
        <f>'Acct Summary 7-8'!K79</f>
        <v>16645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2746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245</v>
      </c>
      <c r="D3631" s="2" t="str">
        <f t="shared" si="55"/>
        <v>Error?</v>
      </c>
    </row>
    <row r="3632" spans="1:4" x14ac:dyDescent="0.2">
      <c r="A3632" s="5">
        <v>3571</v>
      </c>
      <c r="B3632" s="138">
        <f>'Expenditures 15-22'!E349</f>
        <v>1800</v>
      </c>
      <c r="D3632" s="2" t="str">
        <f t="shared" si="55"/>
        <v>Error?</v>
      </c>
    </row>
    <row r="3633" spans="1:4" x14ac:dyDescent="0.2">
      <c r="A3633" s="5">
        <v>3572</v>
      </c>
      <c r="B3633" s="138">
        <f>'Expenditures 15-22'!E350</f>
        <v>2045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2045</v>
      </c>
      <c r="C3635" s="2" t="s">
        <v>594</v>
      </c>
      <c r="D3635" s="2" t="str">
        <f t="shared" si="55"/>
        <v>Error?</v>
      </c>
    </row>
    <row r="3636" spans="1:4" x14ac:dyDescent="0.2">
      <c r="A3636" s="5">
        <v>3575</v>
      </c>
      <c r="B3636" s="138">
        <f>'Expenditures 15-22'!E367</f>
        <v>2045</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26587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26587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26587</v>
      </c>
      <c r="C3649" s="2" t="s">
        <v>594</v>
      </c>
      <c r="D3649" s="2" t="str">
        <f t="shared" si="56"/>
        <v>Error?</v>
      </c>
    </row>
    <row r="3650" spans="1:4" x14ac:dyDescent="0.2">
      <c r="A3650" s="5">
        <v>3589</v>
      </c>
      <c r="B3650" s="138">
        <f>'Expenditures 15-22'!G367</f>
        <v>26587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26832</v>
      </c>
      <c r="C3668" s="2" t="s">
        <v>594</v>
      </c>
      <c r="D3668" s="2" t="str">
        <f t="shared" si="56"/>
        <v>Error?</v>
      </c>
    </row>
    <row r="3669" spans="1:4" x14ac:dyDescent="0.2">
      <c r="A3669" s="5">
        <v>3608</v>
      </c>
      <c r="B3669" s="138">
        <f>'Expenditures 15-22'!K349</f>
        <v>1800</v>
      </c>
      <c r="C3669" s="2" t="s">
        <v>594</v>
      </c>
      <c r="D3669" s="2" t="str">
        <f t="shared" si="56"/>
        <v>Error?</v>
      </c>
    </row>
    <row r="3670" spans="1:4" x14ac:dyDescent="0.2">
      <c r="A3670" s="5">
        <v>3609</v>
      </c>
      <c r="B3670" s="138">
        <f>'Expenditures 15-22'!K350</f>
        <v>28632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28632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28632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-13899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8983</v>
      </c>
      <c r="C3725" s="2" t="s">
        <v>594</v>
      </c>
      <c r="D3725" s="2" t="str">
        <f t="shared" si="57"/>
        <v>Error?</v>
      </c>
    </row>
    <row r="3726" spans="1:4" x14ac:dyDescent="0.2">
      <c r="A3726" s="5">
        <v>3665</v>
      </c>
      <c r="B3726" s="138">
        <f>'Tax Sched 23'!D13</f>
        <v>8983</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9002</v>
      </c>
      <c r="C3728" s="2" t="s">
        <v>594</v>
      </c>
      <c r="D3728" s="2" t="str">
        <f t="shared" si="57"/>
        <v>Error?</v>
      </c>
    </row>
    <row r="3729" spans="1:4" x14ac:dyDescent="0.2">
      <c r="A3729" s="5">
        <v>3668</v>
      </c>
      <c r="B3729" s="138">
        <f>'Tax Sched 23'!E13</f>
        <v>9002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435010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1682227</v>
      </c>
      <c r="C4122" s="2" t="s">
        <v>594</v>
      </c>
      <c r="D4122" s="2" t="str">
        <f t="shared" si="63"/>
        <v>Error?</v>
      </c>
    </row>
    <row r="4123" spans="1:4" x14ac:dyDescent="0.2">
      <c r="A4123" s="5">
        <v>4062</v>
      </c>
      <c r="B4123" s="138">
        <f>'Acct Summary 7-8'!D10</f>
        <v>171482</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126975</v>
      </c>
      <c r="C4125" s="2" t="s">
        <v>594</v>
      </c>
      <c r="D4125" s="2" t="str">
        <f t="shared" si="63"/>
        <v>Error?</v>
      </c>
    </row>
    <row r="4126" spans="1:4" x14ac:dyDescent="0.2">
      <c r="A4126" s="5">
        <v>4065</v>
      </c>
      <c r="B4126" s="138">
        <f>'Acct Summary 7-8'!G10</f>
        <v>21339</v>
      </c>
      <c r="C4126" s="2" t="s">
        <v>594</v>
      </c>
      <c r="D4126" s="2" t="str">
        <f t="shared" si="63"/>
        <v>Error?</v>
      </c>
    </row>
    <row r="4127" spans="1:4" x14ac:dyDescent="0.2">
      <c r="A4127" s="5">
        <v>4066</v>
      </c>
      <c r="B4127" s="138">
        <f>'Acct Summary 7-8'!H10</f>
        <v>51614</v>
      </c>
      <c r="C4127" s="2" t="s">
        <v>594</v>
      </c>
      <c r="D4127" s="2" t="str">
        <f t="shared" si="63"/>
        <v>Error?</v>
      </c>
    </row>
    <row r="4128" spans="1:4" x14ac:dyDescent="0.2">
      <c r="A4128" s="5">
        <v>4067</v>
      </c>
      <c r="B4128" s="138">
        <f>'Acct Summary 7-8'!I10</f>
        <v>14824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14733</v>
      </c>
      <c r="C4130" s="2" t="s">
        <v>594</v>
      </c>
      <c r="D4130" s="2" t="str">
        <f t="shared" si="63"/>
        <v>Error?</v>
      </c>
    </row>
    <row r="4131" spans="1:4" x14ac:dyDescent="0.2">
      <c r="A4131" s="5">
        <v>4070</v>
      </c>
      <c r="B4131" s="138">
        <f>'Acct Summary 7-8'!C18</f>
        <v>435010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1443518</v>
      </c>
      <c r="C4136" s="2" t="s">
        <v>594</v>
      </c>
      <c r="D4136" s="2" t="str">
        <f t="shared" si="63"/>
        <v>Error?</v>
      </c>
    </row>
    <row r="4137" spans="1:4" x14ac:dyDescent="0.2">
      <c r="A4137" s="5">
        <v>4076</v>
      </c>
      <c r="B4137" s="138">
        <f>'Acct Summary 7-8'!D19</f>
        <v>140729</v>
      </c>
      <c r="C4137" s="2" t="s">
        <v>594</v>
      </c>
      <c r="D4137" s="2" t="str">
        <f t="shared" si="63"/>
        <v>Error?</v>
      </c>
    </row>
    <row r="4138" spans="1:4" x14ac:dyDescent="0.2">
      <c r="A4138" s="5">
        <v>4077</v>
      </c>
      <c r="B4138" s="138">
        <f>'Acct Summary 7-8'!E19</f>
        <v>31904</v>
      </c>
      <c r="C4138" s="2" t="s">
        <v>594</v>
      </c>
      <c r="D4138" s="2" t="str">
        <f t="shared" si="63"/>
        <v>Error?</v>
      </c>
    </row>
    <row r="4139" spans="1:4" x14ac:dyDescent="0.2">
      <c r="A4139" s="5">
        <v>4078</v>
      </c>
      <c r="B4139" s="138">
        <f>'Acct Summary 7-8'!F19</f>
        <v>111109</v>
      </c>
      <c r="C4139" s="2" t="s">
        <v>594</v>
      </c>
      <c r="D4139" s="2" t="str">
        <f t="shared" si="63"/>
        <v>Error?</v>
      </c>
    </row>
    <row r="4140" spans="1:4" x14ac:dyDescent="0.2">
      <c r="A4140" s="5">
        <v>4079</v>
      </c>
      <c r="B4140" s="138">
        <f>'Acct Summary 7-8'!G19</f>
        <v>36911</v>
      </c>
      <c r="C4140" s="2" t="s">
        <v>594</v>
      </c>
      <c r="D4140" s="2" t="str">
        <f t="shared" si="63"/>
        <v>Error?</v>
      </c>
    </row>
    <row r="4141" spans="1:4" x14ac:dyDescent="0.2">
      <c r="A4141" s="5">
        <v>4080</v>
      </c>
      <c r="B4141" s="138">
        <f>'Acct Summary 7-8'!H19</f>
        <v>4212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28632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292000</v>
      </c>
      <c r="C4171" s="2" t="s">
        <v>594</v>
      </c>
      <c r="D4171" s="2" t="str">
        <f t="shared" si="64"/>
        <v>Error?</v>
      </c>
    </row>
    <row r="4172" spans="1:4" x14ac:dyDescent="0.2">
      <c r="A4172" s="5">
        <v>4111</v>
      </c>
      <c r="B4172" s="138">
        <f>'Short-Term Long-Term Debt 24'!J49</f>
        <v>291944</v>
      </c>
      <c r="C4172" s="2" t="s">
        <v>594</v>
      </c>
      <c r="D4172" s="2" t="str">
        <f t="shared" si="64"/>
        <v>Error?</v>
      </c>
    </row>
    <row r="4173" spans="1:4" x14ac:dyDescent="0.2">
      <c r="A4173" s="5">
        <v>4112</v>
      </c>
      <c r="B4173" s="138">
        <f>'Short-Term Long-Term Debt 24'!H49</f>
        <v>17000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2634.1</v>
      </c>
      <c r="C4265" s="2" t="s">
        <v>594</v>
      </c>
      <c r="D4265" s="2" t="str">
        <f t="shared" si="65"/>
        <v>Error?</v>
      </c>
      <c r="E4265" s="128"/>
    </row>
    <row r="4266" spans="1:5" x14ac:dyDescent="0.2">
      <c r="A4266" s="12">
        <v>4205</v>
      </c>
      <c r="B4266" s="138">
        <f>('FP Info 3'!F10)*100000</f>
        <v>544.9</v>
      </c>
      <c r="C4266" s="2" t="s">
        <v>594</v>
      </c>
      <c r="D4266" s="2" t="str">
        <f t="shared" si="65"/>
        <v>Error?</v>
      </c>
      <c r="E4266" s="128"/>
    </row>
    <row r="4267" spans="1:5" x14ac:dyDescent="0.2">
      <c r="A4267" s="12">
        <v>4206</v>
      </c>
      <c r="B4267" s="138">
        <f>('FP Info 3'!H10)*100000</f>
        <v>117.39999999999999</v>
      </c>
      <c r="C4267" s="2" t="s">
        <v>594</v>
      </c>
      <c r="D4267" s="2" t="str">
        <f t="shared" si="65"/>
        <v>Error?</v>
      </c>
      <c r="E4267" s="128"/>
    </row>
    <row r="4268" spans="1:5" x14ac:dyDescent="0.2">
      <c r="A4268" s="12">
        <v>4207</v>
      </c>
      <c r="B4268" s="138">
        <f>('FP Info 3'!J10)*100000</f>
        <v>3296.0000000000005</v>
      </c>
      <c r="C4268" s="2" t="s">
        <v>594</v>
      </c>
      <c r="D4268" s="2" t="str">
        <f t="shared" si="65"/>
        <v>Error?</v>
      </c>
    </row>
    <row r="4269" spans="1:5" x14ac:dyDescent="0.2">
      <c r="A4269" s="12">
        <v>4208</v>
      </c>
      <c r="B4269" s="138">
        <f>'FP Info 3'!J16</f>
        <v>2036348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3145</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6106</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8481</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8481</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6106</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4037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45.199999999999996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33217931</v>
      </c>
      <c r="D4995" s="2" t="str">
        <f t="shared" si="77"/>
        <v>Error?</v>
      </c>
    </row>
    <row r="4996" spans="1:4" x14ac:dyDescent="0.2">
      <c r="A4996" s="12">
        <v>4935</v>
      </c>
      <c r="B4996" s="138">
        <f>'FP Info 3'!H31</f>
        <v>2292037.2390000001</v>
      </c>
      <c r="D4996" s="2" t="str">
        <f t="shared" si="77"/>
        <v>Error?</v>
      </c>
    </row>
    <row r="4997" spans="1:4" x14ac:dyDescent="0.2">
      <c r="A4997" s="12">
        <v>4936</v>
      </c>
      <c r="B4997" s="138">
        <f>'FP Info 3'!H37</f>
        <v>292000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8983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818286</v>
      </c>
      <c r="D5061" s="2" t="str">
        <f t="shared" si="78"/>
        <v>Error?</v>
      </c>
    </row>
    <row r="5062" spans="1:4" x14ac:dyDescent="0.2">
      <c r="A5062" s="10">
        <v>5001</v>
      </c>
      <c r="D5062" s="2" t="str">
        <f t="shared" si="78"/>
        <v>OK</v>
      </c>
    </row>
    <row r="5063" spans="1:4" x14ac:dyDescent="0.2">
      <c r="A5063" s="5">
        <v>5002</v>
      </c>
      <c r="B5063" s="138">
        <f>'Revenues 9-14'!C7</f>
        <v>4991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832260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56212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56212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6559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6559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155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430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585</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1652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1652</v>
      </c>
      <c r="C5102" s="2" t="s">
        <v>594</v>
      </c>
      <c r="D5102" s="2" t="str">
        <f t="shared" si="78"/>
        <v>Error?</v>
      </c>
    </row>
    <row r="5103" spans="1:4" x14ac:dyDescent="0.2">
      <c r="A5103" s="5">
        <v>5042</v>
      </c>
      <c r="B5103" s="138">
        <f>'Revenues 9-14'!C84</f>
        <v>2725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2725</v>
      </c>
      <c r="C5112" s="2" t="s">
        <v>594</v>
      </c>
      <c r="D5112" s="2" t="str">
        <f t="shared" si="78"/>
        <v>Error?</v>
      </c>
    </row>
    <row r="5113" spans="1:4" x14ac:dyDescent="0.2">
      <c r="A5113" s="5">
        <v>5052</v>
      </c>
      <c r="B5113" s="138">
        <f>'Revenues 9-14'!C95</f>
        <v>20</v>
      </c>
      <c r="D5113" s="2" t="str">
        <f t="shared" si="78"/>
        <v>Error?</v>
      </c>
    </row>
    <row r="5114" spans="1:4" x14ac:dyDescent="0.2">
      <c r="A5114" s="5">
        <v>5053</v>
      </c>
      <c r="B5114" s="138">
        <f>'Revenues 9-14'!C96</f>
        <v>5888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2309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719</v>
      </c>
      <c r="D5119" s="2" t="str">
        <f t="shared" ref="D5119:D5182" si="79">IF(ISBLANK(B5119),"OK",IF(A5119-B5119=0,"OK","Error?"))</f>
        <v>Error?</v>
      </c>
    </row>
    <row r="5120" spans="1:4" x14ac:dyDescent="0.2">
      <c r="A5120" s="5">
        <v>5059</v>
      </c>
      <c r="B5120" s="138">
        <f>'Revenues 9-14'!C108</f>
        <v>8936</v>
      </c>
      <c r="C5120" s="2" t="s">
        <v>594</v>
      </c>
      <c r="D5120" s="2" t="str">
        <f t="shared" si="79"/>
        <v>Error?</v>
      </c>
    </row>
    <row r="5121" spans="1:4" x14ac:dyDescent="0.2">
      <c r="A5121" s="5">
        <v>5060</v>
      </c>
      <c r="B5121" s="138">
        <f>'Revenues 9-14'!C109</f>
        <v>908929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134650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134650</v>
      </c>
      <c r="C5132" s="2" t="s">
        <v>594</v>
      </c>
      <c r="D5132" s="2" t="str">
        <f t="shared" si="79"/>
        <v>Error?</v>
      </c>
    </row>
    <row r="5133" spans="1:4" x14ac:dyDescent="0.2">
      <c r="A5133" s="5">
        <v>5072</v>
      </c>
      <c r="B5133" s="138">
        <f>'Revenues 9-14'!C124</f>
        <v>12577</v>
      </c>
      <c r="D5133" s="2" t="str">
        <f t="shared" si="79"/>
        <v>Error?</v>
      </c>
    </row>
    <row r="5134" spans="1:4" x14ac:dyDescent="0.2">
      <c r="A5134" s="5">
        <v>5073</v>
      </c>
      <c r="B5134" s="138">
        <f>'Revenues 9-14'!C125</f>
        <v>7632</v>
      </c>
      <c r="D5134" s="2" t="str">
        <f t="shared" si="79"/>
        <v>Error?</v>
      </c>
    </row>
    <row r="5135" spans="1:4" x14ac:dyDescent="0.2">
      <c r="A5135" s="5">
        <v>5074</v>
      </c>
      <c r="B5135" s="138">
        <f>'Revenues 9-14'!C126</f>
        <v>5800</v>
      </c>
      <c r="D5135" s="2" t="str">
        <f t="shared" si="79"/>
        <v>Error?</v>
      </c>
    </row>
    <row r="5136" spans="1:4" x14ac:dyDescent="0.2">
      <c r="A5136" s="10">
        <v>5075</v>
      </c>
      <c r="D5136" s="2" t="str">
        <f t="shared" si="79"/>
        <v>OK</v>
      </c>
    </row>
    <row r="5137" spans="1:4" x14ac:dyDescent="0.2">
      <c r="A5137" s="5">
        <v>5076</v>
      </c>
      <c r="B5137" s="138">
        <f>'Revenues 9-14'!C127</f>
        <v>65238</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91247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812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92059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226709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31981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15159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50285</v>
      </c>
      <c r="C5246" s="2" t="s">
        <v>594</v>
      </c>
      <c r="D5246" s="2" t="str">
        <f t="shared" si="80"/>
        <v>Error?</v>
      </c>
    </row>
    <row r="5247" spans="1:4" x14ac:dyDescent="0.2">
      <c r="A5247" s="5">
        <v>5186</v>
      </c>
      <c r="B5247" s="138">
        <f>'Revenues 9-14'!C203</f>
        <v>26486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26486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109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16075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16184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111579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111579</v>
      </c>
      <c r="C5326" s="2" t="s">
        <v>594</v>
      </c>
      <c r="D5326" s="2" t="str">
        <f t="shared" si="82"/>
        <v>Error?</v>
      </c>
    </row>
    <row r="5327" spans="1:4" x14ac:dyDescent="0.2">
      <c r="A5327" s="5">
        <v>5266</v>
      </c>
      <c r="B5327" s="138">
        <f>'Revenues 9-14'!C275</f>
        <v>1247217</v>
      </c>
      <c r="C5327" s="2" t="s">
        <v>594</v>
      </c>
      <c r="D5327" s="2" t="str">
        <f t="shared" si="82"/>
        <v>Error?</v>
      </c>
    </row>
    <row r="5328" spans="1:4" x14ac:dyDescent="0.2">
      <c r="A5328" s="5">
        <v>5267</v>
      </c>
      <c r="B5328" s="138">
        <f>'Revenues 9-14'!D5</f>
        <v>165653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165653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191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5638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5638</v>
      </c>
      <c r="C5355" s="2" t="s">
        <v>594</v>
      </c>
      <c r="D5355" s="2" t="str">
        <f t="shared" si="82"/>
        <v>Error?</v>
      </c>
    </row>
    <row r="5356" spans="1:4" x14ac:dyDescent="0.2">
      <c r="A5356" s="5">
        <v>5295</v>
      </c>
      <c r="B5356" s="138">
        <f>'Revenues 9-14'!D109</f>
        <v>171482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171482</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37025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37025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32</v>
      </c>
      <c r="D5586" s="2" t="str">
        <f t="shared" si="86"/>
        <v>Error?</v>
      </c>
    </row>
    <row r="5587" spans="1:4" x14ac:dyDescent="0.2">
      <c r="A5587" s="5">
        <v>5526</v>
      </c>
      <c r="B5587" s="138">
        <f>'Revenues 9-14'!F108</f>
        <v>32</v>
      </c>
      <c r="C5587" s="2" t="s">
        <v>594</v>
      </c>
      <c r="D5587" s="2" t="str">
        <f t="shared" si="86"/>
        <v>Error?</v>
      </c>
    </row>
    <row r="5588" spans="1:4" x14ac:dyDescent="0.2">
      <c r="A5588" s="5">
        <v>5527</v>
      </c>
      <c r="B5588" s="138">
        <f>'Revenues 9-14'!F109</f>
        <v>37066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25000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52464</v>
      </c>
      <c r="D5615" s="2" t="str">
        <f t="shared" si="86"/>
        <v>Error?</v>
      </c>
    </row>
    <row r="5616" spans="1:4" x14ac:dyDescent="0.2">
      <c r="A5616" s="10">
        <v>5555</v>
      </c>
      <c r="D5616" s="2" t="str">
        <f t="shared" si="86"/>
        <v>OK</v>
      </c>
    </row>
    <row r="5617" spans="1:4" x14ac:dyDescent="0.2">
      <c r="A5617" s="5">
        <v>5556</v>
      </c>
      <c r="B5617" s="138">
        <f>'Revenues 9-14'!F152</f>
        <v>12445</v>
      </c>
      <c r="D5617" s="2" t="str">
        <f t="shared" si="86"/>
        <v>Error?</v>
      </c>
    </row>
    <row r="5618" spans="1:4" x14ac:dyDescent="0.2">
      <c r="A5618" s="5">
        <v>5557</v>
      </c>
      <c r="B5618" s="138">
        <f>'Revenues 9-14'!F154</f>
        <v>64909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64909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89909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126975</v>
      </c>
      <c r="C5720" s="2" t="s">
        <v>594</v>
      </c>
      <c r="D5720" s="2" t="str">
        <f t="shared" si="88"/>
        <v>Error?</v>
      </c>
    </row>
    <row r="5721" spans="1:4" x14ac:dyDescent="0.2">
      <c r="A5721" s="5">
        <v>5660</v>
      </c>
      <c r="B5721" s="138">
        <f>'Revenues 9-14'!G5</f>
        <v>18463</v>
      </c>
      <c r="D5721" s="2" t="str">
        <f t="shared" si="88"/>
        <v>Error?</v>
      </c>
    </row>
    <row r="5722" spans="1:4" x14ac:dyDescent="0.2">
      <c r="A5722" s="5">
        <v>5661</v>
      </c>
      <c r="B5722" s="138">
        <f>'Revenues 9-14'!G7</f>
        <v>0</v>
      </c>
      <c r="D5722" s="2" t="str">
        <f t="shared" si="88"/>
        <v>Error?</v>
      </c>
    </row>
    <row r="5723" spans="1:4" x14ac:dyDescent="0.2">
      <c r="A5723" s="5">
        <v>5662</v>
      </c>
      <c r="B5723" s="138">
        <f>'Revenues 9-14'!G8</f>
        <v>1997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20460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852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852</v>
      </c>
      <c r="C5730" s="2" t="s">
        <v>594</v>
      </c>
      <c r="D5730" s="2" t="str">
        <f t="shared" si="88"/>
        <v>Error?</v>
      </c>
    </row>
    <row r="5731" spans="1:4" x14ac:dyDescent="0.2">
      <c r="A5731" s="5">
        <v>5670</v>
      </c>
      <c r="B5731" s="138">
        <f>'Revenues 9-14'!G65</f>
        <v>27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21339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51614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51614</v>
      </c>
      <c r="C5915" s="2" t="s">
        <v>594</v>
      </c>
      <c r="D5915" s="2" t="str">
        <f t="shared" si="91"/>
        <v>Error?</v>
      </c>
    </row>
    <row r="5916" spans="1:4" x14ac:dyDescent="0.2">
      <c r="A5916" s="5">
        <v>5855</v>
      </c>
      <c r="B5916" s="138">
        <f>'Revenues 9-14'!I5</f>
        <v>14822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14822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14824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14723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14723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14733</v>
      </c>
      <c r="C6023" s="2" t="s">
        <v>594</v>
      </c>
      <c r="D6023" s="2" t="str">
        <f t="shared" si="93"/>
        <v>Error?</v>
      </c>
    </row>
    <row r="6024" spans="1:5" x14ac:dyDescent="0.2">
      <c r="A6024" s="5">
        <v>5963</v>
      </c>
      <c r="B6024" s="138">
        <f>'Revenues 9-14'!G109</f>
        <v>21339</v>
      </c>
      <c r="C6024" s="2" t="s">
        <v>594</v>
      </c>
      <c r="D6024" s="2" t="str">
        <f t="shared" si="93"/>
        <v>Error?</v>
      </c>
    </row>
    <row r="6025" spans="1:5" x14ac:dyDescent="0.2">
      <c r="A6025" s="5">
        <v>5964</v>
      </c>
      <c r="B6025" s="138">
        <f>'Revenues 9-14'!H109</f>
        <v>51614</v>
      </c>
      <c r="C6025" s="2" t="s">
        <v>594</v>
      </c>
      <c r="D6025" s="2" t="str">
        <f t="shared" si="93"/>
        <v>Error?</v>
      </c>
    </row>
    <row r="6026" spans="1:5" x14ac:dyDescent="0.2">
      <c r="A6026" s="5">
        <v>5965</v>
      </c>
      <c r="B6026" s="138">
        <f>'Revenues 9-14'!I109</f>
        <v>14824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14733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6120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94.21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225000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84600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225000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1697</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84600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84600</v>
      </c>
      <c r="D6216" s="2" t="str">
        <f t="shared" si="96"/>
        <v>Error?</v>
      </c>
      <c r="E6216" s="2" t="s">
        <v>199</v>
      </c>
    </row>
    <row r="6217" spans="1:5" x14ac:dyDescent="0.2">
      <c r="A6217">
        <v>6156</v>
      </c>
      <c r="B6217" s="138">
        <f>'Assets-Liab 5-6'!J4</f>
        <v>84600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46089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46089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46089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42960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42960</v>
      </c>
      <c r="D6229" s="2" t="str">
        <f t="shared" si="96"/>
        <v>Error?</v>
      </c>
      <c r="E6229" s="2" t="s">
        <v>199</v>
      </c>
    </row>
    <row r="6230" spans="1:5" x14ac:dyDescent="0.2">
      <c r="A6230">
        <v>6169</v>
      </c>
      <c r="B6230" s="138">
        <f>'Acct Summary 7-8'!J20</f>
        <v>3129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3129</v>
      </c>
      <c r="D6263" s="2" t="str">
        <f t="shared" si="96"/>
        <v>Error?</v>
      </c>
      <c r="E6263" s="2" t="s">
        <v>199</v>
      </c>
    </row>
    <row r="6264" spans="1:5" x14ac:dyDescent="0.2">
      <c r="A6264">
        <v>6203</v>
      </c>
      <c r="B6264" s="138">
        <f>'Acct Summary 7-8'!J79</f>
        <v>81471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84600</v>
      </c>
      <c r="D6266" s="2" t="str">
        <f t="shared" si="96"/>
        <v>Error?</v>
      </c>
      <c r="E6266" s="2" t="s">
        <v>199</v>
      </c>
    </row>
    <row r="6267" spans="1:5" x14ac:dyDescent="0.2">
      <c r="A6267">
        <v>6206</v>
      </c>
      <c r="B6267" s="138">
        <f>'Acct Summary 7-8'!C82</f>
        <v>238862</v>
      </c>
      <c r="D6267" s="2" t="str">
        <f t="shared" si="96"/>
        <v>Error?</v>
      </c>
      <c r="E6267" s="2" t="s">
        <v>199</v>
      </c>
    </row>
    <row r="6268" spans="1:5" x14ac:dyDescent="0.2">
      <c r="A6268">
        <v>6207</v>
      </c>
      <c r="B6268" s="138">
        <f>'Acct Summary 7-8'!D82</f>
        <v>30753</v>
      </c>
      <c r="D6268" s="2" t="str">
        <f t="shared" si="96"/>
        <v>Error?</v>
      </c>
      <c r="E6268" s="2" t="s">
        <v>199</v>
      </c>
    </row>
    <row r="6269" spans="1:5" x14ac:dyDescent="0.2">
      <c r="A6269">
        <v>6208</v>
      </c>
      <c r="B6269" s="138">
        <f>'Acct Summary 7-8'!E82</f>
        <v>596</v>
      </c>
      <c r="D6269" s="2" t="str">
        <f t="shared" si="96"/>
        <v>Error?</v>
      </c>
      <c r="E6269" s="2" t="s">
        <v>199</v>
      </c>
    </row>
    <row r="6270" spans="1:5" x14ac:dyDescent="0.2">
      <c r="A6270">
        <v>6209</v>
      </c>
      <c r="B6270" s="138">
        <f>'Acct Summary 7-8'!F82</f>
        <v>15866</v>
      </c>
      <c r="D6270" s="2" t="str">
        <f t="shared" si="96"/>
        <v>Error?</v>
      </c>
      <c r="E6270" s="2" t="s">
        <v>199</v>
      </c>
    </row>
    <row r="6271" spans="1:5" x14ac:dyDescent="0.2">
      <c r="A6271">
        <v>6210</v>
      </c>
      <c r="B6271" s="138">
        <f>'Acct Summary 7-8'!G82</f>
        <v>-748</v>
      </c>
      <c r="D6271" s="2" t="str">
        <f t="shared" ref="D6271:D6334" si="97">IF(ISBLANK(B6271),"OK",IF(A6271-B6271=0,"OK","Error?"))</f>
        <v>Error?</v>
      </c>
      <c r="E6271" s="2" t="s">
        <v>199</v>
      </c>
    </row>
    <row r="6272" spans="1:5" x14ac:dyDescent="0.2">
      <c r="A6272">
        <v>6211</v>
      </c>
      <c r="B6272" s="138">
        <f>'Acct Summary 7-8'!H82</f>
        <v>14902</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3129</v>
      </c>
      <c r="D6274" s="2" t="str">
        <f t="shared" si="97"/>
        <v>Error?</v>
      </c>
      <c r="E6274" s="2" t="s">
        <v>199</v>
      </c>
    </row>
    <row r="6275" spans="1:5" x14ac:dyDescent="0.2">
      <c r="A6275">
        <v>6214</v>
      </c>
      <c r="B6275" s="138">
        <f>'Acct Summary 7-8'!K82</f>
        <v>-13899</v>
      </c>
      <c r="D6275" s="2" t="str">
        <f t="shared" si="97"/>
        <v>Error?</v>
      </c>
      <c r="E6275" s="2" t="s">
        <v>199</v>
      </c>
    </row>
    <row r="6276" spans="1:5" x14ac:dyDescent="0.2">
      <c r="A6276">
        <v>6215</v>
      </c>
      <c r="B6276" s="138">
        <f>'Acct Summary 7-8'!C83</f>
        <v>0.15711080606258729</v>
      </c>
      <c r="D6276" s="2" t="str">
        <f t="shared" si="97"/>
        <v>Error?</v>
      </c>
      <c r="E6276" s="2" t="s">
        <v>199</v>
      </c>
    </row>
    <row r="6277" spans="1:5" x14ac:dyDescent="0.2">
      <c r="A6277">
        <v>6216</v>
      </c>
      <c r="B6277" s="138">
        <f>'Acct Summary 7-8'!D83</f>
        <v>6.4353379635345501E-2</v>
      </c>
      <c r="D6277" s="2" t="str">
        <f t="shared" si="97"/>
        <v>Error?</v>
      </c>
      <c r="E6277" s="2" t="s">
        <v>199</v>
      </c>
    </row>
    <row r="6278" spans="1:5" x14ac:dyDescent="0.2">
      <c r="A6278">
        <v>6217</v>
      </c>
      <c r="B6278" s="138">
        <f>'Acct Summary 7-8'!E83</f>
        <v>10.642857142857142</v>
      </c>
      <c r="D6278" s="2" t="str">
        <f t="shared" si="97"/>
        <v>Error?</v>
      </c>
      <c r="E6278" s="2" t="s">
        <v>199</v>
      </c>
    </row>
    <row r="6279" spans="1:5" x14ac:dyDescent="0.2">
      <c r="A6279">
        <v>6218</v>
      </c>
      <c r="B6279" s="138">
        <f>'Acct Summary 7-8'!F83</f>
        <v>0.41610280618935219</v>
      </c>
      <c r="D6279" s="2" t="str">
        <f t="shared" si="97"/>
        <v>Error?</v>
      </c>
      <c r="E6279" s="2" t="s">
        <v>199</v>
      </c>
    </row>
    <row r="6280" spans="1:5" x14ac:dyDescent="0.2">
      <c r="A6280">
        <v>6219</v>
      </c>
      <c r="B6280" s="138">
        <f>'Acct Summary 7-8'!G83</f>
        <v>-5.1926414439430753E-2</v>
      </c>
      <c r="D6280" s="2" t="str">
        <f t="shared" si="97"/>
        <v>Error?</v>
      </c>
      <c r="E6280" s="2" t="s">
        <v>199</v>
      </c>
    </row>
    <row r="6281" spans="1:5" x14ac:dyDescent="0.2">
      <c r="A6281">
        <v>6220</v>
      </c>
      <c r="B6281" s="138">
        <f>'Acct Summary 7-8'!H83</f>
        <v>0.23031745541096102</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3.6985815602836883E-2</v>
      </c>
      <c r="D6283" s="2" t="str">
        <f t="shared" si="97"/>
        <v>Error?</v>
      </c>
      <c r="E6283" s="2" t="s">
        <v>199</v>
      </c>
    </row>
    <row r="6284" spans="1:5" x14ac:dyDescent="0.2">
      <c r="A6284">
        <v>6223</v>
      </c>
      <c r="B6284" s="138">
        <f>'Acct Summary 7-8'!K83</f>
        <v>-5.0615440640932263</v>
      </c>
      <c r="D6284" s="2" t="str">
        <f t="shared" si="97"/>
        <v>Error?</v>
      </c>
      <c r="E6284" s="2" t="s">
        <v>199</v>
      </c>
    </row>
    <row r="6285" spans="1:5" x14ac:dyDescent="0.2">
      <c r="A6285">
        <v>6224</v>
      </c>
      <c r="B6285" s="138">
        <f>'Acct Summary 7-8'!E37</f>
        <v>32500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44908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44908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1174</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1174</v>
      </c>
      <c r="D6351" s="2" t="str">
        <f t="shared" si="98"/>
        <v>Error?</v>
      </c>
      <c r="E6351" s="2" t="s">
        <v>199</v>
      </c>
    </row>
    <row r="6352" spans="1:5" x14ac:dyDescent="0.2">
      <c r="A6352">
        <v>6291</v>
      </c>
      <c r="B6352" s="138">
        <f>'Revenues 9-14'!J109</f>
        <v>46089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292</v>
      </c>
      <c r="D6896" s="2" t="str">
        <f t="shared" si="106"/>
        <v>Error?</v>
      </c>
    </row>
    <row r="6897" spans="1:4" x14ac:dyDescent="0.2">
      <c r="A6897">
        <v>6836</v>
      </c>
      <c r="B6897" s="138">
        <f>'Expenditures 15-22'!K30</f>
        <v>292</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3600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3600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42960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46089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29</v>
      </c>
      <c r="D7093" s="2" t="str">
        <f t="shared" si="109"/>
        <v>Error?</v>
      </c>
    </row>
    <row r="7094" spans="1:4" x14ac:dyDescent="0.2">
      <c r="A7094">
        <v>7033</v>
      </c>
      <c r="B7094" s="138">
        <f>'Expenditures 15-22'!K254</f>
        <v>29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787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787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32846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32846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2000</v>
      </c>
      <c r="D7172" s="2" t="str">
        <f t="shared" si="111"/>
        <v>Error?</v>
      </c>
    </row>
    <row r="7173" spans="1:4" x14ac:dyDescent="0.2">
      <c r="A7173">
        <v>7112</v>
      </c>
      <c r="B7173" s="138">
        <f>'Expenditures 15-22'!D325</f>
        <v>256</v>
      </c>
      <c r="D7173" s="2" t="str">
        <f t="shared" si="111"/>
        <v>Error?</v>
      </c>
    </row>
    <row r="7174" spans="1:4" x14ac:dyDescent="0.2">
      <c r="A7174">
        <v>7113</v>
      </c>
      <c r="B7174" s="138">
        <f>'Expenditures 15-22'!E325</f>
        <v>3054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5310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4017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4017</v>
      </c>
      <c r="D7198" s="2" t="str">
        <f t="shared" si="111"/>
        <v>Error?</v>
      </c>
    </row>
    <row r="7199" spans="1:4" x14ac:dyDescent="0.2">
      <c r="A7199">
        <v>7138</v>
      </c>
      <c r="B7199" s="138">
        <f>'Expenditures 15-22'!C330</f>
        <v>2000</v>
      </c>
      <c r="D7199" s="2" t="str">
        <f t="shared" si="111"/>
        <v>Error?</v>
      </c>
    </row>
    <row r="7200" spans="1:4" x14ac:dyDescent="0.2">
      <c r="A7200">
        <v>7139</v>
      </c>
      <c r="B7200" s="138">
        <f>'Expenditures 15-22'!D330</f>
        <v>256</v>
      </c>
      <c r="D7200" s="2" t="str">
        <f t="shared" si="111"/>
        <v>Error?</v>
      </c>
    </row>
    <row r="7201" spans="1:4" x14ac:dyDescent="0.2">
      <c r="A7201">
        <v>7140</v>
      </c>
      <c r="B7201" s="138">
        <f>'Expenditures 15-22'!E330</f>
        <v>40704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42960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2000</v>
      </c>
      <c r="D7216" s="2" t="str">
        <f t="shared" si="111"/>
        <v>Error?</v>
      </c>
    </row>
    <row r="7217" spans="1:4" x14ac:dyDescent="0.2">
      <c r="A7217">
        <v>7156</v>
      </c>
      <c r="B7217" s="138">
        <f>'Expenditures 15-22'!D342</f>
        <v>256</v>
      </c>
      <c r="D7217" s="2" t="str">
        <f t="shared" si="111"/>
        <v>Error?</v>
      </c>
    </row>
    <row r="7218" spans="1:4" x14ac:dyDescent="0.2">
      <c r="A7218">
        <v>7157</v>
      </c>
      <c r="B7218" s="138">
        <f>'Expenditures 15-22'!E342</f>
        <v>40704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42960</v>
      </c>
      <c r="D7224" s="2" t="str">
        <f t="shared" si="111"/>
        <v>Error?</v>
      </c>
    </row>
    <row r="7225" spans="1:4" x14ac:dyDescent="0.2">
      <c r="A7225">
        <v>7164</v>
      </c>
      <c r="B7225" s="138">
        <f>'Expenditures 15-22'!K343</f>
        <v>3129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93743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17000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15500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4991</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51614</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14824</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64622</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39622</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D10" sqref="AD10"/>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New Holland-Middletown ESD #88</v>
      </c>
      <c r="B7" s="2403"/>
      <c r="C7" s="2403"/>
      <c r="D7" s="2440"/>
      <c r="E7" s="2441">
        <f>COVER!A13</f>
        <v>17054088002</v>
      </c>
      <c r="F7" s="2442"/>
      <c r="G7" s="2409" t="str">
        <f>COVER!T23</f>
        <v>065-015457</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Pamela J. Simpson, CPA</v>
      </c>
      <c r="H9" s="2416"/>
      <c r="I9" s="2416"/>
      <c r="J9" s="2416"/>
      <c r="K9" s="2416"/>
      <c r="L9" s="2417"/>
    </row>
    <row r="10" spans="1:29" ht="13.5" customHeight="1" x14ac:dyDescent="0.2">
      <c r="A10" s="2399" t="str">
        <f>COVER!A38</f>
        <v>Marc Campbell, Superintendent</v>
      </c>
      <c r="B10" s="2400"/>
      <c r="C10" s="2400"/>
      <c r="D10" s="2400"/>
      <c r="E10" s="2400"/>
      <c r="F10" s="2401"/>
      <c r="G10" s="2415" t="str">
        <f>COVER!T17</f>
        <v>920 West Pershing Road</v>
      </c>
      <c r="H10" s="2428"/>
      <c r="I10" s="2428"/>
      <c r="J10" s="2428"/>
      <c r="K10" s="2428"/>
      <c r="L10" s="2429"/>
    </row>
    <row r="11" spans="1:29" ht="13.5" customHeight="1" x14ac:dyDescent="0.2">
      <c r="A11" s="1185" t="s">
        <v>1599</v>
      </c>
      <c r="B11" s="1186"/>
      <c r="C11" s="1187"/>
      <c r="D11" s="1192"/>
      <c r="E11" s="1187"/>
      <c r="F11" s="1191"/>
      <c r="G11" s="2415" t="str">
        <f>COVER!T19</f>
        <v>Decatur</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pjscpa31a@aol.com</v>
      </c>
      <c r="J13" s="2437"/>
      <c r="K13" s="2437"/>
      <c r="L13" s="2438"/>
    </row>
    <row r="14" spans="1:29" ht="13.5" customHeight="1" x14ac:dyDescent="0.2">
      <c r="A14" s="2415" t="str">
        <f>COVER!A19</f>
        <v>75 1250th Street</v>
      </c>
      <c r="B14" s="2428"/>
      <c r="C14" s="2428"/>
      <c r="D14" s="2428"/>
      <c r="E14" s="2428"/>
      <c r="F14" s="2429"/>
      <c r="G14" s="1196" t="s">
        <v>1247</v>
      </c>
      <c r="H14" s="1194"/>
      <c r="I14" s="1194"/>
      <c r="J14" s="1194"/>
      <c r="K14" s="1194"/>
      <c r="L14" s="1195"/>
    </row>
    <row r="15" spans="1:29" ht="13.5" customHeight="1" x14ac:dyDescent="0.2">
      <c r="A15" s="2415" t="str">
        <f>COVER!A21</f>
        <v>Middletown</v>
      </c>
      <c r="B15" s="2428"/>
      <c r="C15" s="2428"/>
      <c r="D15" s="2428"/>
      <c r="E15" s="2428"/>
      <c r="F15" s="2429"/>
      <c r="G15" s="2425" t="str">
        <f>COVER!T15</f>
        <v xml:space="preserve">Pamela J. Simpson  </v>
      </c>
      <c r="H15" s="2426"/>
      <c r="I15" s="2426"/>
      <c r="J15" s="2426"/>
      <c r="K15" s="2426"/>
      <c r="L15" s="2427"/>
    </row>
    <row r="16" spans="1:29" ht="12.2" customHeight="1" x14ac:dyDescent="0.2">
      <c r="A16" s="2405">
        <f>COVER!A25</f>
        <v>62666</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(217) 872-1908</v>
      </c>
      <c r="H18" s="2403"/>
      <c r="I18" s="2403"/>
      <c r="J18" s="2403"/>
      <c r="K18" s="2402" t="str">
        <f>COVER!X21</f>
        <v>(217) 872-1911</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D10" sqref="AD10"/>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New Holland-Middletown ESD #88</v>
      </c>
      <c r="B1" s="2439"/>
      <c r="C1" s="2439"/>
      <c r="D1" s="2439"/>
    </row>
    <row r="2" spans="1:11" s="1215" customFormat="1" ht="12.75" x14ac:dyDescent="0.2">
      <c r="A2" s="2444">
        <f>'Single Audit Cover'!E7</f>
        <v>17054088002</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0" zoomScale="110" zoomScaleNormal="110" zoomScaleSheetLayoutView="100" workbookViewId="0">
      <selection activeCell="AD10" sqref="AD10"/>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New Holland-Middletown ESD #88</v>
      </c>
      <c r="B1" s="2447"/>
      <c r="C1" s="2447"/>
      <c r="D1" s="2447"/>
      <c r="E1" s="2447"/>
    </row>
    <row r="2" spans="1:5" x14ac:dyDescent="0.2">
      <c r="A2" s="2448">
        <f>'Single Audit Cover'!E7</f>
        <v>17054088002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111579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6120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117699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117699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117699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D10" sqref="AD10"/>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New Holland-Middletown ESD #88</v>
      </c>
      <c r="B1" s="2452"/>
      <c r="C1" s="2452"/>
      <c r="D1" s="2452"/>
      <c r="E1" s="2452"/>
      <c r="F1" s="2452"/>
    </row>
    <row r="2" spans="1:7" ht="13.5" customHeight="1" x14ac:dyDescent="0.2">
      <c r="A2" s="2453">
        <f>'Single Audit Cover'!E7</f>
        <v>17054088002</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D10" sqref="AD1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New Holland-Middletown ESD #88</v>
      </c>
      <c r="C1" s="2464"/>
      <c r="D1" s="2464"/>
      <c r="E1" s="2464"/>
      <c r="F1" s="2464"/>
      <c r="G1" s="2464"/>
      <c r="H1" s="2464"/>
      <c r="I1" s="2464"/>
      <c r="J1" s="2464"/>
      <c r="K1" s="2464"/>
      <c r="L1" s="2464"/>
      <c r="M1" s="2464"/>
    </row>
    <row r="2" spans="2:14" ht="15" x14ac:dyDescent="0.2">
      <c r="B2" s="2453">
        <f>'Single Audit Cover'!E7</f>
        <v>17054088002</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AD10" sqref="AD1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2077</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2108</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2083</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D10" sqref="AD10"/>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New Holland-Middletown ESD #88</v>
      </c>
      <c r="C1" s="2472"/>
      <c r="D1" s="2472"/>
      <c r="E1" s="2472"/>
      <c r="F1" s="2472"/>
      <c r="G1" s="2472"/>
      <c r="H1" s="2472"/>
      <c r="I1" s="2472"/>
      <c r="J1" s="1422"/>
    </row>
    <row r="2" spans="2:10" s="317" customFormat="1" ht="12.75" customHeight="1" x14ac:dyDescent="0.2">
      <c r="B2" s="2473">
        <f>'Single Audit Cover'!E7</f>
        <v>17054088002</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1952</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D10" sqref="A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New Holland-Middletown ESD #88</v>
      </c>
      <c r="C1" s="2471"/>
      <c r="D1" s="2471"/>
      <c r="E1" s="2471"/>
      <c r="F1" s="2471"/>
      <c r="G1" s="2471"/>
      <c r="H1" s="2471"/>
      <c r="I1" s="2471"/>
      <c r="J1" s="2471"/>
      <c r="K1" s="2471"/>
      <c r="L1" s="1374"/>
      <c r="M1" s="1374"/>
    </row>
    <row r="2" spans="1:13" ht="12" customHeight="1" x14ac:dyDescent="0.2">
      <c r="B2" s="2473">
        <f>'Single Audit Cover'!E7</f>
        <v>17054088002</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D10" sqref="AD1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New Holland-Middletown ESD #88</v>
      </c>
      <c r="C1" s="2498"/>
      <c r="D1" s="2498"/>
      <c r="E1" s="2498"/>
      <c r="F1" s="2498"/>
      <c r="G1" s="2498"/>
      <c r="H1" s="2498"/>
      <c r="I1" s="2498"/>
      <c r="J1" s="2498"/>
      <c r="K1" s="2498"/>
      <c r="L1" s="1465"/>
    </row>
    <row r="2" spans="1:12" ht="12.75" customHeight="1" x14ac:dyDescent="0.2">
      <c r="B2" s="2499">
        <f>'Single Audit Cover'!E7</f>
        <v>17054088002</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D10" sqref="AD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New Holland-Middletown ESD #88</v>
      </c>
      <c r="C1" s="2471"/>
      <c r="D1" s="2471"/>
      <c r="E1" s="1491"/>
    </row>
    <row r="2" spans="2:5" s="1282" customFormat="1" ht="12.75" customHeight="1" x14ac:dyDescent="0.2">
      <c r="B2" s="2473">
        <f>'Single Audit Cover'!E7</f>
        <v>17054088002</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activeCell="AD10" sqref="AD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33217931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2.6341E-2</v>
      </c>
      <c r="E10" s="356" t="s">
        <v>1062</v>
      </c>
      <c r="F10" s="355">
        <v>5.4489999999999999E-3</v>
      </c>
      <c r="G10" s="356" t="s">
        <v>1062</v>
      </c>
      <c r="H10" s="355">
        <v>1.1739999999999999E-3</v>
      </c>
      <c r="I10" s="356" t="s">
        <v>1063</v>
      </c>
      <c r="J10" s="1754">
        <f>ROUND(D10+F10+H10,5)</f>
        <v>3.2960000000000003E-2</v>
      </c>
      <c r="K10" s="222"/>
      <c r="L10" s="355">
        <v>4.5199999999999998E-4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1560498</v>
      </c>
      <c r="E16" s="356"/>
      <c r="F16" s="1755">
        <f>SUM('Acct Summary 7-8'!C17,'Acct Summary 7-8'!D17,'Acct Summary 7-8'!F17)</f>
        <v>1260346</v>
      </c>
      <c r="G16" s="356"/>
      <c r="H16" s="1755">
        <f>SUM(D16-F16)</f>
        <v>300152</v>
      </c>
      <c r="I16" s="222"/>
      <c r="J16" s="1755">
        <f>SUM('Acct Summary 7-8'!C81,'Acct Summary 7-8'!D81,'Acct Summary 7-8'!F81,'Acct Summary 7-8'!I81)</f>
        <v>2036348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2292037.2390000001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292000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D10" sqref="AD1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New Holland-Middletown ESD #88</v>
      </c>
      <c r="E7" s="391"/>
      <c r="G7" s="252"/>
      <c r="H7" s="387"/>
      <c r="I7" s="387"/>
      <c r="J7" s="387"/>
      <c r="K7" s="387"/>
      <c r="L7" s="329"/>
      <c r="M7" s="329"/>
      <c r="N7" s="329"/>
      <c r="O7" s="329"/>
      <c r="P7" s="329"/>
    </row>
    <row r="8" spans="1:18" ht="12.75" x14ac:dyDescent="0.2">
      <c r="A8" s="329"/>
      <c r="B8" s="329"/>
      <c r="C8" s="389" t="s">
        <v>1187</v>
      </c>
      <c r="D8" s="392">
        <f>COVER!A13</f>
        <v>17054088002</v>
      </c>
      <c r="E8" s="393"/>
      <c r="G8" s="329"/>
      <c r="H8" s="329"/>
      <c r="I8" s="329"/>
      <c r="J8" s="329"/>
      <c r="K8" s="329"/>
      <c r="L8" s="329"/>
      <c r="M8" s="329"/>
      <c r="N8" s="329"/>
      <c r="O8" s="329"/>
      <c r="P8" s="329"/>
    </row>
    <row r="9" spans="1:18" ht="12.75" x14ac:dyDescent="0.2">
      <c r="A9" s="329"/>
      <c r="B9" s="329"/>
      <c r="C9" s="389" t="s">
        <v>737</v>
      </c>
      <c r="D9" s="394" t="str">
        <f>COVER!A15</f>
        <v>Logan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2036348</v>
      </c>
      <c r="I12" s="404"/>
      <c r="J12" s="404"/>
      <c r="K12" s="405">
        <f>TRUNC((H12/H13*100000),5)/100000</f>
        <v>1.3049347066999999</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1560498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1260346</v>
      </c>
      <c r="I17" s="404"/>
      <c r="J17" s="416"/>
      <c r="K17" s="405">
        <f>TRUNC((H17/H18*100000),5)/100000</f>
        <v>0.80765627380000005</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1560498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2036360</v>
      </c>
      <c r="I24" s="422"/>
      <c r="J24" s="422"/>
      <c r="K24" s="423">
        <f>TRUNC(((H24/H25*100000)/100000),2)</f>
        <v>581.65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3500.9611100000002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930633.55489999999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292000</v>
      </c>
      <c r="I32" s="420"/>
      <c r="J32" s="420"/>
      <c r="K32" s="423">
        <f>TRUNC(100-((((H32/H33*100))*100)/100),2)</f>
        <v>87.26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2292037.2390000001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AD10" sqref="AD10"/>
      <selection pane="bottomLeft" activeCell="AD10" sqref="AD1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787835</v>
      </c>
      <c r="D4" s="466">
        <v>625505</v>
      </c>
      <c r="E4" s="466">
        <v>56</v>
      </c>
      <c r="F4" s="466">
        <v>37575</v>
      </c>
      <c r="G4" s="466">
        <v>2639</v>
      </c>
      <c r="H4" s="466">
        <v>64702</v>
      </c>
      <c r="I4" s="466"/>
      <c r="J4" s="467">
        <v>84600</v>
      </c>
      <c r="K4" s="466"/>
      <c r="L4" s="466">
        <v>13413</v>
      </c>
      <c r="M4" s="468"/>
      <c r="N4" s="469"/>
    </row>
    <row r="5" spans="1:14" x14ac:dyDescent="0.2">
      <c r="A5" s="463" t="s">
        <v>1049</v>
      </c>
      <c r="B5" s="470">
        <v>120</v>
      </c>
      <c r="C5" s="465">
        <v>507518</v>
      </c>
      <c r="D5" s="466">
        <v>77372</v>
      </c>
      <c r="E5" s="466"/>
      <c r="F5" s="466">
        <v>555</v>
      </c>
      <c r="G5" s="466">
        <v>11766</v>
      </c>
      <c r="H5" s="466"/>
      <c r="I5" s="466"/>
      <c r="J5" s="467"/>
      <c r="K5" s="471">
        <v>4443</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225000</v>
      </c>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1520353</v>
      </c>
      <c r="D13" s="1759">
        <f t="shared" ref="D13:L13" si="0">SUM(D4:D12)</f>
        <v>702877</v>
      </c>
      <c r="E13" s="1759">
        <f t="shared" si="0"/>
        <v>56</v>
      </c>
      <c r="F13" s="1759">
        <f t="shared" si="0"/>
        <v>38130</v>
      </c>
      <c r="G13" s="1759">
        <f t="shared" si="0"/>
        <v>14405</v>
      </c>
      <c r="H13" s="1759">
        <f t="shared" si="0"/>
        <v>64702</v>
      </c>
      <c r="I13" s="1759">
        <f t="shared" si="0"/>
        <v>0</v>
      </c>
      <c r="J13" s="1759">
        <f t="shared" si="0"/>
        <v>84600</v>
      </c>
      <c r="K13" s="1759">
        <f t="shared" si="0"/>
        <v>4443</v>
      </c>
      <c r="L13" s="1759">
        <f t="shared" si="0"/>
        <v>13413</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5000</v>
      </c>
      <c r="N16" s="484"/>
    </row>
    <row r="17" spans="1:14" s="485" customFormat="1" ht="12.75" customHeight="1" x14ac:dyDescent="0.2">
      <c r="A17" s="482" t="s">
        <v>1470</v>
      </c>
      <c r="B17" s="483">
        <v>230</v>
      </c>
      <c r="C17" s="477"/>
      <c r="D17" s="477"/>
      <c r="E17" s="477"/>
      <c r="F17" s="477"/>
      <c r="G17" s="477"/>
      <c r="H17" s="477"/>
      <c r="I17" s="477"/>
      <c r="J17" s="477"/>
      <c r="K17" s="477"/>
      <c r="L17" s="477"/>
      <c r="M17" s="467">
        <v>1059891</v>
      </c>
      <c r="N17" s="484"/>
    </row>
    <row r="18" spans="1:14" s="485" customFormat="1" ht="12.75" customHeight="1" x14ac:dyDescent="0.2">
      <c r="A18" s="482" t="s">
        <v>1471</v>
      </c>
      <c r="B18" s="483">
        <v>240</v>
      </c>
      <c r="C18" s="477"/>
      <c r="D18" s="477"/>
      <c r="E18" s="477"/>
      <c r="F18" s="477"/>
      <c r="G18" s="477"/>
      <c r="H18" s="477"/>
      <c r="I18" s="477"/>
      <c r="J18" s="477"/>
      <c r="K18" s="477"/>
      <c r="L18" s="477"/>
      <c r="M18" s="467">
        <v>205720</v>
      </c>
      <c r="N18" s="484"/>
    </row>
    <row r="19" spans="1:14" s="485" customFormat="1" ht="12.75" customHeight="1" x14ac:dyDescent="0.2">
      <c r="A19" s="482" t="s">
        <v>1472</v>
      </c>
      <c r="B19" s="483">
        <v>250</v>
      </c>
      <c r="C19" s="477"/>
      <c r="D19" s="477"/>
      <c r="E19" s="477"/>
      <c r="F19" s="477"/>
      <c r="G19" s="477"/>
      <c r="H19" s="477"/>
      <c r="I19" s="477"/>
      <c r="J19" s="477"/>
      <c r="K19" s="477"/>
      <c r="L19" s="477"/>
      <c r="M19" s="467">
        <v>104247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56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291944</v>
      </c>
    </row>
    <row r="23" spans="1:14" ht="13.5" customHeight="1" thickBot="1" x14ac:dyDescent="0.25">
      <c r="A23" s="1758" t="s">
        <v>664</v>
      </c>
      <c r="B23" s="1763"/>
      <c r="C23" s="468"/>
      <c r="D23" s="468"/>
      <c r="E23" s="468"/>
      <c r="F23" s="468"/>
      <c r="G23" s="468"/>
      <c r="H23" s="468"/>
      <c r="I23" s="468"/>
      <c r="J23" s="468"/>
      <c r="K23" s="468"/>
      <c r="L23" s="468"/>
      <c r="M23" s="1710">
        <f>SUM(M15:M22)</f>
        <v>1374858</v>
      </c>
      <c r="N23" s="1710">
        <f>SUM(N21:N22)</f>
        <v>292000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v>225000</v>
      </c>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v>1697</v>
      </c>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12</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13413</v>
      </c>
      <c r="M33" s="468"/>
      <c r="N33" s="469"/>
    </row>
    <row r="34" spans="1:14" ht="13.5" customHeight="1" thickBot="1" x14ac:dyDescent="0.25">
      <c r="A34" s="1760" t="s">
        <v>675</v>
      </c>
      <c r="B34" s="1761"/>
      <c r="C34" s="1762">
        <f>SUM(C25:C33)</f>
        <v>12</v>
      </c>
      <c r="D34" s="1762">
        <f t="shared" ref="D34:K34" si="1">SUM(D25:D33)</f>
        <v>225000</v>
      </c>
      <c r="E34" s="1762">
        <f t="shared" si="1"/>
        <v>0</v>
      </c>
      <c r="F34" s="1762">
        <f t="shared" si="1"/>
        <v>0</v>
      </c>
      <c r="G34" s="1762">
        <f t="shared" si="1"/>
        <v>0</v>
      </c>
      <c r="H34" s="1762">
        <f t="shared" si="1"/>
        <v>0</v>
      </c>
      <c r="I34" s="1762">
        <f t="shared" si="1"/>
        <v>0</v>
      </c>
      <c r="J34" s="1762">
        <f t="shared" si="1"/>
        <v>0</v>
      </c>
      <c r="K34" s="1762">
        <f t="shared" si="1"/>
        <v>1697</v>
      </c>
      <c r="L34" s="1743">
        <f>SUM(L33)</f>
        <v>13413</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292000</v>
      </c>
    </row>
    <row r="37" spans="1:14" ht="13.5" thickBot="1" x14ac:dyDescent="0.25">
      <c r="A37" s="1758" t="s">
        <v>674</v>
      </c>
      <c r="B37" s="1763"/>
      <c r="C37" s="477"/>
      <c r="D37" s="477"/>
      <c r="E37" s="477"/>
      <c r="F37" s="477"/>
      <c r="G37" s="477"/>
      <c r="H37" s="477"/>
      <c r="I37" s="477"/>
      <c r="J37" s="477"/>
      <c r="K37" s="477"/>
      <c r="L37" s="480"/>
      <c r="M37" s="468"/>
      <c r="N37" s="1710">
        <f>SUM(N36:N36)</f>
        <v>292000</v>
      </c>
    </row>
    <row r="38" spans="1:14" s="329" customFormat="1" ht="13.5" customHeight="1" thickTop="1" x14ac:dyDescent="0.2">
      <c r="A38" s="496" t="s">
        <v>440</v>
      </c>
      <c r="B38" s="483">
        <v>714</v>
      </c>
      <c r="C38" s="466"/>
      <c r="D38" s="466"/>
      <c r="E38" s="466">
        <v>56</v>
      </c>
      <c r="F38" s="466"/>
      <c r="G38" s="466">
        <v>-31450</v>
      </c>
      <c r="H38" s="466"/>
      <c r="I38" s="466"/>
      <c r="J38" s="467">
        <v>84600</v>
      </c>
      <c r="K38" s="466">
        <v>2746</v>
      </c>
      <c r="L38" s="481"/>
      <c r="M38" s="497"/>
      <c r="N38" s="497"/>
    </row>
    <row r="39" spans="1:14" s="329" customFormat="1" ht="13.5" customHeight="1" x14ac:dyDescent="0.2">
      <c r="A39" s="496" t="s">
        <v>360</v>
      </c>
      <c r="B39" s="483">
        <v>730</v>
      </c>
      <c r="C39" s="466">
        <v>1520341</v>
      </c>
      <c r="D39" s="466">
        <v>477877</v>
      </c>
      <c r="E39" s="466"/>
      <c r="F39" s="466">
        <v>38130</v>
      </c>
      <c r="G39" s="466">
        <v>45855</v>
      </c>
      <c r="H39" s="466">
        <v>64702</v>
      </c>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1374858</v>
      </c>
      <c r="N40" s="497"/>
    </row>
    <row r="41" spans="1:14" ht="13.5" customHeight="1" thickBot="1" x14ac:dyDescent="0.25">
      <c r="A41" s="1758" t="s">
        <v>676</v>
      </c>
      <c r="B41" s="1728"/>
      <c r="C41" s="1710">
        <f>(SUM(C34,C37,C38,C39))</f>
        <v>1520353</v>
      </c>
      <c r="D41" s="1710">
        <f t="shared" ref="D41:L41" si="2">SUM(D34,D37,D38:D39)</f>
        <v>702877</v>
      </c>
      <c r="E41" s="1710">
        <f t="shared" si="2"/>
        <v>56</v>
      </c>
      <c r="F41" s="1710">
        <f t="shared" si="2"/>
        <v>38130</v>
      </c>
      <c r="G41" s="1710">
        <f t="shared" si="2"/>
        <v>14405</v>
      </c>
      <c r="H41" s="1710">
        <f t="shared" si="2"/>
        <v>64702</v>
      </c>
      <c r="I41" s="1710">
        <f t="shared" si="2"/>
        <v>0</v>
      </c>
      <c r="J41" s="1710">
        <f t="shared" si="2"/>
        <v>84600</v>
      </c>
      <c r="K41" s="1710">
        <f t="shared" si="2"/>
        <v>4443</v>
      </c>
      <c r="L41" s="1710">
        <f t="shared" si="2"/>
        <v>13413</v>
      </c>
      <c r="M41" s="1710">
        <f>SUM(M40)</f>
        <v>1374858</v>
      </c>
      <c r="N41" s="1710">
        <f>SUM(N37)</f>
        <v>292000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9" activePane="bottomLeft" state="frozenSplit"/>
      <selection activeCell="AD10" sqref="AD10"/>
      <selection pane="bottomLeft" activeCell="AD10" sqref="AD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908929</v>
      </c>
      <c r="D4" s="1764">
        <f>'Revenues 9-14'!D109</f>
        <v>171482</v>
      </c>
      <c r="E4" s="1764">
        <f>'Revenues 9-14'!E109</f>
        <v>0</v>
      </c>
      <c r="F4" s="1764">
        <f>'Revenues 9-14'!F109</f>
        <v>37066</v>
      </c>
      <c r="G4" s="1764">
        <f>'Revenues 9-14'!G109</f>
        <v>21339</v>
      </c>
      <c r="H4" s="1764">
        <f>'Revenues 9-14'!H109</f>
        <v>51614</v>
      </c>
      <c r="I4" s="1764">
        <f>'Revenues 9-14'!I109</f>
        <v>14824</v>
      </c>
      <c r="J4" s="1764">
        <f>'Revenues 9-14'!J109</f>
        <v>46089</v>
      </c>
      <c r="K4" s="1764">
        <f>'Revenues 9-14'!K109</f>
        <v>14733</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226709</v>
      </c>
      <c r="D6" s="1765">
        <f>'Revenues 9-14'!D173</f>
        <v>0</v>
      </c>
      <c r="E6" s="1765">
        <f>'Revenues 9-14'!E173</f>
        <v>0</v>
      </c>
      <c r="F6" s="1765">
        <f>'Revenues 9-14'!F173</f>
        <v>89909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111579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1247217</v>
      </c>
      <c r="D8" s="1710">
        <f t="shared" ref="D8:K8" si="0">SUM(D4:D7)</f>
        <v>171482</v>
      </c>
      <c r="E8" s="1710">
        <f t="shared" si="0"/>
        <v>0</v>
      </c>
      <c r="F8" s="1710">
        <f t="shared" si="0"/>
        <v>126975</v>
      </c>
      <c r="G8" s="1710">
        <f t="shared" si="0"/>
        <v>21339</v>
      </c>
      <c r="H8" s="1710">
        <f t="shared" si="0"/>
        <v>51614</v>
      </c>
      <c r="I8" s="1710">
        <f t="shared" si="0"/>
        <v>14824</v>
      </c>
      <c r="J8" s="1710">
        <f t="shared" si="0"/>
        <v>46089</v>
      </c>
      <c r="K8" s="1710">
        <f t="shared" si="0"/>
        <v>14733</v>
      </c>
      <c r="L8" s="347"/>
    </row>
    <row r="9" spans="1:13" ht="15.75" thickTop="1" x14ac:dyDescent="0.2">
      <c r="A9" s="514" t="s">
        <v>1752</v>
      </c>
      <c r="B9" s="515">
        <v>3998</v>
      </c>
      <c r="C9" s="481">
        <v>435010</v>
      </c>
      <c r="D9" s="516"/>
      <c r="E9" s="481"/>
      <c r="F9" s="481"/>
      <c r="G9" s="517"/>
      <c r="H9" s="481"/>
      <c r="I9" s="509" t="s">
        <v>1231</v>
      </c>
      <c r="J9" s="478"/>
      <c r="K9" s="481"/>
      <c r="L9" s="347"/>
    </row>
    <row r="10" spans="1:13" s="519" customFormat="1" ht="13.5" thickBot="1" x14ac:dyDescent="0.25">
      <c r="A10" s="1758" t="s">
        <v>1235</v>
      </c>
      <c r="B10" s="1731"/>
      <c r="C10" s="1710">
        <f>SUM(C8:C9)</f>
        <v>1682227</v>
      </c>
      <c r="D10" s="1710">
        <f t="shared" ref="D10:K10" si="1">SUM(D8:D9)</f>
        <v>171482</v>
      </c>
      <c r="E10" s="1710">
        <f t="shared" si="1"/>
        <v>0</v>
      </c>
      <c r="F10" s="1710">
        <f t="shared" si="1"/>
        <v>126975</v>
      </c>
      <c r="G10" s="1710">
        <f t="shared" si="1"/>
        <v>21339</v>
      </c>
      <c r="H10" s="1710">
        <f t="shared" si="1"/>
        <v>51614</v>
      </c>
      <c r="I10" s="1710">
        <f t="shared" si="1"/>
        <v>14824</v>
      </c>
      <c r="J10" s="1710">
        <f t="shared" si="1"/>
        <v>46089</v>
      </c>
      <c r="K10" s="1710">
        <f t="shared" si="1"/>
        <v>14733</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629045</v>
      </c>
      <c r="D12" s="520" t="s">
        <v>1231</v>
      </c>
      <c r="E12" s="468" t="s">
        <v>1231</v>
      </c>
      <c r="F12" s="468" t="s">
        <v>1231</v>
      </c>
      <c r="G12" s="1764">
        <f>'Expenditures 15-22'!K229</f>
        <v>10551</v>
      </c>
      <c r="H12" s="521"/>
      <c r="I12" s="468" t="s">
        <v>1231</v>
      </c>
      <c r="J12" s="468" t="s">
        <v>1231</v>
      </c>
      <c r="K12" s="521" t="s">
        <v>1231</v>
      </c>
      <c r="L12" s="347"/>
    </row>
    <row r="13" spans="1:13" ht="15.75" customHeight="1" x14ac:dyDescent="0.2">
      <c r="A13" s="1598" t="s">
        <v>477</v>
      </c>
      <c r="B13" s="1600">
        <v>2000</v>
      </c>
      <c r="C13" s="1765">
        <f>'Expenditures 15-22'!K74</f>
        <v>302051</v>
      </c>
      <c r="D13" s="1765">
        <f>'Expenditures 15-22'!K129</f>
        <v>140729</v>
      </c>
      <c r="E13" s="469" t="s">
        <v>1231</v>
      </c>
      <c r="F13" s="1765">
        <f>'Expenditures 15-22'!K184</f>
        <v>98109</v>
      </c>
      <c r="G13" s="1765">
        <f>'Expenditures 15-22'!K279</f>
        <v>26360</v>
      </c>
      <c r="H13" s="1765">
        <f>'Expenditures 15-22'!K303</f>
        <v>4212</v>
      </c>
      <c r="I13" s="468" t="s">
        <v>1231</v>
      </c>
      <c r="J13" s="1765">
        <f>'Expenditures 15-22'!K330</f>
        <v>42960</v>
      </c>
      <c r="K13" s="1769">
        <f>'Expenditures 15-22'!K352</f>
        <v>28632</v>
      </c>
      <c r="L13" s="347"/>
    </row>
    <row r="14" spans="1:13" ht="15.75" customHeight="1" x14ac:dyDescent="0.2">
      <c r="A14" s="1598" t="s">
        <v>469</v>
      </c>
      <c r="B14" s="1600">
        <v>3000</v>
      </c>
      <c r="C14" s="1765">
        <f>'Expenditures 15-22'!K75</f>
        <v>4757</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72655</v>
      </c>
      <c r="D15" s="1765">
        <f>'Expenditures 15-22'!K139</f>
        <v>0</v>
      </c>
      <c r="E15" s="1765">
        <f>'Expenditures 15-22'!K160</f>
        <v>0</v>
      </c>
      <c r="F15" s="1765">
        <f>'Expenditures 15-22'!K196</f>
        <v>13000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31904</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1008508</v>
      </c>
      <c r="D17" s="1710">
        <f t="shared" si="2"/>
        <v>140729</v>
      </c>
      <c r="E17" s="1710">
        <f t="shared" si="2"/>
        <v>31904</v>
      </c>
      <c r="F17" s="1710">
        <f t="shared" si="2"/>
        <v>111109</v>
      </c>
      <c r="G17" s="1710">
        <f t="shared" si="2"/>
        <v>36911</v>
      </c>
      <c r="H17" s="1710">
        <f t="shared" si="2"/>
        <v>4212</v>
      </c>
      <c r="I17" s="468"/>
      <c r="J17" s="1710">
        <f>SUM(J12:J16)</f>
        <v>42960</v>
      </c>
      <c r="K17" s="1710">
        <f>SUM(K12:K16)</f>
        <v>28632</v>
      </c>
      <c r="L17" s="347"/>
    </row>
    <row r="18" spans="1:12" ht="15" customHeight="1" thickTop="1" x14ac:dyDescent="0.2">
      <c r="A18" s="1766" t="s">
        <v>1753</v>
      </c>
      <c r="B18" s="1767">
        <v>4180</v>
      </c>
      <c r="C18" s="1764">
        <f t="shared" ref="C18:H18" si="3">C9</f>
        <v>435010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1443518</v>
      </c>
      <c r="D19" s="1710">
        <f t="shared" si="4"/>
        <v>140729</v>
      </c>
      <c r="E19" s="1710">
        <f t="shared" si="4"/>
        <v>31904</v>
      </c>
      <c r="F19" s="1710">
        <f t="shared" si="4"/>
        <v>111109</v>
      </c>
      <c r="G19" s="1710">
        <f t="shared" si="4"/>
        <v>36911</v>
      </c>
      <c r="H19" s="1710">
        <f t="shared" si="4"/>
        <v>4212</v>
      </c>
      <c r="I19" s="468"/>
      <c r="J19" s="1710">
        <f>SUM(J17:J18)</f>
        <v>42960</v>
      </c>
      <c r="K19" s="1710">
        <f>SUM(K17:K18)</f>
        <v>28632</v>
      </c>
      <c r="L19" s="347"/>
    </row>
    <row r="20" spans="1:12" ht="16.5" thickTop="1" thickBot="1" x14ac:dyDescent="0.25">
      <c r="A20" s="2144" t="s">
        <v>1754</v>
      </c>
      <c r="B20" s="2145"/>
      <c r="C20" s="1768">
        <f>C8-C17</f>
        <v>238709</v>
      </c>
      <c r="D20" s="1768">
        <f t="shared" ref="D20:K20" si="5">D8-D17</f>
        <v>30753</v>
      </c>
      <c r="E20" s="1768">
        <f t="shared" si="5"/>
        <v>-31904</v>
      </c>
      <c r="F20" s="1768">
        <f t="shared" si="5"/>
        <v>15866</v>
      </c>
      <c r="G20" s="1768">
        <f t="shared" si="5"/>
        <v>-15572</v>
      </c>
      <c r="H20" s="1768">
        <f t="shared" si="5"/>
        <v>47402</v>
      </c>
      <c r="I20" s="1768">
        <f t="shared" si="5"/>
        <v>14824</v>
      </c>
      <c r="J20" s="1768">
        <f t="shared" si="5"/>
        <v>3129</v>
      </c>
      <c r="K20" s="1768">
        <f t="shared" si="5"/>
        <v>-13899</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v>14824</v>
      </c>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32500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32500</v>
      </c>
      <c r="F44" s="1725">
        <f t="shared" si="6"/>
        <v>0</v>
      </c>
      <c r="G44" s="1725">
        <f t="shared" si="6"/>
        <v>14824</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14824</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v>17000</v>
      </c>
      <c r="I56" s="477"/>
      <c r="J56" s="477"/>
      <c r="K56" s="477"/>
      <c r="L56" s="524"/>
    </row>
    <row r="57" spans="1:12" s="485" customFormat="1" ht="14.25" thickTop="1" thickBot="1" x14ac:dyDescent="0.25">
      <c r="A57" s="1513" t="s">
        <v>599</v>
      </c>
      <c r="B57" s="483">
        <v>8440</v>
      </c>
      <c r="C57" s="531"/>
      <c r="D57" s="531"/>
      <c r="E57" s="477"/>
      <c r="F57" s="477"/>
      <c r="G57" s="477"/>
      <c r="H57" s="530">
        <v>15500</v>
      </c>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v>-153</v>
      </c>
      <c r="D75" s="531"/>
      <c r="E75" s="530"/>
      <c r="F75" s="532"/>
      <c r="G75" s="532"/>
      <c r="H75" s="532"/>
      <c r="I75" s="530"/>
      <c r="J75" s="530"/>
      <c r="K75" s="532"/>
      <c r="L75" s="524"/>
    </row>
    <row r="76" spans="1:12" s="485" customFormat="1" ht="14.25" thickTop="1" thickBot="1" x14ac:dyDescent="0.25">
      <c r="A76" s="2134" t="s">
        <v>460</v>
      </c>
      <c r="B76" s="2135"/>
      <c r="C76" s="1725">
        <f t="shared" ref="C76:K76" si="7">SUM(C47:C75)</f>
        <v>-153</v>
      </c>
      <c r="D76" s="1725">
        <f t="shared" si="7"/>
        <v>0</v>
      </c>
      <c r="E76" s="1725">
        <f t="shared" si="7"/>
        <v>0</v>
      </c>
      <c r="F76" s="1725">
        <f t="shared" si="7"/>
        <v>0</v>
      </c>
      <c r="G76" s="1725">
        <f t="shared" si="7"/>
        <v>0</v>
      </c>
      <c r="H76" s="1725">
        <f t="shared" si="7"/>
        <v>32500</v>
      </c>
      <c r="I76" s="1725">
        <f t="shared" si="7"/>
        <v>14824</v>
      </c>
      <c r="J76" s="1725">
        <f t="shared" si="7"/>
        <v>0</v>
      </c>
      <c r="K76" s="1725">
        <f t="shared" si="7"/>
        <v>0</v>
      </c>
      <c r="L76" s="524"/>
    </row>
    <row r="77" spans="1:12" ht="14.25" thickTop="1" thickBot="1" x14ac:dyDescent="0.25">
      <c r="A77" s="2136" t="s">
        <v>1239</v>
      </c>
      <c r="B77" s="2137"/>
      <c r="C77" s="1725">
        <f t="shared" ref="C77:K77" si="8">C44-C76</f>
        <v>153</v>
      </c>
      <c r="D77" s="1725">
        <f t="shared" si="8"/>
        <v>0</v>
      </c>
      <c r="E77" s="1725">
        <f t="shared" si="8"/>
        <v>32500</v>
      </c>
      <c r="F77" s="1725">
        <f t="shared" si="8"/>
        <v>0</v>
      </c>
      <c r="G77" s="1725">
        <f t="shared" si="8"/>
        <v>14824</v>
      </c>
      <c r="H77" s="1725">
        <f t="shared" si="8"/>
        <v>-32500</v>
      </c>
      <c r="I77" s="1725">
        <f t="shared" si="8"/>
        <v>-14824</v>
      </c>
      <c r="J77" s="1725">
        <f t="shared" si="8"/>
        <v>0</v>
      </c>
      <c r="K77" s="1725">
        <f t="shared" si="8"/>
        <v>0</v>
      </c>
      <c r="L77" s="347"/>
    </row>
    <row r="78" spans="1:12" ht="21.75" customHeight="1" thickTop="1" thickBot="1" x14ac:dyDescent="0.25">
      <c r="A78" s="2140" t="s">
        <v>618</v>
      </c>
      <c r="B78" s="2141"/>
      <c r="C78" s="1724">
        <f t="shared" ref="C78:K78" si="9">C20+C77</f>
        <v>238862</v>
      </c>
      <c r="D78" s="1724">
        <f t="shared" si="9"/>
        <v>30753</v>
      </c>
      <c r="E78" s="1724">
        <f t="shared" si="9"/>
        <v>596</v>
      </c>
      <c r="F78" s="1724">
        <f t="shared" si="9"/>
        <v>15866</v>
      </c>
      <c r="G78" s="1724">
        <f t="shared" si="9"/>
        <v>-748</v>
      </c>
      <c r="H78" s="1724">
        <f t="shared" si="9"/>
        <v>14902</v>
      </c>
      <c r="I78" s="1724">
        <f t="shared" si="9"/>
        <v>0</v>
      </c>
      <c r="J78" s="1724">
        <f t="shared" si="9"/>
        <v>3129</v>
      </c>
      <c r="K78" s="1724">
        <f t="shared" si="9"/>
        <v>-13899</v>
      </c>
      <c r="L78" s="533"/>
    </row>
    <row r="79" spans="1:12" ht="13.5" thickTop="1" x14ac:dyDescent="0.2">
      <c r="A79" s="1516" t="s">
        <v>2073</v>
      </c>
      <c r="B79" s="534"/>
      <c r="C79" s="478">
        <v>1281479</v>
      </c>
      <c r="D79" s="535">
        <v>447124</v>
      </c>
      <c r="E79" s="535">
        <v>-540</v>
      </c>
      <c r="F79" s="535">
        <v>22264</v>
      </c>
      <c r="G79" s="535">
        <v>15153</v>
      </c>
      <c r="H79" s="535">
        <v>49800</v>
      </c>
      <c r="I79" s="535">
        <v>0</v>
      </c>
      <c r="J79" s="535">
        <v>81471</v>
      </c>
      <c r="K79" s="535">
        <v>16645</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10">
        <f>(SUM(C78:C80))</f>
        <v>1520341</v>
      </c>
      <c r="D81" s="1710">
        <f>SUM(D78:D80)</f>
        <v>477877</v>
      </c>
      <c r="E81" s="1710">
        <f t="shared" ref="E81:K81" si="10">SUM(E78:E80)</f>
        <v>56</v>
      </c>
      <c r="F81" s="1710">
        <f t="shared" si="10"/>
        <v>38130</v>
      </c>
      <c r="G81" s="1710">
        <f t="shared" si="10"/>
        <v>14405</v>
      </c>
      <c r="H81" s="1710">
        <f t="shared" si="10"/>
        <v>64702</v>
      </c>
      <c r="I81" s="1710">
        <f t="shared" si="10"/>
        <v>0</v>
      </c>
      <c r="J81" s="1710">
        <f t="shared" si="10"/>
        <v>84600</v>
      </c>
      <c r="K81" s="1710">
        <f t="shared" si="10"/>
        <v>2746</v>
      </c>
      <c r="L81" s="347"/>
    </row>
    <row r="82" spans="1:12" ht="0.75" customHeight="1" thickTop="1" thickBot="1" x14ac:dyDescent="0.25">
      <c r="A82" s="536" t="s">
        <v>361</v>
      </c>
      <c r="B82" s="537"/>
      <c r="C82" s="538">
        <f>(C81-C79)</f>
        <v>238862</v>
      </c>
      <c r="D82" s="538">
        <f t="shared" ref="D82:K82" si="11">(D81-D79)</f>
        <v>30753</v>
      </c>
      <c r="E82" s="538">
        <f t="shared" si="11"/>
        <v>596</v>
      </c>
      <c r="F82" s="538">
        <f t="shared" si="11"/>
        <v>15866</v>
      </c>
      <c r="G82" s="538">
        <f t="shared" si="11"/>
        <v>-748</v>
      </c>
      <c r="H82" s="538">
        <f t="shared" si="11"/>
        <v>14902</v>
      </c>
      <c r="I82" s="538">
        <f t="shared" si="11"/>
        <v>0</v>
      </c>
      <c r="J82" s="538">
        <f t="shared" si="11"/>
        <v>3129</v>
      </c>
      <c r="K82" s="538">
        <f t="shared" si="11"/>
        <v>-13899</v>
      </c>
    </row>
    <row r="83" spans="1:12" ht="14.25" hidden="1" thickTop="1" thickBot="1" x14ac:dyDescent="0.25">
      <c r="A83" s="539" t="s">
        <v>362</v>
      </c>
      <c r="B83" s="464"/>
      <c r="C83" s="540">
        <f>C82/C81</f>
        <v>0.15711080606258729</v>
      </c>
      <c r="D83" s="540">
        <f t="shared" ref="D83:K83" si="12">D82/D81</f>
        <v>6.4353379635345501E-2</v>
      </c>
      <c r="E83" s="540">
        <f t="shared" si="12"/>
        <v>10.642857142857142</v>
      </c>
      <c r="F83" s="540">
        <f t="shared" si="12"/>
        <v>0.41610280618935219</v>
      </c>
      <c r="G83" s="540">
        <f t="shared" si="12"/>
        <v>-5.1926414439430753E-2</v>
      </c>
      <c r="H83" s="540">
        <f t="shared" si="12"/>
        <v>0.23031745541096102</v>
      </c>
      <c r="I83" s="540" t="e">
        <f t="shared" si="12"/>
        <v>#DIV/0!</v>
      </c>
      <c r="J83" s="540">
        <f t="shared" si="12"/>
        <v>3.6985815602836883E-2</v>
      </c>
      <c r="K83" s="540">
        <f t="shared" si="12"/>
        <v>-5.0615440640932263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D10" sqref="AD10"/>
      <selection pane="bottomLeft" activeCell="D5" sqref="D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818286</v>
      </c>
      <c r="D5" s="481">
        <v>165653</v>
      </c>
      <c r="E5" s="466"/>
      <c r="F5" s="548">
        <v>37025</v>
      </c>
      <c r="G5" s="466">
        <v>18463</v>
      </c>
      <c r="H5" s="466"/>
      <c r="I5" s="466">
        <v>14822</v>
      </c>
      <c r="J5" s="467">
        <v>44908</v>
      </c>
      <c r="K5" s="466">
        <v>14723</v>
      </c>
    </row>
    <row r="6" spans="1:12" ht="15" x14ac:dyDescent="0.2">
      <c r="A6" s="463" t="s">
        <v>1761</v>
      </c>
      <c r="B6" s="470">
        <v>1130</v>
      </c>
      <c r="C6" s="466">
        <v>8983</v>
      </c>
      <c r="D6" s="466"/>
      <c r="E6" s="475"/>
      <c r="F6" s="475"/>
      <c r="G6" s="468"/>
      <c r="H6" s="468"/>
      <c r="I6" s="468"/>
      <c r="J6" s="468"/>
      <c r="K6" s="468"/>
    </row>
    <row r="7" spans="1:12" x14ac:dyDescent="0.2">
      <c r="A7" s="463" t="s">
        <v>112</v>
      </c>
      <c r="B7" s="549">
        <v>1140</v>
      </c>
      <c r="C7" s="466">
        <v>4991</v>
      </c>
      <c r="D7" s="466"/>
      <c r="E7" s="468"/>
      <c r="F7" s="467"/>
      <c r="G7" s="467"/>
      <c r="H7" s="467"/>
      <c r="I7" s="468"/>
      <c r="J7" s="468"/>
      <c r="K7" s="468"/>
    </row>
    <row r="8" spans="1:12" x14ac:dyDescent="0.2">
      <c r="A8" s="463" t="s">
        <v>433</v>
      </c>
      <c r="B8" s="470">
        <v>1150</v>
      </c>
      <c r="C8" s="475"/>
      <c r="D8" s="475"/>
      <c r="E8" s="477"/>
      <c r="F8" s="477"/>
      <c r="G8" s="481">
        <v>1997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832260</v>
      </c>
      <c r="D12" s="1729">
        <f t="shared" si="0"/>
        <v>165653</v>
      </c>
      <c r="E12" s="1729">
        <f t="shared" si="0"/>
        <v>0</v>
      </c>
      <c r="F12" s="1729">
        <f t="shared" si="0"/>
        <v>37025</v>
      </c>
      <c r="G12" s="1729">
        <f t="shared" si="0"/>
        <v>20460</v>
      </c>
      <c r="H12" s="1729">
        <f t="shared" si="0"/>
        <v>0</v>
      </c>
      <c r="I12" s="1729">
        <f t="shared" si="0"/>
        <v>14822</v>
      </c>
      <c r="J12" s="1729">
        <f t="shared" si="0"/>
        <v>44908</v>
      </c>
      <c r="K12" s="1710">
        <f t="shared" si="0"/>
        <v>14723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56212</v>
      </c>
      <c r="D16" s="466"/>
      <c r="E16" s="466"/>
      <c r="F16" s="466"/>
      <c r="G16" s="466">
        <v>852</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56212</v>
      </c>
      <c r="D18" s="1732">
        <f t="shared" ref="D18:K18" si="1">SUM(D14:D17)</f>
        <v>0</v>
      </c>
      <c r="E18" s="1732">
        <f t="shared" si="1"/>
        <v>0</v>
      </c>
      <c r="F18" s="1732">
        <f t="shared" si="1"/>
        <v>0</v>
      </c>
      <c r="G18" s="1732">
        <f t="shared" si="1"/>
        <v>852</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6559</v>
      </c>
      <c r="D65" s="466">
        <v>191</v>
      </c>
      <c r="E65" s="466"/>
      <c r="F65" s="467">
        <v>9</v>
      </c>
      <c r="G65" s="466">
        <v>27</v>
      </c>
      <c r="H65" s="466"/>
      <c r="I65" s="466">
        <v>2</v>
      </c>
      <c r="J65" s="467">
        <v>7</v>
      </c>
      <c r="K65" s="466">
        <v>10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6559</v>
      </c>
      <c r="D67" s="1710">
        <f t="shared" ref="D67:K67" si="2">SUM(D65:D66)</f>
        <v>191</v>
      </c>
      <c r="E67" s="1710">
        <f t="shared" si="2"/>
        <v>0</v>
      </c>
      <c r="F67" s="1710">
        <f t="shared" si="2"/>
        <v>9</v>
      </c>
      <c r="G67" s="1710">
        <f t="shared" si="2"/>
        <v>27</v>
      </c>
      <c r="H67" s="1710">
        <f t="shared" si="2"/>
        <v>0</v>
      </c>
      <c r="I67" s="1710">
        <f t="shared" si="2"/>
        <v>2</v>
      </c>
      <c r="J67" s="1710">
        <f t="shared" si="2"/>
        <v>7</v>
      </c>
      <c r="K67" s="1710">
        <f t="shared" si="2"/>
        <v>10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155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430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585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1652</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1652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2725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2725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20</v>
      </c>
      <c r="D95" s="551"/>
      <c r="E95" s="521"/>
      <c r="F95" s="521"/>
      <c r="G95" s="521"/>
      <c r="H95" s="521"/>
      <c r="I95" s="521"/>
      <c r="J95" s="521"/>
      <c r="K95" s="521"/>
    </row>
    <row r="96" spans="1:11" ht="12.75" customHeight="1" x14ac:dyDescent="0.2">
      <c r="A96" s="463" t="s">
        <v>409</v>
      </c>
      <c r="B96" s="470">
        <v>1920</v>
      </c>
      <c r="C96" s="551">
        <v>5888</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2309</v>
      </c>
      <c r="D99" s="466">
        <v>5638</v>
      </c>
      <c r="E99" s="466"/>
      <c r="F99" s="466"/>
      <c r="G99" s="466"/>
      <c r="H99" s="466"/>
      <c r="I99" s="468"/>
      <c r="J99" s="467">
        <v>1174</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51614</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719</v>
      </c>
      <c r="D107" s="466"/>
      <c r="E107" s="466"/>
      <c r="F107" s="466">
        <v>32</v>
      </c>
      <c r="G107" s="466"/>
      <c r="H107" s="466"/>
      <c r="I107" s="466"/>
      <c r="J107" s="467"/>
      <c r="K107" s="466"/>
    </row>
    <row r="108" spans="1:12" ht="12.75" customHeight="1" thickBot="1" x14ac:dyDescent="0.25">
      <c r="A108" s="1730" t="s">
        <v>508</v>
      </c>
      <c r="B108" s="1734"/>
      <c r="C108" s="1729">
        <f>SUM(C95:C107)</f>
        <v>8936</v>
      </c>
      <c r="D108" s="1729">
        <f t="shared" ref="D108:K108" si="3">SUM(D95:D107)</f>
        <v>5638</v>
      </c>
      <c r="E108" s="1729">
        <f t="shared" si="3"/>
        <v>0</v>
      </c>
      <c r="F108" s="1729">
        <f t="shared" si="3"/>
        <v>32</v>
      </c>
      <c r="G108" s="1729">
        <f t="shared" si="3"/>
        <v>0</v>
      </c>
      <c r="H108" s="1729">
        <f t="shared" si="3"/>
        <v>51614</v>
      </c>
      <c r="I108" s="1729">
        <f t="shared" si="3"/>
        <v>0</v>
      </c>
      <c r="J108" s="1729">
        <f t="shared" si="3"/>
        <v>1174</v>
      </c>
      <c r="K108" s="1710">
        <f t="shared" si="3"/>
        <v>0</v>
      </c>
    </row>
    <row r="109" spans="1:12" ht="14.25" thickTop="1" thickBot="1" x14ac:dyDescent="0.25">
      <c r="A109" s="1735" t="s">
        <v>266</v>
      </c>
      <c r="B109" s="1736" t="s">
        <v>591</v>
      </c>
      <c r="C109" s="1737">
        <f t="shared" ref="C109:K109" si="4">SUM(C12,C18,C40,C63,C67,C75,C82,C93,C108,)</f>
        <v>908929</v>
      </c>
      <c r="D109" s="1737">
        <f t="shared" si="4"/>
        <v>171482</v>
      </c>
      <c r="E109" s="1737">
        <f t="shared" si="4"/>
        <v>0</v>
      </c>
      <c r="F109" s="1737">
        <f t="shared" si="4"/>
        <v>37066</v>
      </c>
      <c r="G109" s="1737">
        <f t="shared" si="4"/>
        <v>21339</v>
      </c>
      <c r="H109" s="1737">
        <f t="shared" si="4"/>
        <v>51614</v>
      </c>
      <c r="I109" s="1737">
        <f t="shared" si="4"/>
        <v>14824</v>
      </c>
      <c r="J109" s="1737">
        <f t="shared" si="4"/>
        <v>46089</v>
      </c>
      <c r="K109" s="1724">
        <f t="shared" si="4"/>
        <v>14733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134650</v>
      </c>
      <c r="D117" s="481"/>
      <c r="E117" s="466"/>
      <c r="F117" s="481">
        <v>25000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134650</v>
      </c>
      <c r="D121" s="1729">
        <f t="shared" si="5"/>
        <v>0</v>
      </c>
      <c r="E121" s="1729">
        <f t="shared" si="5"/>
        <v>0</v>
      </c>
      <c r="F121" s="1729">
        <f t="shared" si="5"/>
        <v>25000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12577</v>
      </c>
      <c r="D124" s="561"/>
      <c r="E124" s="468"/>
      <c r="F124" s="548"/>
      <c r="G124" s="468"/>
      <c r="H124" s="468"/>
      <c r="I124" s="468"/>
      <c r="J124" s="468"/>
      <c r="K124" s="468"/>
    </row>
    <row r="125" spans="1:11" ht="12.75" customHeight="1" x14ac:dyDescent="0.2">
      <c r="A125" s="463" t="s">
        <v>1521</v>
      </c>
      <c r="B125" s="562">
        <v>3105</v>
      </c>
      <c r="C125" s="466">
        <v>7632</v>
      </c>
      <c r="D125" s="561"/>
      <c r="E125" s="468"/>
      <c r="F125" s="466"/>
      <c r="G125" s="468"/>
      <c r="H125" s="468"/>
      <c r="I125" s="468"/>
      <c r="J125" s="468"/>
      <c r="K125" s="468"/>
    </row>
    <row r="126" spans="1:11" ht="12.75" customHeight="1" x14ac:dyDescent="0.2">
      <c r="A126" s="463" t="s">
        <v>922</v>
      </c>
      <c r="B126" s="562">
        <v>3110</v>
      </c>
      <c r="C126" s="551">
        <v>5800</v>
      </c>
      <c r="D126" s="466"/>
      <c r="E126" s="468"/>
      <c r="F126" s="466"/>
      <c r="G126" s="468"/>
      <c r="H126" s="468"/>
      <c r="I126" s="468"/>
      <c r="J126" s="468"/>
      <c r="K126" s="468"/>
    </row>
    <row r="127" spans="1:11" ht="12.75" customHeight="1" x14ac:dyDescent="0.2">
      <c r="A127" s="463" t="s">
        <v>107</v>
      </c>
      <c r="B127" s="562">
        <v>3120</v>
      </c>
      <c r="C127" s="466">
        <v>65238</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91247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812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52464</v>
      </c>
      <c r="G151" s="467"/>
      <c r="H151" s="468"/>
      <c r="I151" s="468"/>
      <c r="J151" s="468"/>
      <c r="K151" s="468"/>
    </row>
    <row r="152" spans="1:11" ht="12.75" customHeight="1" x14ac:dyDescent="0.2">
      <c r="A152" s="463" t="s">
        <v>1117</v>
      </c>
      <c r="B152" s="562">
        <v>3510</v>
      </c>
      <c r="C152" s="551"/>
      <c r="D152" s="466"/>
      <c r="E152" s="561"/>
      <c r="F152" s="466">
        <v>12445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64909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92059</v>
      </c>
      <c r="D172" s="1744">
        <f t="shared" si="6"/>
        <v>0</v>
      </c>
      <c r="E172" s="1744">
        <f t="shared" si="6"/>
        <v>0</v>
      </c>
      <c r="F172" s="1744">
        <f t="shared" si="6"/>
        <v>64909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226709</v>
      </c>
      <c r="D173" s="1737">
        <f>SUM(D121,D172)</f>
        <v>0</v>
      </c>
      <c r="E173" s="1737">
        <f>SUM(E121,E172)</f>
        <v>0</v>
      </c>
      <c r="F173" s="1737">
        <f t="shared" ref="F173:K173" si="7">SUM(F121,F172)</f>
        <v>89909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8481</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8481</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31981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15159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3145</v>
      </c>
      <c r="D200" s="468"/>
      <c r="E200" s="561"/>
      <c r="F200" s="468"/>
      <c r="G200" s="585"/>
      <c r="H200" s="468"/>
      <c r="I200" s="468"/>
      <c r="J200" s="468"/>
      <c r="K200" s="468"/>
    </row>
    <row r="201" spans="1:11" ht="12.75" customHeight="1" thickBot="1" x14ac:dyDescent="0.25">
      <c r="A201" s="1730" t="s">
        <v>569</v>
      </c>
      <c r="B201" s="1731"/>
      <c r="C201" s="1710">
        <f>SUM(C193:C200)</f>
        <v>50285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26486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26486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v>6106</v>
      </c>
      <c r="D215" s="466"/>
      <c r="E215" s="468"/>
      <c r="F215" s="466"/>
      <c r="G215" s="466"/>
      <c r="H215" s="468"/>
      <c r="I215" s="468"/>
      <c r="J215" s="468"/>
      <c r="K215" s="468"/>
    </row>
    <row r="216" spans="1:11" ht="12.75" customHeight="1" thickBot="1" x14ac:dyDescent="0.25">
      <c r="A216" s="1730" t="s">
        <v>944</v>
      </c>
      <c r="B216" s="1731"/>
      <c r="C216" s="1729">
        <f>SUM(C213:C215)</f>
        <v>6106</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109</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16075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16184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4037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111579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111579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1247217</v>
      </c>
      <c r="D275" s="1737">
        <f t="shared" si="12"/>
        <v>171482</v>
      </c>
      <c r="E275" s="1737">
        <f t="shared" si="12"/>
        <v>0</v>
      </c>
      <c r="F275" s="1737">
        <f t="shared" si="12"/>
        <v>126975</v>
      </c>
      <c r="G275" s="1737">
        <f t="shared" si="12"/>
        <v>21339</v>
      </c>
      <c r="H275" s="1737">
        <f t="shared" si="12"/>
        <v>51614</v>
      </c>
      <c r="I275" s="1737">
        <f t="shared" si="12"/>
        <v>14824</v>
      </c>
      <c r="J275" s="1737">
        <f t="shared" si="12"/>
        <v>46089</v>
      </c>
      <c r="K275" s="1724">
        <f t="shared" si="12"/>
        <v>14733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94" activePane="bottomLeft" state="frozen"/>
      <selection activeCell="AD10" sqref="AD10"/>
      <selection pane="bottomLeft" activeCell="AD10" sqref="AD1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413787</v>
      </c>
      <c r="D5" s="466">
        <v>74595</v>
      </c>
      <c r="E5" s="466">
        <v>23707</v>
      </c>
      <c r="F5" s="466">
        <v>29363</v>
      </c>
      <c r="G5" s="466"/>
      <c r="H5" s="466"/>
      <c r="I5" s="467"/>
      <c r="J5" s="467"/>
      <c r="K5" s="1693">
        <f>SUM(C5:J5)</f>
        <v>541452</v>
      </c>
      <c r="L5" s="466">
        <v>651000</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v>52836</v>
      </c>
      <c r="D8" s="466">
        <v>4927</v>
      </c>
      <c r="E8" s="466">
        <v>245</v>
      </c>
      <c r="F8" s="466">
        <v>4047</v>
      </c>
      <c r="G8" s="466"/>
      <c r="H8" s="466"/>
      <c r="I8" s="467"/>
      <c r="J8" s="467"/>
      <c r="K8" s="1693">
        <f t="shared" si="0"/>
        <v>62055</v>
      </c>
      <c r="L8" s="466">
        <v>52500</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v>5445</v>
      </c>
      <c r="D10" s="466">
        <v>3730</v>
      </c>
      <c r="E10" s="466">
        <v>8615</v>
      </c>
      <c r="F10" s="466">
        <v>4637</v>
      </c>
      <c r="G10" s="466"/>
      <c r="H10" s="466"/>
      <c r="I10" s="467"/>
      <c r="J10" s="467"/>
      <c r="K10" s="1693">
        <f t="shared" si="0"/>
        <v>22427</v>
      </c>
      <c r="L10" s="466">
        <v>41300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c r="G13" s="466"/>
      <c r="H13" s="466"/>
      <c r="I13" s="467"/>
      <c r="J13" s="467"/>
      <c r="K13" s="1693">
        <f t="shared" si="0"/>
        <v>0</v>
      </c>
      <c r="L13" s="466">
        <v>0</v>
      </c>
    </row>
    <row r="14" spans="1:14" x14ac:dyDescent="0.2">
      <c r="A14" s="1526" t="s">
        <v>1020</v>
      </c>
      <c r="B14" s="615">
        <v>1500</v>
      </c>
      <c r="C14" s="466"/>
      <c r="D14" s="466"/>
      <c r="E14" s="466">
        <v>2654</v>
      </c>
      <c r="F14" s="466">
        <v>165</v>
      </c>
      <c r="G14" s="466"/>
      <c r="H14" s="466"/>
      <c r="I14" s="467"/>
      <c r="J14" s="467"/>
      <c r="K14" s="1693">
        <f t="shared" si="0"/>
        <v>2819</v>
      </c>
      <c r="L14" s="466">
        <v>8700</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5300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v>292</v>
      </c>
      <c r="I30" s="617"/>
      <c r="J30" s="477"/>
      <c r="K30" s="1693">
        <f t="shared" si="0"/>
        <v>292</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472068</v>
      </c>
      <c r="D33" s="1692">
        <f t="shared" ref="D33:L33" si="1">SUM(D5:D32)</f>
        <v>83252</v>
      </c>
      <c r="E33" s="1692">
        <f t="shared" si="1"/>
        <v>35221</v>
      </c>
      <c r="F33" s="1692">
        <f t="shared" si="1"/>
        <v>38212</v>
      </c>
      <c r="G33" s="1692">
        <f t="shared" si="1"/>
        <v>0</v>
      </c>
      <c r="H33" s="1692">
        <f t="shared" si="1"/>
        <v>292</v>
      </c>
      <c r="I33" s="1692">
        <f t="shared" si="1"/>
        <v>0</v>
      </c>
      <c r="J33" s="1692">
        <f t="shared" si="1"/>
        <v>0</v>
      </c>
      <c r="K33" s="1692">
        <f t="shared" si="1"/>
        <v>629045</v>
      </c>
      <c r="L33" s="1692">
        <f t="shared" si="1"/>
        <v>758800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0</v>
      </c>
    </row>
    <row r="37" spans="1:14" x14ac:dyDescent="0.2">
      <c r="A37" s="1526" t="s">
        <v>1151</v>
      </c>
      <c r="B37" s="615">
        <v>2120</v>
      </c>
      <c r="C37" s="466"/>
      <c r="D37" s="466"/>
      <c r="E37" s="466"/>
      <c r="F37" s="466"/>
      <c r="G37" s="466"/>
      <c r="H37" s="466"/>
      <c r="I37" s="467"/>
      <c r="J37" s="467"/>
      <c r="K37" s="1693">
        <f t="shared" si="2"/>
        <v>0</v>
      </c>
      <c r="L37" s="466">
        <v>0</v>
      </c>
    </row>
    <row r="38" spans="1:14" x14ac:dyDescent="0.2">
      <c r="A38" s="1526" t="s">
        <v>207</v>
      </c>
      <c r="B38" s="615">
        <v>2130</v>
      </c>
      <c r="C38" s="466"/>
      <c r="D38" s="466"/>
      <c r="E38" s="466"/>
      <c r="F38" s="466"/>
      <c r="G38" s="466"/>
      <c r="H38" s="466"/>
      <c r="I38" s="467"/>
      <c r="J38" s="467"/>
      <c r="K38" s="1693">
        <f t="shared" si="2"/>
        <v>0</v>
      </c>
      <c r="L38" s="466">
        <v>0</v>
      </c>
    </row>
    <row r="39" spans="1:14" x14ac:dyDescent="0.2">
      <c r="A39" s="1526" t="s">
        <v>208</v>
      </c>
      <c r="B39" s="615">
        <v>2140</v>
      </c>
      <c r="C39" s="466"/>
      <c r="D39" s="466"/>
      <c r="E39" s="466">
        <v>2681</v>
      </c>
      <c r="F39" s="466"/>
      <c r="G39" s="466"/>
      <c r="H39" s="466"/>
      <c r="I39" s="467"/>
      <c r="J39" s="467"/>
      <c r="K39" s="1693">
        <f t="shared" si="2"/>
        <v>2681</v>
      </c>
      <c r="L39" s="466">
        <v>4100</v>
      </c>
    </row>
    <row r="40" spans="1:14" x14ac:dyDescent="0.2">
      <c r="A40" s="1526" t="s">
        <v>209</v>
      </c>
      <c r="B40" s="615">
        <v>2150</v>
      </c>
      <c r="C40" s="466"/>
      <c r="D40" s="466"/>
      <c r="E40" s="466">
        <v>7190</v>
      </c>
      <c r="F40" s="466"/>
      <c r="G40" s="466"/>
      <c r="H40" s="466"/>
      <c r="I40" s="467"/>
      <c r="J40" s="467"/>
      <c r="K40" s="1693">
        <f t="shared" si="2"/>
        <v>7190</v>
      </c>
      <c r="L40" s="466">
        <v>7000</v>
      </c>
    </row>
    <row r="41" spans="1:14" x14ac:dyDescent="0.2">
      <c r="A41" s="1526" t="s">
        <v>1768</v>
      </c>
      <c r="B41" s="615">
        <v>2190</v>
      </c>
      <c r="C41" s="466"/>
      <c r="D41" s="466"/>
      <c r="E41" s="466">
        <v>1569</v>
      </c>
      <c r="F41" s="466"/>
      <c r="G41" s="466"/>
      <c r="H41" s="466"/>
      <c r="I41" s="467"/>
      <c r="J41" s="467"/>
      <c r="K41" s="1693">
        <f t="shared" si="2"/>
        <v>1569</v>
      </c>
      <c r="L41" s="466">
        <v>3960</v>
      </c>
    </row>
    <row r="42" spans="1:14" ht="12.75" customHeight="1" thickBot="1" x14ac:dyDescent="0.25">
      <c r="A42" s="1690" t="s">
        <v>581</v>
      </c>
      <c r="B42" s="1691" t="s">
        <v>740</v>
      </c>
      <c r="C42" s="1692">
        <f>SUM(C36:C41)</f>
        <v>0</v>
      </c>
      <c r="D42" s="1692">
        <f t="shared" ref="D42:L42" si="3">SUM(D36:D41)</f>
        <v>0</v>
      </c>
      <c r="E42" s="1692">
        <f t="shared" si="3"/>
        <v>11440</v>
      </c>
      <c r="F42" s="1692">
        <f t="shared" si="3"/>
        <v>0</v>
      </c>
      <c r="G42" s="1692">
        <f t="shared" si="3"/>
        <v>0</v>
      </c>
      <c r="H42" s="1692">
        <f t="shared" si="3"/>
        <v>0</v>
      </c>
      <c r="I42" s="1692">
        <f t="shared" si="3"/>
        <v>0</v>
      </c>
      <c r="J42" s="1692">
        <f t="shared" si="3"/>
        <v>0</v>
      </c>
      <c r="K42" s="1692">
        <f t="shared" si="3"/>
        <v>11440</v>
      </c>
      <c r="L42" s="1692">
        <f t="shared" si="3"/>
        <v>15060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8643</v>
      </c>
      <c r="F44" s="481">
        <v>4142</v>
      </c>
      <c r="G44" s="481">
        <v>5709</v>
      </c>
      <c r="H44" s="481"/>
      <c r="I44" s="467"/>
      <c r="J44" s="467"/>
      <c r="K44" s="1694">
        <f>SUM(C44:J44)</f>
        <v>18494</v>
      </c>
      <c r="L44" s="481">
        <v>28600</v>
      </c>
    </row>
    <row r="45" spans="1:14" x14ac:dyDescent="0.2">
      <c r="A45" s="1526" t="s">
        <v>869</v>
      </c>
      <c r="B45" s="615">
        <v>2220</v>
      </c>
      <c r="C45" s="466"/>
      <c r="D45" s="466"/>
      <c r="E45" s="466"/>
      <c r="F45" s="466">
        <v>2997</v>
      </c>
      <c r="G45" s="466"/>
      <c r="H45" s="466"/>
      <c r="I45" s="467"/>
      <c r="J45" s="467"/>
      <c r="K45" s="1694">
        <f>SUM(C45:J45)</f>
        <v>2997</v>
      </c>
      <c r="L45" s="466">
        <v>8900</v>
      </c>
    </row>
    <row r="46" spans="1:14" x14ac:dyDescent="0.2">
      <c r="A46" s="1526" t="s">
        <v>870</v>
      </c>
      <c r="B46" s="615">
        <v>2230</v>
      </c>
      <c r="C46" s="466"/>
      <c r="D46" s="466"/>
      <c r="E46" s="466">
        <v>914</v>
      </c>
      <c r="F46" s="466">
        <v>750</v>
      </c>
      <c r="G46" s="466"/>
      <c r="H46" s="466"/>
      <c r="I46" s="467"/>
      <c r="J46" s="467"/>
      <c r="K46" s="1694">
        <f>SUM(C46:J46)</f>
        <v>1664</v>
      </c>
      <c r="L46" s="466">
        <v>2400</v>
      </c>
    </row>
    <row r="47" spans="1:14" ht="12.75" customHeight="1" thickBot="1" x14ac:dyDescent="0.25">
      <c r="A47" s="1690" t="s">
        <v>582</v>
      </c>
      <c r="B47" s="1691" t="s">
        <v>32</v>
      </c>
      <c r="C47" s="1692">
        <f>SUM(C44:C46)</f>
        <v>0</v>
      </c>
      <c r="D47" s="1692">
        <f t="shared" ref="D47:K47" si="4">SUM(D44:D46)</f>
        <v>0</v>
      </c>
      <c r="E47" s="1692">
        <f t="shared" si="4"/>
        <v>9557</v>
      </c>
      <c r="F47" s="1692">
        <f t="shared" si="4"/>
        <v>7889</v>
      </c>
      <c r="G47" s="1692">
        <f t="shared" si="4"/>
        <v>5709</v>
      </c>
      <c r="H47" s="1692">
        <f t="shared" si="4"/>
        <v>0</v>
      </c>
      <c r="I47" s="1692">
        <f t="shared" si="4"/>
        <v>0</v>
      </c>
      <c r="J47" s="1692">
        <f t="shared" si="4"/>
        <v>0</v>
      </c>
      <c r="K47" s="1692">
        <f t="shared" si="4"/>
        <v>23155</v>
      </c>
      <c r="L47" s="1692">
        <f>SUM(L44:L46)</f>
        <v>39900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1800</v>
      </c>
      <c r="D49" s="481"/>
      <c r="E49" s="481">
        <v>7340</v>
      </c>
      <c r="F49" s="481">
        <v>753</v>
      </c>
      <c r="G49" s="481"/>
      <c r="H49" s="481"/>
      <c r="I49" s="467"/>
      <c r="J49" s="467"/>
      <c r="K49" s="1694">
        <f>SUM(C49:J49)</f>
        <v>9893</v>
      </c>
      <c r="L49" s="481">
        <v>7150</v>
      </c>
    </row>
    <row r="50" spans="1:14" x14ac:dyDescent="0.2">
      <c r="A50" s="1526" t="s">
        <v>872</v>
      </c>
      <c r="B50" s="615">
        <v>2320</v>
      </c>
      <c r="C50" s="466">
        <v>108837</v>
      </c>
      <c r="D50" s="466">
        <v>13921</v>
      </c>
      <c r="E50" s="466">
        <v>3112</v>
      </c>
      <c r="F50" s="466">
        <v>224</v>
      </c>
      <c r="G50" s="466"/>
      <c r="H50" s="466"/>
      <c r="I50" s="467"/>
      <c r="J50" s="467"/>
      <c r="K50" s="1694">
        <f>SUM(C50:J50)</f>
        <v>126094</v>
      </c>
      <c r="L50" s="466">
        <v>97500</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v>3600</v>
      </c>
      <c r="F52" s="474"/>
      <c r="G52" s="474"/>
      <c r="H52" s="474"/>
      <c r="I52" s="474"/>
      <c r="J52" s="474"/>
      <c r="K52" s="1694">
        <f>SUM(C52:J52)</f>
        <v>3600</v>
      </c>
      <c r="L52" s="474">
        <v>0</v>
      </c>
    </row>
    <row r="53" spans="1:14" ht="12.75" customHeight="1" thickBot="1" x14ac:dyDescent="0.25">
      <c r="A53" s="1690" t="s">
        <v>741</v>
      </c>
      <c r="B53" s="1691" t="s">
        <v>33</v>
      </c>
      <c r="C53" s="1692">
        <f>SUM(C49:C52)</f>
        <v>110637</v>
      </c>
      <c r="D53" s="1692">
        <f t="shared" ref="D53:L53" si="5">SUM(D49:D52)</f>
        <v>13921</v>
      </c>
      <c r="E53" s="1692">
        <f t="shared" si="5"/>
        <v>14052</v>
      </c>
      <c r="F53" s="1692">
        <f t="shared" si="5"/>
        <v>977</v>
      </c>
      <c r="G53" s="1692">
        <f t="shared" si="5"/>
        <v>0</v>
      </c>
      <c r="H53" s="1692">
        <f t="shared" si="5"/>
        <v>0</v>
      </c>
      <c r="I53" s="1692">
        <f t="shared" si="5"/>
        <v>0</v>
      </c>
      <c r="J53" s="1692">
        <f t="shared" si="5"/>
        <v>0</v>
      </c>
      <c r="K53" s="1692">
        <f t="shared" si="5"/>
        <v>139587</v>
      </c>
      <c r="L53" s="1692">
        <f t="shared" si="5"/>
        <v>104650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v>0</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35178</v>
      </c>
      <c r="D60" s="466"/>
      <c r="E60" s="466">
        <v>4521</v>
      </c>
      <c r="F60" s="466"/>
      <c r="G60" s="466"/>
      <c r="H60" s="466"/>
      <c r="I60" s="467"/>
      <c r="J60" s="467"/>
      <c r="K60" s="1694">
        <f t="shared" si="7"/>
        <v>39699</v>
      </c>
      <c r="L60" s="466">
        <v>17900</v>
      </c>
      <c r="M60" s="610"/>
      <c r="N60" s="610"/>
    </row>
    <row r="61" spans="1:14" s="343" customFormat="1" x14ac:dyDescent="0.2">
      <c r="A61" s="1526" t="s">
        <v>206</v>
      </c>
      <c r="B61" s="615">
        <v>2540</v>
      </c>
      <c r="C61" s="466"/>
      <c r="D61" s="466"/>
      <c r="E61" s="466"/>
      <c r="F61" s="466"/>
      <c r="G61" s="466"/>
      <c r="H61" s="466"/>
      <c r="I61" s="467"/>
      <c r="J61" s="467"/>
      <c r="K61" s="1694">
        <f t="shared" si="7"/>
        <v>0</v>
      </c>
      <c r="L61" s="466">
        <v>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19143</v>
      </c>
      <c r="D63" s="466"/>
      <c r="E63" s="466">
        <v>112</v>
      </c>
      <c r="F63" s="466">
        <v>64622</v>
      </c>
      <c r="G63" s="466"/>
      <c r="H63" s="466"/>
      <c r="I63" s="467"/>
      <c r="J63" s="467"/>
      <c r="K63" s="1694">
        <f t="shared" si="7"/>
        <v>83877</v>
      </c>
      <c r="L63" s="466">
        <v>96900</v>
      </c>
    </row>
    <row r="64" spans="1:14" s="610" customFormat="1" x14ac:dyDescent="0.2">
      <c r="A64" s="1531" t="s">
        <v>103</v>
      </c>
      <c r="B64" s="631">
        <v>2570</v>
      </c>
      <c r="C64" s="481"/>
      <c r="D64" s="481"/>
      <c r="E64" s="481">
        <v>4293</v>
      </c>
      <c r="F64" s="481"/>
      <c r="G64" s="481"/>
      <c r="H64" s="481"/>
      <c r="I64" s="467"/>
      <c r="J64" s="467"/>
      <c r="K64" s="1694">
        <f t="shared" si="7"/>
        <v>4293</v>
      </c>
      <c r="L64" s="481">
        <v>4500</v>
      </c>
    </row>
    <row r="65" spans="1:14" s="343" customFormat="1" ht="12.75" customHeight="1" thickBot="1" x14ac:dyDescent="0.25">
      <c r="A65" s="1690" t="s">
        <v>743</v>
      </c>
      <c r="B65" s="1691" t="s">
        <v>35</v>
      </c>
      <c r="C65" s="1692">
        <f>SUM(C59:C64)</f>
        <v>54321</v>
      </c>
      <c r="D65" s="1692">
        <f t="shared" ref="D65:L65" si="8">SUM(D59:D64)</f>
        <v>0</v>
      </c>
      <c r="E65" s="1692">
        <f t="shared" si="8"/>
        <v>8926</v>
      </c>
      <c r="F65" s="1692">
        <f t="shared" si="8"/>
        <v>64622</v>
      </c>
      <c r="G65" s="1692">
        <f t="shared" si="8"/>
        <v>0</v>
      </c>
      <c r="H65" s="1692">
        <f t="shared" si="8"/>
        <v>0</v>
      </c>
      <c r="I65" s="1692">
        <f t="shared" si="8"/>
        <v>0</v>
      </c>
      <c r="J65" s="1692">
        <f t="shared" si="8"/>
        <v>0</v>
      </c>
      <c r="K65" s="1692">
        <f t="shared" si="8"/>
        <v>127869</v>
      </c>
      <c r="L65" s="1692">
        <f t="shared" si="8"/>
        <v>119300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164958</v>
      </c>
      <c r="D74" s="1699">
        <f t="shared" ref="D74:K74" si="10">SUM(D42,D47,D53,D57,D65,D72,D73)</f>
        <v>13921</v>
      </c>
      <c r="E74" s="1699">
        <f t="shared" si="10"/>
        <v>43975</v>
      </c>
      <c r="F74" s="1699">
        <f t="shared" si="10"/>
        <v>73488</v>
      </c>
      <c r="G74" s="1699">
        <f t="shared" si="10"/>
        <v>5709</v>
      </c>
      <c r="H74" s="1699">
        <f t="shared" si="10"/>
        <v>0</v>
      </c>
      <c r="I74" s="1699">
        <f t="shared" si="10"/>
        <v>0</v>
      </c>
      <c r="J74" s="1699">
        <f t="shared" si="10"/>
        <v>0</v>
      </c>
      <c r="K74" s="1699">
        <f t="shared" si="10"/>
        <v>302051</v>
      </c>
      <c r="L74" s="1699">
        <f>SUM(L42,L47,L53,L57,L65,L72,L73)</f>
        <v>278910</v>
      </c>
    </row>
    <row r="75" spans="1:14" s="259" customFormat="1" ht="15.75" customHeight="1" thickTop="1" thickBot="1" x14ac:dyDescent="0.25">
      <c r="A75" s="1632" t="s">
        <v>49</v>
      </c>
      <c r="B75" s="1633" t="s">
        <v>596</v>
      </c>
      <c r="C75" s="573"/>
      <c r="D75" s="573"/>
      <c r="E75" s="573">
        <v>2277</v>
      </c>
      <c r="F75" s="573">
        <v>2480</v>
      </c>
      <c r="G75" s="573"/>
      <c r="H75" s="573"/>
      <c r="I75" s="531"/>
      <c r="J75" s="531"/>
      <c r="K75" s="1692">
        <f>SUM(C75:J75)</f>
        <v>4757</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31586</v>
      </c>
      <c r="F78" s="617"/>
      <c r="G78" s="617"/>
      <c r="H78" s="635"/>
      <c r="I78" s="477"/>
      <c r="J78" s="477"/>
      <c r="K78" s="1693">
        <f t="shared" ref="K78:K83" si="11">SUM(C78:J78)</f>
        <v>31586</v>
      </c>
      <c r="L78" s="481">
        <v>0</v>
      </c>
    </row>
    <row r="79" spans="1:14" x14ac:dyDescent="0.2">
      <c r="A79" s="1526" t="s">
        <v>322</v>
      </c>
      <c r="B79" s="615">
        <v>4120</v>
      </c>
      <c r="C79" s="617"/>
      <c r="D79" s="617"/>
      <c r="E79" s="466">
        <v>27052</v>
      </c>
      <c r="F79" s="617"/>
      <c r="G79" s="617"/>
      <c r="H79" s="466">
        <v>10971</v>
      </c>
      <c r="I79" s="477"/>
      <c r="J79" s="477"/>
      <c r="K79" s="1693">
        <f t="shared" si="11"/>
        <v>38023</v>
      </c>
      <c r="L79" s="466">
        <v>30000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v>3046</v>
      </c>
      <c r="I83" s="477"/>
      <c r="J83" s="477"/>
      <c r="K83" s="1693">
        <f t="shared" si="11"/>
        <v>3046</v>
      </c>
      <c r="L83" s="466">
        <v>0</v>
      </c>
    </row>
    <row r="84" spans="1:12" ht="13.5" thickBot="1" x14ac:dyDescent="0.25">
      <c r="A84" s="1690" t="s">
        <v>1565</v>
      </c>
      <c r="B84" s="1700">
        <v>4100</v>
      </c>
      <c r="C84" s="617"/>
      <c r="D84" s="617"/>
      <c r="E84" s="1692">
        <f>SUM(E78:E83)</f>
        <v>58638</v>
      </c>
      <c r="F84" s="617"/>
      <c r="G84" s="617"/>
      <c r="H84" s="1692">
        <f>SUM(H78:H83)</f>
        <v>14017</v>
      </c>
      <c r="I84" s="477"/>
      <c r="J84" s="477"/>
      <c r="K84" s="1692">
        <f>SUM(K78:K83)</f>
        <v>72655</v>
      </c>
      <c r="L84" s="1692">
        <f>SUM(L78:L83)</f>
        <v>30000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21000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21000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58638</v>
      </c>
      <c r="F102" s="617"/>
      <c r="G102" s="617"/>
      <c r="H102" s="1699">
        <f>SUM(H84,H92,H100,H101)</f>
        <v>14017</v>
      </c>
      <c r="I102" s="477"/>
      <c r="J102" s="477"/>
      <c r="K102" s="1699">
        <f>SUM(K84,K92,K100,K101)</f>
        <v>72655</v>
      </c>
      <c r="L102" s="1699">
        <f>SUM(L84,L92,L100,L101)</f>
        <v>51000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637026</v>
      </c>
      <c r="D114" s="1692">
        <f t="shared" ref="D114:K114" si="13">SUM(D33,D74,D75,D102,D112,D113)</f>
        <v>97173</v>
      </c>
      <c r="E114" s="1692">
        <f t="shared" si="13"/>
        <v>140111</v>
      </c>
      <c r="F114" s="1692">
        <f t="shared" si="13"/>
        <v>114180</v>
      </c>
      <c r="G114" s="1692">
        <f t="shared" si="13"/>
        <v>5709</v>
      </c>
      <c r="H114" s="1692">
        <f>SUM(H33,H74,H75,H102,H112,H113)</f>
        <v>14309</v>
      </c>
      <c r="I114" s="1692">
        <f t="shared" si="13"/>
        <v>0</v>
      </c>
      <c r="J114" s="1692">
        <f t="shared" si="13"/>
        <v>0</v>
      </c>
      <c r="K114" s="1692">
        <f t="shared" si="13"/>
        <v>1008508</v>
      </c>
      <c r="L114" s="1692">
        <f>SUM(L33,L74,L75,L102,L112,L113)</f>
        <v>1088710</v>
      </c>
    </row>
    <row r="115" spans="1:14" ht="13.5" thickTop="1" x14ac:dyDescent="0.2">
      <c r="A115" s="2174" t="s">
        <v>1053</v>
      </c>
      <c r="B115" s="2175"/>
      <c r="C115" s="619"/>
      <c r="D115" s="619"/>
      <c r="E115" s="619"/>
      <c r="F115" s="619"/>
      <c r="G115" s="619"/>
      <c r="H115" s="619"/>
      <c r="I115" s="619"/>
      <c r="J115" s="619"/>
      <c r="K115" s="1706">
        <f>'Revenues 9-14'!C275-'Expenditures 15-22'!K114</f>
        <v>238709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v>49353</v>
      </c>
      <c r="D124" s="466">
        <v>4097</v>
      </c>
      <c r="E124" s="466">
        <v>22001</v>
      </c>
      <c r="F124" s="466">
        <v>34646</v>
      </c>
      <c r="G124" s="466">
        <v>30632</v>
      </c>
      <c r="H124" s="466"/>
      <c r="I124" s="467"/>
      <c r="J124" s="467"/>
      <c r="K124" s="1692">
        <f>SUM(C124:J124)</f>
        <v>140729</v>
      </c>
      <c r="L124" s="466">
        <v>161000</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49353</v>
      </c>
      <c r="D127" s="1692">
        <f t="shared" ref="D127:L127" si="14">SUM(D122:D126)</f>
        <v>4097</v>
      </c>
      <c r="E127" s="1692">
        <f t="shared" si="14"/>
        <v>22001</v>
      </c>
      <c r="F127" s="1692">
        <f t="shared" si="14"/>
        <v>34646</v>
      </c>
      <c r="G127" s="1692">
        <f t="shared" si="14"/>
        <v>30632</v>
      </c>
      <c r="H127" s="1692">
        <f t="shared" si="14"/>
        <v>0</v>
      </c>
      <c r="I127" s="1692">
        <f t="shared" si="14"/>
        <v>0</v>
      </c>
      <c r="J127" s="1692">
        <f t="shared" si="14"/>
        <v>0</v>
      </c>
      <c r="K127" s="1692">
        <f t="shared" si="14"/>
        <v>140729</v>
      </c>
      <c r="L127" s="1692">
        <f t="shared" si="14"/>
        <v>161000</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49353</v>
      </c>
      <c r="D129" s="1699">
        <f t="shared" ref="D129:L129" si="15">SUM(D120,D127,D128)</f>
        <v>4097</v>
      </c>
      <c r="E129" s="1699">
        <f t="shared" si="15"/>
        <v>22001</v>
      </c>
      <c r="F129" s="1699">
        <f t="shared" si="15"/>
        <v>34646</v>
      </c>
      <c r="G129" s="1699">
        <f t="shared" si="15"/>
        <v>30632</v>
      </c>
      <c r="H129" s="1699">
        <f t="shared" si="15"/>
        <v>0</v>
      </c>
      <c r="I129" s="1699">
        <f t="shared" si="15"/>
        <v>0</v>
      </c>
      <c r="J129" s="1699">
        <f t="shared" si="15"/>
        <v>0</v>
      </c>
      <c r="K129" s="1699">
        <f t="shared" si="15"/>
        <v>140729</v>
      </c>
      <c r="L129" s="1699">
        <f t="shared" si="15"/>
        <v>161000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10000</v>
      </c>
    </row>
    <row r="151" spans="1:14" ht="12.75" customHeight="1" thickTop="1" thickBot="1" x14ac:dyDescent="0.25">
      <c r="A151" s="2191" t="s">
        <v>641</v>
      </c>
      <c r="B151" s="2171"/>
      <c r="C151" s="1692">
        <f>SUM(C129,C130,C139,C149,C150)</f>
        <v>49353</v>
      </c>
      <c r="D151" s="1692">
        <f t="shared" ref="D151:K151" si="16">SUM(D129,D130,D139,D149,D150)</f>
        <v>4097</v>
      </c>
      <c r="E151" s="1692">
        <f t="shared" si="16"/>
        <v>22001</v>
      </c>
      <c r="F151" s="1692">
        <f t="shared" si="16"/>
        <v>34646</v>
      </c>
      <c r="G151" s="1692">
        <f t="shared" si="16"/>
        <v>30632</v>
      </c>
      <c r="H151" s="1692">
        <f t="shared" si="16"/>
        <v>0</v>
      </c>
      <c r="I151" s="1692">
        <f t="shared" si="16"/>
        <v>0</v>
      </c>
      <c r="J151" s="1692">
        <f t="shared" si="16"/>
        <v>0</v>
      </c>
      <c r="K151" s="1692">
        <f t="shared" si="16"/>
        <v>140729</v>
      </c>
      <c r="L151" s="1692">
        <f>SUM(L129,L130,L139,L149,L150)</f>
        <v>171000</v>
      </c>
    </row>
    <row r="152" spans="1:14" ht="12.75" customHeight="1" thickTop="1" x14ac:dyDescent="0.2">
      <c r="A152" s="2194" t="s">
        <v>1240</v>
      </c>
      <c r="B152" s="2195"/>
      <c r="C152" s="619"/>
      <c r="D152" s="619"/>
      <c r="E152" s="619"/>
      <c r="F152" s="619"/>
      <c r="G152" s="619"/>
      <c r="H152" s="619"/>
      <c r="I152" s="619"/>
      <c r="J152" s="617"/>
      <c r="K152" s="1706">
        <f>'Revenues 9-14'!D275-'Expenditures 15-22'!K151</f>
        <v>30753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14404</v>
      </c>
      <c r="I169" s="617"/>
      <c r="J169" s="617"/>
      <c r="K169" s="1693">
        <f>SUM(C169:H169)</f>
        <v>14404</v>
      </c>
      <c r="L169" s="657">
        <v>0</v>
      </c>
    </row>
    <row r="170" spans="1:14" ht="33.75" customHeight="1" x14ac:dyDescent="0.2">
      <c r="A170" s="670" t="s">
        <v>1769</v>
      </c>
      <c r="B170" s="672" t="s">
        <v>31</v>
      </c>
      <c r="C170" s="617"/>
      <c r="D170" s="617"/>
      <c r="E170" s="617"/>
      <c r="F170" s="617"/>
      <c r="G170" s="617"/>
      <c r="H170" s="569">
        <v>17000</v>
      </c>
      <c r="I170" s="617"/>
      <c r="J170" s="617"/>
      <c r="K170" s="1693">
        <f>SUM(C170:J170)</f>
        <v>17000</v>
      </c>
      <c r="L170" s="569">
        <v>0</v>
      </c>
    </row>
    <row r="171" spans="1:14" ht="15.75" customHeight="1" x14ac:dyDescent="0.2">
      <c r="A171" s="622" t="s">
        <v>790</v>
      </c>
      <c r="B171" s="673" t="s">
        <v>86</v>
      </c>
      <c r="C171" s="617"/>
      <c r="D171" s="617"/>
      <c r="E171" s="466"/>
      <c r="F171" s="617"/>
      <c r="G171" s="617"/>
      <c r="H171" s="569">
        <v>500</v>
      </c>
      <c r="I171" s="477"/>
      <c r="J171" s="617"/>
      <c r="K171" s="1693">
        <f>SUM(C171:J171)</f>
        <v>500</v>
      </c>
      <c r="L171" s="569">
        <v>0</v>
      </c>
    </row>
    <row r="172" spans="1:14" ht="12.75" customHeight="1" thickBot="1" x14ac:dyDescent="0.25">
      <c r="A172" s="1690" t="s">
        <v>659</v>
      </c>
      <c r="B172" s="1691" t="s">
        <v>513</v>
      </c>
      <c r="C172" s="617"/>
      <c r="D172" s="617"/>
      <c r="E172" s="1699">
        <f>SUM(E168,E169,E170,E171)</f>
        <v>0</v>
      </c>
      <c r="F172" s="617"/>
      <c r="G172" s="617"/>
      <c r="H172" s="1699">
        <f>SUM(H168,H169,H170,H171)</f>
        <v>31904</v>
      </c>
      <c r="I172" s="639"/>
      <c r="J172" s="617"/>
      <c r="K172" s="1699">
        <f>SUM(K168,K169,K170,K171)</f>
        <v>31904</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31904</v>
      </c>
      <c r="I174" s="639"/>
      <c r="J174" s="617"/>
      <c r="K174" s="1699">
        <f>SUM(K160,K172,K173)</f>
        <v>31904</v>
      </c>
      <c r="L174" s="1699">
        <f>SUM(L160,L172,L173)</f>
        <v>0</v>
      </c>
    </row>
    <row r="175" spans="1:14" ht="13.5" thickTop="1" x14ac:dyDescent="0.2">
      <c r="A175" s="2174" t="s">
        <v>1053</v>
      </c>
      <c r="B175" s="2175"/>
      <c r="C175" s="617"/>
      <c r="D175" s="617"/>
      <c r="E175" s="617"/>
      <c r="F175" s="617"/>
      <c r="G175" s="617"/>
      <c r="H175" s="619"/>
      <c r="I175" s="617"/>
      <c r="J175" s="617"/>
      <c r="K175" s="1706">
        <f>'Revenues 9-14'!E275-'Expenditures 15-22'!K174</f>
        <v>-31904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36459</v>
      </c>
      <c r="D182" s="466"/>
      <c r="E182" s="466">
        <v>1317</v>
      </c>
      <c r="F182" s="466">
        <v>12204</v>
      </c>
      <c r="G182" s="466">
        <v>48129</v>
      </c>
      <c r="H182" s="466"/>
      <c r="I182" s="467"/>
      <c r="J182" s="467"/>
      <c r="K182" s="1693">
        <f>SUM(C182:J182)</f>
        <v>98109</v>
      </c>
      <c r="L182" s="466">
        <v>123900</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36459</v>
      </c>
      <c r="D184" s="1699">
        <f t="shared" ref="D184:J184" si="17">SUM(D180,D182,D183)</f>
        <v>0</v>
      </c>
      <c r="E184" s="1699">
        <f t="shared" si="17"/>
        <v>1317</v>
      </c>
      <c r="F184" s="1699">
        <f t="shared" si="17"/>
        <v>12204</v>
      </c>
      <c r="G184" s="1699">
        <f t="shared" si="17"/>
        <v>48129</v>
      </c>
      <c r="H184" s="1699">
        <f t="shared" si="17"/>
        <v>0</v>
      </c>
      <c r="I184" s="1699">
        <f t="shared" si="17"/>
        <v>0</v>
      </c>
      <c r="J184" s="1699">
        <f t="shared" si="17"/>
        <v>0</v>
      </c>
      <c r="K184" s="1699">
        <f>SUM(K180,K182,K183)</f>
        <v>98109</v>
      </c>
      <c r="L184" s="1699">
        <f>SUM(L180, L182:L183)</f>
        <v>123900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v>13000</v>
      </c>
      <c r="F188" s="617"/>
      <c r="G188" s="617"/>
      <c r="H188" s="466"/>
      <c r="I188" s="477"/>
      <c r="J188" s="617"/>
      <c r="K188" s="1693">
        <f t="shared" ref="K188:K193" si="18">SUM(E188,H188)</f>
        <v>13000</v>
      </c>
      <c r="L188" s="466">
        <v>13000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13000</v>
      </c>
      <c r="F194" s="617"/>
      <c r="G194" s="617"/>
      <c r="H194" s="1692">
        <f>SUM(H188:H193)</f>
        <v>0</v>
      </c>
      <c r="I194" s="477"/>
      <c r="J194" s="617"/>
      <c r="K194" s="1692">
        <f>SUM(K188:K193)</f>
        <v>13000</v>
      </c>
      <c r="L194" s="1692">
        <f>SUM(L188:L193)</f>
        <v>13000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13000</v>
      </c>
      <c r="F196" s="617"/>
      <c r="G196" s="617"/>
      <c r="H196" s="1699">
        <f>SUM(H194,H195)</f>
        <v>0</v>
      </c>
      <c r="I196" s="477"/>
      <c r="J196" s="617"/>
      <c r="K196" s="1699">
        <f>SUM(K194,K195)</f>
        <v>13000</v>
      </c>
      <c r="L196" s="1699">
        <f>SUM(L194,L195)</f>
        <v>13000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8000</v>
      </c>
    </row>
    <row r="210" spans="1:14" ht="12.75" customHeight="1" thickTop="1" thickBot="1" x14ac:dyDescent="0.25">
      <c r="A210" s="1714" t="s">
        <v>295</v>
      </c>
      <c r="B210" s="1715"/>
      <c r="C210" s="1692">
        <f>SUM(C184,C185)</f>
        <v>36459</v>
      </c>
      <c r="D210" s="1692">
        <f>SUM(D184,D185)</f>
        <v>0</v>
      </c>
      <c r="E210" s="1692">
        <f>SUM(E184,E185,E196)</f>
        <v>14317</v>
      </c>
      <c r="F210" s="1692">
        <f>SUM(F184,F185)</f>
        <v>12204</v>
      </c>
      <c r="G210" s="1692">
        <f>SUM(G184,G185)</f>
        <v>48129</v>
      </c>
      <c r="H210" s="1692">
        <f>SUM(H184,H185,H196,H208,H209)</f>
        <v>0</v>
      </c>
      <c r="I210" s="1692">
        <f>SUM(I184,I185)</f>
        <v>0</v>
      </c>
      <c r="J210" s="1692">
        <f>SUM(J184,J185)</f>
        <v>0</v>
      </c>
      <c r="K210" s="1693">
        <f>SUM(K184,K185,K196,K208,K209)</f>
        <v>111109</v>
      </c>
      <c r="L210" s="1692">
        <f>SUM(L184,L185,L196,L208,L209)</f>
        <v>144900</v>
      </c>
    </row>
    <row r="211" spans="1:14" ht="13.5" thickTop="1" x14ac:dyDescent="0.2">
      <c r="A211" s="2174" t="s">
        <v>1053</v>
      </c>
      <c r="B211" s="2175"/>
      <c r="C211" s="619"/>
      <c r="D211" s="619"/>
      <c r="E211" s="619"/>
      <c r="F211" s="619"/>
      <c r="G211" s="619"/>
      <c r="H211" s="619"/>
      <c r="I211" s="617"/>
      <c r="J211" s="617"/>
      <c r="K211" s="1706">
        <f>'Revenues 9-14'!F275-'Expenditures 15-22'!K210</f>
        <v>15866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7176</v>
      </c>
      <c r="E215" s="617"/>
      <c r="F215" s="617"/>
      <c r="G215" s="617"/>
      <c r="H215" s="617"/>
      <c r="I215" s="617"/>
      <c r="J215" s="617"/>
      <c r="K215" s="1693">
        <f>D215</f>
        <v>7176</v>
      </c>
      <c r="L215" s="466">
        <v>12000</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v>3297</v>
      </c>
      <c r="E217" s="617"/>
      <c r="F217" s="617"/>
      <c r="G217" s="617"/>
      <c r="H217" s="617"/>
      <c r="I217" s="617"/>
      <c r="J217" s="617"/>
      <c r="K217" s="1693">
        <f t="shared" si="19"/>
        <v>3297</v>
      </c>
      <c r="L217" s="466">
        <v>10000</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v>78</v>
      </c>
      <c r="E219" s="617"/>
      <c r="F219" s="617"/>
      <c r="G219" s="617"/>
      <c r="H219" s="617"/>
      <c r="I219" s="617"/>
      <c r="J219" s="617"/>
      <c r="K219" s="1693">
        <f t="shared" si="19"/>
        <v>78</v>
      </c>
      <c r="L219" s="466">
        <v>7500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c r="E223" s="617"/>
      <c r="F223" s="617"/>
      <c r="G223" s="617"/>
      <c r="H223" s="617"/>
      <c r="I223" s="617"/>
      <c r="J223" s="617"/>
      <c r="K223" s="1693">
        <f t="shared" si="19"/>
        <v>0</v>
      </c>
      <c r="L223" s="466">
        <v>2200</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10551</v>
      </c>
      <c r="E229" s="617"/>
      <c r="F229" s="617"/>
      <c r="G229" s="617"/>
      <c r="H229" s="617"/>
      <c r="I229" s="617"/>
      <c r="J229" s="617"/>
      <c r="K229" s="1692">
        <f>SUM(K215:K228)</f>
        <v>10551</v>
      </c>
      <c r="L229" s="1692">
        <f>SUM(L215:L228)</f>
        <v>31700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0</v>
      </c>
    </row>
    <row r="233" spans="1:12" x14ac:dyDescent="0.2">
      <c r="A233" s="1526" t="s">
        <v>1151</v>
      </c>
      <c r="B233" s="615">
        <v>2120</v>
      </c>
      <c r="C233" s="617"/>
      <c r="D233" s="466"/>
      <c r="E233" s="617"/>
      <c r="F233" s="617"/>
      <c r="G233" s="617"/>
      <c r="H233" s="617"/>
      <c r="I233" s="617"/>
      <c r="J233" s="617"/>
      <c r="K233" s="1693">
        <f t="shared" si="20"/>
        <v>0</v>
      </c>
      <c r="L233" s="466">
        <v>0</v>
      </c>
    </row>
    <row r="234" spans="1:12" x14ac:dyDescent="0.2">
      <c r="A234" s="1526" t="s">
        <v>207</v>
      </c>
      <c r="B234" s="615">
        <v>2130</v>
      </c>
      <c r="C234" s="617"/>
      <c r="D234" s="466"/>
      <c r="E234" s="617"/>
      <c r="F234" s="617"/>
      <c r="G234" s="617"/>
      <c r="H234" s="617"/>
      <c r="I234" s="617"/>
      <c r="J234" s="617"/>
      <c r="K234" s="1693">
        <f t="shared" si="20"/>
        <v>0</v>
      </c>
      <c r="L234" s="466">
        <v>0</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c r="E236" s="617"/>
      <c r="F236" s="617"/>
      <c r="G236" s="617"/>
      <c r="H236" s="617"/>
      <c r="I236" s="617"/>
      <c r="J236" s="617"/>
      <c r="K236" s="1693">
        <f t="shared" si="20"/>
        <v>0</v>
      </c>
      <c r="L236" s="466">
        <v>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v>0</v>
      </c>
    </row>
    <row r="241" spans="1:12" x14ac:dyDescent="0.2">
      <c r="A241" s="1526" t="s">
        <v>869</v>
      </c>
      <c r="B241" s="615">
        <v>2220</v>
      </c>
      <c r="C241" s="617"/>
      <c r="D241" s="466"/>
      <c r="E241" s="617"/>
      <c r="F241" s="617"/>
      <c r="G241" s="617"/>
      <c r="H241" s="617"/>
      <c r="I241" s="617"/>
      <c r="J241" s="617"/>
      <c r="K241" s="1694">
        <f>D241</f>
        <v>0</v>
      </c>
      <c r="L241" s="466">
        <v>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338</v>
      </c>
      <c r="E245" s="617"/>
      <c r="F245" s="617"/>
      <c r="G245" s="617"/>
      <c r="H245" s="617"/>
      <c r="I245" s="617"/>
      <c r="J245" s="617"/>
      <c r="K245" s="1694">
        <f>D245</f>
        <v>338</v>
      </c>
      <c r="L245" s="481">
        <v>550</v>
      </c>
    </row>
    <row r="246" spans="1:12" x14ac:dyDescent="0.2">
      <c r="A246" s="1526" t="s">
        <v>872</v>
      </c>
      <c r="B246" s="615">
        <v>2320</v>
      </c>
      <c r="C246" s="617"/>
      <c r="D246" s="466">
        <v>1578</v>
      </c>
      <c r="E246" s="617"/>
      <c r="F246" s="617"/>
      <c r="G246" s="617"/>
      <c r="H246" s="617"/>
      <c r="I246" s="617"/>
      <c r="J246" s="617"/>
      <c r="K246" s="1694">
        <f t="shared" ref="K246:K256" si="21">D246</f>
        <v>1578</v>
      </c>
      <c r="L246" s="466">
        <v>1250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v>29</v>
      </c>
      <c r="E254" s="617"/>
      <c r="F254" s="617"/>
      <c r="G254" s="617"/>
      <c r="H254" s="617"/>
      <c r="I254" s="617"/>
      <c r="J254" s="617"/>
      <c r="K254" s="1694">
        <f t="shared" si="21"/>
        <v>29</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1945</v>
      </c>
      <c r="E257" s="617"/>
      <c r="F257" s="617"/>
      <c r="G257" s="617"/>
      <c r="H257" s="617"/>
      <c r="I257" s="617"/>
      <c r="J257" s="617"/>
      <c r="K257" s="1692">
        <f>SUM(K245:K256)</f>
        <v>1945</v>
      </c>
      <c r="L257" s="1692">
        <f>SUM(L245:L256)</f>
        <v>1800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v>0</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v>6598</v>
      </c>
      <c r="E264" s="617"/>
      <c r="F264" s="617"/>
      <c r="G264" s="617"/>
      <c r="H264" s="617"/>
      <c r="I264" s="617"/>
      <c r="J264" s="617"/>
      <c r="K264" s="1694">
        <f t="shared" ref="K264:K269" si="22">D264</f>
        <v>6598</v>
      </c>
      <c r="L264" s="466">
        <v>3000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9227</v>
      </c>
      <c r="E266" s="617"/>
      <c r="F266" s="617"/>
      <c r="G266" s="617"/>
      <c r="H266" s="617"/>
      <c r="I266" s="617"/>
      <c r="J266" s="617"/>
      <c r="K266" s="1694">
        <f t="shared" si="22"/>
        <v>9227</v>
      </c>
      <c r="L266" s="466">
        <v>12000</v>
      </c>
    </row>
    <row r="267" spans="1:14" x14ac:dyDescent="0.2">
      <c r="A267" s="1526" t="s">
        <v>1010</v>
      </c>
      <c r="B267" s="615">
        <v>2550</v>
      </c>
      <c r="C267" s="617"/>
      <c r="D267" s="466">
        <v>5000</v>
      </c>
      <c r="E267" s="617"/>
      <c r="F267" s="617"/>
      <c r="G267" s="617"/>
      <c r="H267" s="617"/>
      <c r="I267" s="617"/>
      <c r="J267" s="617"/>
      <c r="K267" s="1694">
        <f t="shared" si="22"/>
        <v>5000</v>
      </c>
      <c r="L267" s="466">
        <v>1100</v>
      </c>
    </row>
    <row r="268" spans="1:14" x14ac:dyDescent="0.2">
      <c r="A268" s="1526" t="s">
        <v>102</v>
      </c>
      <c r="B268" s="615">
        <v>2560</v>
      </c>
      <c r="C268" s="617"/>
      <c r="D268" s="466">
        <v>3590</v>
      </c>
      <c r="E268" s="617"/>
      <c r="F268" s="617"/>
      <c r="G268" s="617"/>
      <c r="H268" s="617"/>
      <c r="I268" s="617"/>
      <c r="J268" s="617"/>
      <c r="K268" s="1694">
        <f t="shared" si="22"/>
        <v>3590</v>
      </c>
      <c r="L268" s="466">
        <v>5000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24415</v>
      </c>
      <c r="E270" s="617"/>
      <c r="F270" s="617"/>
      <c r="G270" s="617"/>
      <c r="H270" s="617"/>
      <c r="I270" s="617"/>
      <c r="J270" s="617"/>
      <c r="K270" s="1692">
        <f>SUM(K263:K269)</f>
        <v>24415</v>
      </c>
      <c r="L270" s="1692">
        <f>SUM(L263:L269)</f>
        <v>21100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26360</v>
      </c>
      <c r="E279" s="617"/>
      <c r="F279" s="617"/>
      <c r="G279" s="617"/>
      <c r="H279" s="617"/>
      <c r="I279" s="617"/>
      <c r="J279" s="617"/>
      <c r="K279" s="1699">
        <f>SUM(K238,K243,K257,K261,K270,K277,K278)</f>
        <v>26360</v>
      </c>
      <c r="L279" s="1699">
        <f>SUM(L238,L243,L257,L261,L270,L277,L278)</f>
        <v>22900</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2" t="s">
        <v>526</v>
      </c>
      <c r="B295" s="2193"/>
      <c r="C295" s="617"/>
      <c r="D295" s="1692">
        <f>SUM(D229,D279,D280,D285)</f>
        <v>36911</v>
      </c>
      <c r="E295" s="617"/>
      <c r="F295" s="617"/>
      <c r="G295" s="617"/>
      <c r="H295" s="1692">
        <f>H293</f>
        <v>0</v>
      </c>
      <c r="I295" s="617"/>
      <c r="J295" s="617"/>
      <c r="K295" s="1692">
        <f>SUM(K229,K279,K280,K285,K293,K294)</f>
        <v>36911</v>
      </c>
      <c r="L295" s="1692">
        <f>SUM(L229,L279,L280,L285,L293,L294)</f>
        <v>54600</v>
      </c>
    </row>
    <row r="296" spans="1:14" ht="13.5" thickTop="1" x14ac:dyDescent="0.2">
      <c r="A296" s="2174" t="s">
        <v>1053</v>
      </c>
      <c r="B296" s="2175"/>
      <c r="C296" s="617"/>
      <c r="D296" s="619"/>
      <c r="E296" s="617"/>
      <c r="F296" s="617"/>
      <c r="G296" s="617"/>
      <c r="H296" s="688"/>
      <c r="I296" s="617"/>
      <c r="J296" s="617"/>
      <c r="K296" s="1706">
        <f>'Revenues 9-14'!G275-'Expenditures 15-22'!K295</f>
        <v>-15572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3114</v>
      </c>
      <c r="F301" s="466"/>
      <c r="G301" s="466"/>
      <c r="H301" s="466"/>
      <c r="I301" s="467"/>
      <c r="J301" s="467"/>
      <c r="K301" s="1693">
        <f>SUM(C301:J301)</f>
        <v>3114</v>
      </c>
      <c r="L301" s="467">
        <v>6500</v>
      </c>
    </row>
    <row r="302" spans="1:14" ht="13.5" customHeight="1" x14ac:dyDescent="0.2">
      <c r="A302" s="1539" t="s">
        <v>1037</v>
      </c>
      <c r="B302" s="615" t="s">
        <v>595</v>
      </c>
      <c r="C302" s="466"/>
      <c r="D302" s="466"/>
      <c r="E302" s="466"/>
      <c r="F302" s="466"/>
      <c r="G302" s="466">
        <v>1098</v>
      </c>
      <c r="H302" s="466"/>
      <c r="I302" s="467"/>
      <c r="J302" s="467"/>
      <c r="K302" s="1693">
        <f>SUM(C302:J302)</f>
        <v>1098</v>
      </c>
      <c r="L302" s="466">
        <v>0</v>
      </c>
    </row>
    <row r="303" spans="1:14" ht="12.75" customHeight="1" thickBot="1" x14ac:dyDescent="0.25">
      <c r="A303" s="1690" t="s">
        <v>865</v>
      </c>
      <c r="B303" s="1691" t="s">
        <v>590</v>
      </c>
      <c r="C303" s="1699">
        <f>SUM(C301:C302)</f>
        <v>0</v>
      </c>
      <c r="D303" s="1699">
        <f t="shared" ref="D303:L303" si="23">SUM(D301:D302)</f>
        <v>0</v>
      </c>
      <c r="E303" s="1699">
        <f t="shared" si="23"/>
        <v>3114</v>
      </c>
      <c r="F303" s="1699">
        <f t="shared" si="23"/>
        <v>0</v>
      </c>
      <c r="G303" s="1699">
        <f t="shared" si="23"/>
        <v>1098</v>
      </c>
      <c r="H303" s="1699">
        <f t="shared" si="23"/>
        <v>0</v>
      </c>
      <c r="I303" s="1699">
        <f t="shared" si="23"/>
        <v>0</v>
      </c>
      <c r="J303" s="1699">
        <f t="shared" si="23"/>
        <v>0</v>
      </c>
      <c r="K303" s="1699">
        <f t="shared" si="23"/>
        <v>4212</v>
      </c>
      <c r="L303" s="1699">
        <f t="shared" si="23"/>
        <v>6500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10000</v>
      </c>
    </row>
    <row r="312" spans="1:14" s="675" customFormat="1" ht="12.75" customHeight="1" thickTop="1" thickBot="1" x14ac:dyDescent="0.25">
      <c r="A312" s="2189" t="s">
        <v>295</v>
      </c>
      <c r="B312" s="2190"/>
      <c r="C312" s="1692">
        <f>SUM(C303)</f>
        <v>0</v>
      </c>
      <c r="D312" s="1692">
        <f>SUM(D303)</f>
        <v>0</v>
      </c>
      <c r="E312" s="1692">
        <f>SUM(E303,E310)</f>
        <v>3114</v>
      </c>
      <c r="F312" s="1692">
        <f>SUM(F303)</f>
        <v>0</v>
      </c>
      <c r="G312" s="1692">
        <f>SUM(G303)</f>
        <v>1098</v>
      </c>
      <c r="H312" s="1692">
        <f>SUM(H303,H310)</f>
        <v>0</v>
      </c>
      <c r="I312" s="1692">
        <f>SUM(I303)</f>
        <v>0</v>
      </c>
      <c r="J312" s="1692">
        <f>SUM(J303)</f>
        <v>0</v>
      </c>
      <c r="K312" s="1692">
        <f>SUM(K303,K310,K311)</f>
        <v>4212</v>
      </c>
      <c r="L312" s="1692">
        <f>SUM(L303,L310,L311)</f>
        <v>16500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47402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v>787</v>
      </c>
      <c r="F320" s="467"/>
      <c r="G320" s="467"/>
      <c r="H320" s="467"/>
      <c r="I320" s="467"/>
      <c r="J320" s="467"/>
      <c r="K320" s="1693">
        <f t="shared" ref="K320:K327" si="24">SUM(C320:J320)</f>
        <v>787</v>
      </c>
      <c r="L320" s="467">
        <v>18600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v>32846</v>
      </c>
      <c r="F322" s="467"/>
      <c r="G322" s="467"/>
      <c r="H322" s="467"/>
      <c r="I322" s="467"/>
      <c r="J322" s="467"/>
      <c r="K322" s="1693">
        <f t="shared" si="24"/>
        <v>32846</v>
      </c>
      <c r="L322" s="467">
        <v>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v>2000</v>
      </c>
      <c r="D325" s="467">
        <v>256</v>
      </c>
      <c r="E325" s="467">
        <v>3054</v>
      </c>
      <c r="F325" s="467"/>
      <c r="G325" s="467"/>
      <c r="H325" s="467"/>
      <c r="I325" s="467"/>
      <c r="J325" s="467"/>
      <c r="K325" s="1693">
        <f t="shared" si="24"/>
        <v>5310</v>
      </c>
      <c r="L325" s="467">
        <v>8100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v>4017</v>
      </c>
      <c r="F327" s="467"/>
      <c r="G327" s="467"/>
      <c r="H327" s="467"/>
      <c r="I327" s="467"/>
      <c r="J327" s="467"/>
      <c r="K327" s="1693">
        <f t="shared" si="24"/>
        <v>4017</v>
      </c>
      <c r="L327" s="467">
        <v>3800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14000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2000</v>
      </c>
      <c r="D330" s="1692">
        <f t="shared" ref="D330:J330" si="25">SUM(D319:D329)</f>
        <v>256</v>
      </c>
      <c r="E330" s="1692">
        <f t="shared" si="25"/>
        <v>40704</v>
      </c>
      <c r="F330" s="1692">
        <f t="shared" si="25"/>
        <v>0</v>
      </c>
      <c r="G330" s="1692">
        <f t="shared" si="25"/>
        <v>0</v>
      </c>
      <c r="H330" s="1692">
        <f t="shared" si="25"/>
        <v>0</v>
      </c>
      <c r="I330" s="1692">
        <f t="shared" si="25"/>
        <v>0</v>
      </c>
      <c r="J330" s="1692">
        <f t="shared" si="25"/>
        <v>0</v>
      </c>
      <c r="K330" s="1692">
        <f>SUM(K319:K329)</f>
        <v>42960</v>
      </c>
      <c r="L330" s="1692">
        <f>SUM(L319:L329)</f>
        <v>44500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2000</v>
      </c>
      <c r="D342" s="1692">
        <f>SUM(D330)</f>
        <v>256</v>
      </c>
      <c r="E342" s="1692">
        <f>SUM(E330)</f>
        <v>40704</v>
      </c>
      <c r="F342" s="1692">
        <f>SUM(F330)</f>
        <v>0</v>
      </c>
      <c r="G342" s="1692">
        <f>SUM(G330)</f>
        <v>0</v>
      </c>
      <c r="H342" s="1692">
        <f>SUM(H330,H334,H340)</f>
        <v>0</v>
      </c>
      <c r="I342" s="1692">
        <f>SUM(I330)</f>
        <v>0</v>
      </c>
      <c r="J342" s="1692">
        <f>SUM(J330)</f>
        <v>0</v>
      </c>
      <c r="K342" s="1692">
        <f>SUM(K330,K334,K340)</f>
        <v>42960</v>
      </c>
      <c r="L342" s="1699">
        <f>SUM(L330,L340,L341)</f>
        <v>44500</v>
      </c>
    </row>
    <row r="343" spans="1:14" ht="12.75" customHeight="1" thickTop="1" x14ac:dyDescent="0.2">
      <c r="A343" s="2187" t="s">
        <v>1053</v>
      </c>
      <c r="B343" s="2188"/>
      <c r="C343" s="617"/>
      <c r="D343" s="617"/>
      <c r="E343" s="617"/>
      <c r="F343" s="617"/>
      <c r="G343" s="617"/>
      <c r="H343" s="617"/>
      <c r="I343" s="617"/>
      <c r="J343" s="617"/>
      <c r="K343" s="1706">
        <f>'Revenues 9-14'!J275-'Expenditures 15-22'!K342</f>
        <v>3129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245</v>
      </c>
      <c r="F348" s="466"/>
      <c r="G348" s="466">
        <v>26587</v>
      </c>
      <c r="H348" s="466"/>
      <c r="I348" s="467"/>
      <c r="J348" s="467"/>
      <c r="K348" s="1693">
        <f>SUM(C348:J348)</f>
        <v>26832</v>
      </c>
      <c r="L348" s="466">
        <v>25000</v>
      </c>
    </row>
    <row r="349" spans="1:14" x14ac:dyDescent="0.2">
      <c r="A349" s="1526" t="s">
        <v>206</v>
      </c>
      <c r="B349" s="615">
        <v>2540</v>
      </c>
      <c r="C349" s="466"/>
      <c r="D349" s="466"/>
      <c r="E349" s="466">
        <v>1800</v>
      </c>
      <c r="F349" s="466"/>
      <c r="G349" s="466"/>
      <c r="H349" s="466"/>
      <c r="I349" s="467"/>
      <c r="J349" s="467"/>
      <c r="K349" s="1693">
        <f>SUM(C349:J349)</f>
        <v>1800</v>
      </c>
      <c r="L349" s="466">
        <v>0</v>
      </c>
    </row>
    <row r="350" spans="1:14" ht="12.75" customHeight="1" thickBot="1" x14ac:dyDescent="0.25">
      <c r="A350" s="1690" t="s">
        <v>743</v>
      </c>
      <c r="B350" s="1691" t="s">
        <v>35</v>
      </c>
      <c r="C350" s="1692">
        <f>SUM(C348:C349)</f>
        <v>0</v>
      </c>
      <c r="D350" s="1692">
        <f t="shared" ref="D350:L350" si="26">SUM(D348:D349)</f>
        <v>0</v>
      </c>
      <c r="E350" s="1692">
        <f t="shared" si="26"/>
        <v>2045</v>
      </c>
      <c r="F350" s="1692">
        <f t="shared" si="26"/>
        <v>0</v>
      </c>
      <c r="G350" s="1692">
        <f t="shared" si="26"/>
        <v>26587</v>
      </c>
      <c r="H350" s="1692">
        <f t="shared" si="26"/>
        <v>0</v>
      </c>
      <c r="I350" s="1692">
        <f t="shared" si="26"/>
        <v>0</v>
      </c>
      <c r="J350" s="1692">
        <f t="shared" si="26"/>
        <v>0</v>
      </c>
      <c r="K350" s="1692">
        <f t="shared" si="26"/>
        <v>28632</v>
      </c>
      <c r="L350" s="1692">
        <f t="shared" si="26"/>
        <v>25000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2045</v>
      </c>
      <c r="F352" s="1692">
        <f t="shared" si="27"/>
        <v>0</v>
      </c>
      <c r="G352" s="1692">
        <f t="shared" si="27"/>
        <v>26587</v>
      </c>
      <c r="H352" s="1692">
        <f t="shared" si="27"/>
        <v>0</v>
      </c>
      <c r="I352" s="1692">
        <f t="shared" si="27"/>
        <v>0</v>
      </c>
      <c r="J352" s="1692">
        <f t="shared" si="27"/>
        <v>0</v>
      </c>
      <c r="K352" s="1692">
        <f t="shared" si="27"/>
        <v>28632</v>
      </c>
      <c r="L352" s="1692">
        <f t="shared" si="27"/>
        <v>25000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2045</v>
      </c>
      <c r="F367" s="1692">
        <f t="shared" si="28"/>
        <v>0</v>
      </c>
      <c r="G367" s="1692">
        <f t="shared" si="28"/>
        <v>26587</v>
      </c>
      <c r="H367" s="1692">
        <f t="shared" si="28"/>
        <v>0</v>
      </c>
      <c r="I367" s="1692">
        <f t="shared" si="28"/>
        <v>0</v>
      </c>
      <c r="J367" s="1692">
        <f t="shared" si="28"/>
        <v>0</v>
      </c>
      <c r="K367" s="1692">
        <f t="shared" si="28"/>
        <v>28632</v>
      </c>
      <c r="L367" s="1692">
        <f t="shared" si="28"/>
        <v>25000</v>
      </c>
    </row>
    <row r="368" spans="1:14" ht="13.5" thickTop="1" x14ac:dyDescent="0.2">
      <c r="A368" s="2174" t="s">
        <v>1053</v>
      </c>
      <c r="B368" s="2175"/>
      <c r="C368" s="655"/>
      <c r="D368" s="655"/>
      <c r="E368" s="627"/>
      <c r="F368" s="627"/>
      <c r="G368" s="627"/>
      <c r="H368" s="627"/>
      <c r="I368" s="627"/>
      <c r="J368" s="624"/>
      <c r="K368" s="1693">
        <f>'Revenues 9-14'!K275-'Expenditures 15-22'!K367</f>
        <v>-13899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2.xml><?xml version="1.0" encoding="utf-8"?>
<ds:datastoreItem xmlns:ds="http://schemas.openxmlformats.org/officeDocument/2006/customXml" ds:itemID="{9914F8B6-F742-48D8-9F13-1076A7DC5E6F}">
  <ds:schemaRefs>
    <ds:schemaRef ds:uri="http://schemas.microsoft.com/office/2006/metadata/properties"/>
    <ds:schemaRef ds:uri="4d435f69-8686-490b-bd6d-b153bf22ab50"/>
    <ds:schemaRef ds:uri="d21dc803-237d-4c68-8692-8d731fd29118"/>
    <ds:schemaRef ds:uri="http://purl.org/dc/dcmitype/"/>
    <ds:schemaRef ds:uri="http://purl.org/dc/terms/"/>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6ce3111e-7420-4802-b50a-75d4e9a0b98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2018-09-14T20:14:51Z</cp:lastPrinted>
  <dcterms:created xsi:type="dcterms:W3CDTF">2003-10-29T19:06:34Z</dcterms:created>
  <dcterms:modified xsi:type="dcterms:W3CDTF">2018-10-09T16:38:44Z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