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4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A" sheetId="183" r:id="rId30"/>
    <sheet name=" SEFA-B"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SEFA-A'!$B$1:$M$46</definedName>
    <definedName name="_xlnm.Print_Area" localSheetId="30">' SEFA-B'!$B$1:$M$46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calcMode="manual"/>
</workbook>
</file>

<file path=xl/calcChain.xml><?xml version="1.0" encoding="utf-8"?>
<calcChain xmlns="http://schemas.openxmlformats.org/spreadsheetml/2006/main">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9" i="181"/>
  <c r="G19" i="181" s="1"/>
  <c r="E19" i="181"/>
  <c r="F18" i="181"/>
  <c r="G18" i="181" s="1"/>
  <c r="E18" i="181"/>
  <c r="F17" i="181"/>
  <c r="G17" i="181" s="1"/>
  <c r="E17" i="181"/>
  <c r="F20" i="181"/>
  <c r="G20" i="181" s="1"/>
  <c r="E20" i="181"/>
  <c r="D21" i="181" l="1"/>
  <c r="D80" i="36" l="1"/>
  <c r="B7797" i="106"/>
  <c r="E21" i="181"/>
  <c r="E16" i="181"/>
  <c r="G21" i="181" l="1"/>
  <c r="G40" i="108" l="1"/>
  <c r="B7799" i="106"/>
  <c r="F2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1" i="183" l="1"/>
  <c r="B1" i="184"/>
  <c r="B2" i="184"/>
  <c r="B2" i="183"/>
  <c r="B2" i="179"/>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B7718" i="106" s="1"/>
  <c r="D7718" i="106" s="1"/>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9" i="36"/>
  <c r="D71" i="36"/>
  <c r="D72" i="36"/>
  <c r="D79" i="36"/>
  <c r="B64" i="127"/>
  <c r="B65" i="127"/>
  <c r="D26" i="108"/>
  <c r="E26" i="108"/>
  <c r="F26" i="108"/>
  <c r="G26" i="108"/>
  <c r="D27" i="108"/>
  <c r="E27" i="108"/>
  <c r="F27" i="108"/>
  <c r="G27" i="108"/>
  <c r="E28" i="108"/>
  <c r="F31" i="108"/>
  <c r="F36"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11" i="37"/>
  <c r="D22" i="37"/>
  <c r="H22" i="37"/>
  <c r="J22" i="37"/>
  <c r="L22" i="37"/>
  <c r="D24" i="37"/>
  <c r="B4270" i="106" s="1"/>
  <c r="D4270" i="106" s="1"/>
  <c r="D4" i="7"/>
  <c r="B1760" i="106" s="1"/>
  <c r="D1760" i="106" s="1"/>
  <c r="D9" i="7"/>
  <c r="B1767" i="106" s="1"/>
  <c r="D1767" i="106" s="1"/>
  <c r="B5770" i="106"/>
  <c r="D5770" i="106" s="1"/>
  <c r="F136" i="34"/>
  <c r="F131" i="34"/>
  <c r="F130" i="34"/>
  <c r="F128" i="34"/>
  <c r="F127" i="34"/>
  <c r="B5847" i="106"/>
  <c r="D5847" i="106" s="1"/>
  <c r="B5752" i="106"/>
  <c r="D5752" i="106" s="1"/>
  <c r="B5599" i="106"/>
  <c r="D5599" i="106" s="1"/>
  <c r="K274" i="5"/>
  <c r="H173" i="5"/>
  <c r="B5906" i="106" s="1"/>
  <c r="D5906" i="106" s="1"/>
  <c r="C172" i="5"/>
  <c r="B5214" i="106" s="1"/>
  <c r="D5214" i="106" s="1"/>
  <c r="H109" i="5"/>
  <c r="B6025" i="106" s="1"/>
  <c r="D6025" i="106" s="1"/>
  <c r="F106" i="34"/>
  <c r="D7" i="7"/>
  <c r="B1763" i="106" s="1"/>
  <c r="D1763" i="106" s="1"/>
  <c r="H6" i="4"/>
  <c r="B2656" i="106" s="1"/>
  <c r="D2656" i="106" s="1"/>
  <c r="B1746" i="106"/>
  <c r="D1746" i="106" s="1"/>
  <c r="D17" i="7"/>
  <c r="B4104" i="106" s="1"/>
  <c r="D4104" i="106" s="1"/>
  <c r="D11" i="7"/>
  <c r="B1768" i="106" s="1"/>
  <c r="D1768" i="106" s="1"/>
  <c r="D15" i="7"/>
  <c r="B1772" i="106" s="1"/>
  <c r="D1772" i="106" s="1"/>
  <c r="I173" i="5" l="1"/>
  <c r="B4216" i="106" s="1"/>
  <c r="D4216" i="106" s="1"/>
  <c r="F172" i="5"/>
  <c r="B5644" i="106" s="1"/>
  <c r="D5644" i="106" s="1"/>
  <c r="D7245" i="106"/>
  <c r="I342" i="29"/>
  <c r="B7222" i="106" s="1"/>
  <c r="D7222" i="106" s="1"/>
  <c r="K28" i="118"/>
  <c r="O27" i="118" s="1"/>
  <c r="O29" i="118" s="1"/>
  <c r="B3649" i="106"/>
  <c r="D3649" i="106" s="1"/>
  <c r="G367" i="29"/>
  <c r="B3621" i="106"/>
  <c r="D3621" i="106" s="1"/>
  <c r="C367" i="29"/>
  <c r="K285" i="29"/>
  <c r="K24" i="12"/>
  <c r="B7733" i="106" s="1"/>
  <c r="D7733" i="106" s="1"/>
  <c r="B4268" i="106"/>
  <c r="D4268" i="106" s="1"/>
  <c r="H367" i="29"/>
  <c r="K76" i="4"/>
  <c r="B3586" i="106" s="1"/>
  <c r="D3586" i="106" s="1"/>
  <c r="B1329" i="106"/>
  <c r="D1329" i="106" s="1"/>
  <c r="F61" i="34"/>
  <c r="D54" i="36"/>
  <c r="L5" i="11"/>
  <c r="B2056" i="106" s="1"/>
  <c r="D2056" i="106" s="1"/>
  <c r="K26" i="12"/>
  <c r="B7743" i="106" s="1"/>
  <c r="D7743" i="106" s="1"/>
  <c r="D68" i="36"/>
  <c r="F19" i="7"/>
  <c r="B1807" i="106" s="1"/>
  <c r="D1807" i="106" s="1"/>
  <c r="D12" i="7"/>
  <c r="B1769" i="106" s="1"/>
  <c r="D1769" i="106" s="1"/>
  <c r="H33" i="118"/>
  <c r="F77" i="4"/>
  <c r="B3255" i="106" s="1"/>
  <c r="D3255" i="106" s="1"/>
  <c r="G38" i="108"/>
  <c r="E38" i="108"/>
  <c r="G210" i="29"/>
  <c r="K184" i="29"/>
  <c r="F13" i="4" s="1"/>
  <c r="B2596" i="106" s="1"/>
  <c r="D2596" i="106" s="1"/>
  <c r="B1410" i="106"/>
  <c r="D1410" i="106" s="1"/>
  <c r="K350" i="29"/>
  <c r="H4" i="4"/>
  <c r="B2655" i="106" s="1"/>
  <c r="D2655" i="106" s="1"/>
  <c r="E30" i="108"/>
  <c r="G4" i="4"/>
  <c r="B2603" i="106" s="1"/>
  <c r="D2603" i="106" s="1"/>
  <c r="G29" i="108"/>
  <c r="E29" i="108"/>
  <c r="F111" i="34"/>
  <c r="F28" i="108"/>
  <c r="F41" i="108" s="1"/>
  <c r="G43" i="108" s="1"/>
  <c r="D109" i="5"/>
  <c r="D5" i="7"/>
  <c r="B1761" i="106" s="1"/>
  <c r="D1761" i="106" s="1"/>
  <c r="B6995" i="106"/>
  <c r="D6995" i="106" s="1"/>
  <c r="G30" i="108"/>
  <c r="C173" i="5"/>
  <c r="B5223" i="106" s="1"/>
  <c r="D5223" i="106" s="1"/>
  <c r="D13" i="7"/>
  <c r="B3726" i="106" s="1"/>
  <c r="D3726" i="106" s="1"/>
  <c r="C109" i="5"/>
  <c r="B5121" i="106" s="1"/>
  <c r="D5121" i="106" s="1"/>
  <c r="L367" i="29"/>
  <c r="L342" i="29"/>
  <c r="L312" i="29"/>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D19" i="7"/>
  <c r="B1775" i="106" s="1"/>
  <c r="D1775" i="106" s="1"/>
  <c r="B7270" i="106"/>
  <c r="F274" i="5" l="1"/>
  <c r="F275" i="5" s="1"/>
  <c r="F73" i="34"/>
  <c r="G15" i="4"/>
  <c r="B6032" i="106" s="1"/>
  <c r="D6032" i="106" s="1"/>
  <c r="L16" i="11"/>
  <c r="B2061" i="106" s="1"/>
  <c r="D2061" i="106" s="1"/>
  <c r="B2031" i="106"/>
  <c r="D2031" i="106" s="1"/>
  <c r="D44" i="36"/>
  <c r="B1365" i="106"/>
  <c r="D1365" i="106" s="1"/>
  <c r="F65" i="34"/>
  <c r="B3670" i="106"/>
  <c r="D3670" i="106" s="1"/>
  <c r="K352" i="29"/>
  <c r="B5356" i="106"/>
  <c r="D5356" i="106" s="1"/>
  <c r="D4" i="4"/>
  <c r="B2564" i="106" s="1"/>
  <c r="D2564" i="106" s="1"/>
  <c r="C114" i="29"/>
  <c r="B757" i="106" s="1"/>
  <c r="D757" i="106" s="1"/>
  <c r="C6" i="4"/>
  <c r="B2553" i="106" s="1"/>
  <c r="D2553" i="106" s="1"/>
  <c r="C4" i="4"/>
  <c r="B2551" i="106" s="1"/>
  <c r="D2551"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K367" i="29"/>
  <c r="F8" i="4"/>
  <c r="D8" i="146" s="1"/>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10" i="4" l="1"/>
  <c r="B4125" i="106" s="1"/>
  <c r="D4125" i="106" s="1"/>
  <c r="B2595" i="106"/>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<sst xmlns="http://schemas.openxmlformats.org/spreadsheetml/2006/main" count="5223" uniqueCount="2124">
  <si>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</si>
  <si>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</si>
  <si>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</si>
  <si>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</si>
  <si>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</si>
  <si>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</si>
  <si>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</si>
  <si>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</si>
  <si>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</si>
  <si>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</si>
  <si>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</si>
  <si>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</si>
  <si>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</si>
  <si>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</si>
  <si>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</si>
  <si>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</si>
  <si>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</si>
  <si>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</si>
  <si>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</si>
  <si>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</si>
  <si>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</si>
  <si>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</si>
  <si>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</si>
  <si>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</si>
  <si>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</si>
  <si>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</si>
  <si>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</si>
  <si>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</si>
  <si>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</si>
  <si>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</si>
  <si>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</si>
  <si>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</si>
  <si>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</si>
  <si>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</si>
  <si>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</si>
  <si>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</si>
  <si>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</si>
  <si>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</si>
  <si>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</si>
  <si>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</si>
  <si>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</si>
  <si>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</si>
  <si>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</si>
  <si>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</si>
  <si>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</si>
  <si>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</si>
  <si>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</si>
  <si>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</si>
  <si>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</si>
  <si>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</si>
  <si>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</si>
  <si>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</si>
  <si>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</si>
  <si>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</si>
  <si>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</si>
  <si>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</si>
  <si>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</si>
  <si>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</si>
  <si>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</si>
  <si>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</si>
  <si>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</si>
  <si>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</si>
  <si>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</si>
  <si>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</si>
  <si>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</si>
  <si>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</si>
  <si>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</si>
  <si>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</si>
  <si>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</si>
  <si>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</si>
  <si>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</si>
  <si>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</si>
  <si>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</si>
  <si>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</si>
  <si>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</si>
  <si>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</si>
  <si>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</si>
  <si>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</si>
  <si>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</si>
  <si>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</si>
  <si>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</si>
  <si>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</si>
  <si>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</si>
  <si>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</si>
  <si>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</si>
  <si>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</si>
  <si>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</si>
  <si>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</si>
  <si>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</si>
  <si>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</si>
  <si>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</si>
  <si>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</si>
  <si>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</si>
  <si>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</si>
  <si>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</si>
  <si>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</si>
  <si>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</si>
  <si>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</si>
  <si>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</si>
  <si>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</si>
  <si>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</si>
  <si>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</si>
  <si>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</si>
  <si>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</si>
  <si>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</si>
  <si>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</si>
  <si>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</si>
  <si>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</si>
  <si>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</si>
  <si>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</si>
  <si>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</si>
  <si>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</si>
  <si>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</si>
  <si>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</si>
  <si>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</si>
  <si>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</si>
  <si>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</si>
  <si>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</si>
  <si>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</si>
  <si>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</si>
  <si>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</si>
  <si>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</si>
  <si>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</si>
  <si>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</si>
  <si>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</si>
  <si>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</si>
  <si>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</si>
  <si>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</si>
  <si>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</si>
  <si>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</si>
  <si>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</si>
  <si>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</si>
  <si>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</si>
  <si>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</si>
  <si>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</si>
  <si>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</si>
  <si>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</si>
  <si>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</si>
  <si>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</si>
  <si>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</si>
  <si>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</si>
  <si>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</si>
  <si>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</si>
  <si>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</si>
  <si>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</si>
  <si>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</si>
  <si>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</si>
  <si>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</si>
  <si>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</si>
  <si>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</si>
  <si>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</si>
  <si>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</si>
  <si>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</si>
  <si>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</si>
  <si>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</si>
  <si>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</si>
  <si>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</si>
  <si>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</si>
  <si>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</si>
  <si>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</si>
  <si>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</si>
  <si>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</si>
  <si>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</si>
  <si>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</si>
  <si>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</si>
  <si>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</si>
  <si>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</si>
  <si>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</si>
  <si>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</si>
  <si>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</si>
  <si>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</si>
  <si>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</si>
  <si>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</si>
  <si>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</si>
  <si>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</si>
  <si>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</si>
  <si>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</si>
  <si>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</si>
  <si>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</si>
  <si>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</si>
  <si>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</si>
  <si>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</si>
  <si>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</si>
  <si>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</si>
  <si>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</si>
  <si>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</si>
  <si>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</si>
  <si>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</si>
  <si>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</si>
  <si>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</si>
  <si>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</si>
  <si>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</si>
  <si>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</si>
  <si>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</si>
  <si>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</si>
  <si>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</si>
  <si>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</si>
  <si>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</si>
  <si>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</si>
  <si>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</si>
  <si>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</si>
  <si>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</si>
  <si>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</si>
  <si>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</si>
  <si>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</si>
  <si>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</si>
  <si>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</si>
  <si>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</si>
  <si>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</si>
  <si>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</si>
  <si>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</si>
  <si>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</si>
  <si>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</si>
  <si>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</si>
  <si>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</si>
  <si>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</si>
  <si>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</si>
  <si>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</si>
  <si>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</si>
  <si>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</si>
  <si>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</si>
  <si>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</si>
  <si>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</si>
  <si>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</si>
  <si>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</si>
  <si>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</si>
  <si>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</si>
  <si>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</si>
  <si>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</si>
  <si>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</si>
  <si>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</si>
  <si>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</si>
  <si>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</si>
  <si>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</si>
  <si>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</si>
  <si>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</si>
  <si>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</si>
  <si>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</si>
  <si>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</si>
  <si>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</si>
  <si>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</si>
  <si>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</si>
  <si>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</si>
  <si>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</si>
  <si>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</si>
  <si>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</si>
  <si>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</si>
  <si>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</si>
  <si>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</si>
  <si>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</si>
  <si>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</si>
  <si>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</si>
  <si>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</si>
  <si>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</si>
  <si>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</si>
  <si>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</si>
  <si>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</si>
  <si>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</si>
  <si>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</si>
  <si>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</si>
  <si>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</si>
  <si>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</si>
  <si>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</si>
  <si>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</si>
  <si>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</si>
  <si>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</si>
  <si>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</si>
  <si>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</si>
  <si>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</si>
  <si>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</si>
  <si>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</si>
  <si>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</si>
  <si>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</si>
  <si>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</si>
  <si>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</si>
  <si>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</si>
  <si>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</si>
  <si>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</si>
  <si>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</si>
  <si>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</si>
  <si>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</si>
  <si>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</si>
  <si>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</si>
  <si>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</si>
  <si>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</si>
  <si>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</si>
  <si>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</si>
  <si>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</si>
  <si>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</si>
  <si>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</si>
  <si>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</si>
  <si>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</si>
  <si>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</si>
  <si>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</si>
  <si>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</si>
  <si>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</si>
  <si>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</si>
  <si>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</si>
  <si>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</si>
  <si>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</si>
  <si>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</si>
  <si>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</si>
  <si>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</si>
  <si>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</si>
  <si>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</si>
  <si>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</si>
  <si>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</si>
  <si>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</si>
  <si>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</si>
  <si>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</si>
  <si>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</si>
  <si>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</si>
  <si>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</si>
  <si>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</si>
  <si>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</si>
  <si>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</si>
  <si>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</si>
  <si>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</si>
  <si>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</si>
  <si>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</si>
  <si>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</si>
  <si>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</si>
  <si>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</si>
  <si>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</si>
  <si>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</si>
  <si>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</si>
  <si>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</si>
  <si>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</si>
  <si>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</si>
  <si>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</si>
  <si>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</si>
  <si>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</si>
  <si>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</si>
  <si>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</si>
  <si>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</si>
  <si>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</si>
  <si>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</si>
  <si>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</si>
  <si>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</si>
  <si>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</si>
  <si>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</si>
  <si>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</si>
  <si>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</si>
  <si>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</si>
  <si>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</si>
  <si>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</si>
  <si>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</si>
  <si>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</si>
  <si>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</si>
  <si>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</si>
  <si>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</si>
  <si>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</si>
  <si>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</si>
  <si>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</si>
  <si>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</si>
  <si>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</si>
  <si>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</si>
  <si>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</si>
  <si>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</si>
  <si>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</si>
  <si>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</si>
  <si>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</si>
  <si>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</si>
  <si>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</si>
  <si>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</si>
  <si>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</si>
  <si>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</si>
  <si>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</si>
  <si>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</si>
  <si>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</si>
  <si>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</si>
  <si>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</si>
  <si>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</si>
  <si>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</si>
  <si>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</si>
  <si>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</si>
  <si>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</si>
  <si>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</si>
  <si>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</si>
  <si>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</si>
  <si>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</si>
  <si>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</si>
  <si>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</si>
  <si>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</si>
  <si>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</si>
  <si>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</si>
  <si>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</si>
  <si>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</si>
  <si>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</si>
  <si>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</si>
  <si>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</si>
  <si>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</si>
  <si>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</si>
  <si>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</si>
  <si>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</si>
  <si>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</si>
  <si>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</si>
  <si>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</si>
  <si>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</si>
  <si>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</si>
  <si>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</si>
  <si>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</si>
  <si>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</si>
  <si>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</si>
  <si>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</si>
  <si>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</si>
  <si>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</si>
  <si>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</si>
  <si>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</si>
  <si>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</si>
  <si>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</si>
  <si>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</si>
  <si>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</si>
  <si>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</si>
  <si>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</si>
  <si>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</si>
  <si>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</si>
  <si>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</si>
  <si>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</si>
  <si>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</si>
  <si>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</si>
  <si>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</si>
  <si>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</si>
  <si>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</si>
  <si>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</si>
  <si>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</si>
  <si>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</si>
  <si>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</si>
  <si>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</si>
  <si>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</si>
  <si>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</si>
  <si>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</si>
  <si>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</si>
  <si>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</si>
  <si>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</si>
  <si>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</si>
  <si>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</si>
  <si>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</si>
  <si>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</si>
  <si>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</si>
  <si>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</si>
  <si>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</si>
  <si>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</si>
  <si>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</si>
  <si>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</si>
  <si>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</si>
  <si>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</si>
  <si>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</si>
  <si>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</si>
  <si>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</si>
  <si>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</si>
  <si>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</si>
  <si>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</si>
  <si>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</si>
  <si>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</si>
  <si>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</si>
  <si>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</si>
  <si>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</si>
  <si>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</si>
  <si>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</si>
  <si>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</si>
  <si>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</si>
  <si>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</si>
  <si>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</si>
  <si>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</si>
  <si>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</si>
  <si>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</si>
  <si>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</si>
  <si>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</si>
  <si>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</si>
  <si>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</si>
  <si>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</si>
  <si>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</si>
  <si>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</si>
  <si>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</si>
  <si>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</si>
  <si>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</si>
  <si>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</si>
  <si>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</si>
  <si>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</si>
  <si>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</si>
  <si>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</si>
  <si>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</si>
  <si>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</si>
  <si>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</si>
  <si>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</si>
  <si>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</si>
  <si>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</si>
  <si>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</si>
  <si>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</si>
  <si>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</si>
  <si>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</si>
  <si>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</si>
  <si>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</si>
  <si>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</si>
  <si>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</si>
  <si>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</si>
  <si>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</si>
  <si>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</si>
  <si>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</si>
  <si>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</si>
  <si>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</si>
  <si>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</si>
  <si>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</si>
  <si>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</si>
  <si>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</si>
  <si>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</si>
  <si>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</si>
  <si>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</si>
  <si>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</si>
  <si>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</si>
  <si>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</si>
  <si>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</si>
  <si>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</si>
  <si>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</si>
  <si>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</si>
  <si>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</si>
  <si>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</si>
  <si>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</si>
  <si>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</si>
  <si>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</si>
  <si>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</si>
  <si>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</si>
  <si>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</si>
  <si>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</si>
  <si>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</si>
  <si>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</si>
  <si>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</si>
  <si>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</si>
  <si>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</si>
  <si>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</si>
  <si>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</si>
  <si>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</si>
  <si>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</si>
  <si>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</si>
  <si>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</si>
  <si>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</si>
  <si>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</si>
  <si>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</si>
  <si>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</si>
  <si>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</si>
  <si>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</si>
  <si>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</si>
  <si>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</si>
  <si>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</si>
  <si>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</si>
  <si>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</si>
  <si>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</si>
  <si>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</si>
  <si>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</si>
  <si>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</si>
  <si>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</si>
  <si>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</si>
  <si>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</si>
  <si>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</si>
  <si>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</si>
  <si>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</si>
  <si>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</si>
  <si>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</si>
  <si>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</si>
  <si>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</si>
  <si>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</si>
  <si>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</si>
  <si>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</si>
  <si>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</si>
  <si>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</si>
  <si>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</si>
  <si>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</si>
  <si>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</si>
  <si>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</si>
  <si>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</si>
  <si>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</si>
  <si>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</si>
  <si>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</si>
  <si>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</si>
  <si>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</si>
  <si>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</si>
  <si>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</si>
  <si>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</si>
  <si>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</si>
  <si>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</si>
  <si>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</si>
  <si>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</si>
  <si>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</si>
  <si>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</si>
  <si>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</si>
  <si>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</si>
  <si>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</si>
  <si>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</si>
  <si>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</si>
  <si>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</si>
  <si>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</si>
  <si>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</si>
  <si>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</si>
  <si>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</si>
  <si>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</si>
  <si>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</si>
  <si>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</si>
  <si>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</si>
  <si>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</si>
  <si>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</si>
  <si>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</si>
  <si>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</si>
  <si>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</si>
  <si>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</si>
  <si>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</si>
  <si>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</si>
  <si>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</si>
  <si>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</si>
  <si>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</si>
  <si>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</si>
  <si>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</si>
  <si>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</si>
  <si>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</si>
  <si>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</si>
  <si>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</si>
  <si>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</si>
  <si>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</si>
  <si>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</si>
  <si>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</si>
  <si>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</si>
  <si>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</si>
  <si>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</si>
  <si>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</si>
  <si>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</si>
  <si>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</si>
  <si>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</si>
  <si>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</si>
  <si>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</si>
  <si>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</si>
  <si>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</si>
  <si>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</si>
  <si>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</si>
  <si>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</si>
  <si>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</si>
  <si>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</si>
  <si>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</si>
  <si>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</si>
  <si>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</si>
  <si>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</si>
  <si>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</si>
  <si>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</si>
  <si>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</si>
  <si>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</si>
  <si>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</si>
  <si>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</si>
  <si>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</si>
  <si>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</si>
  <si>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</si>
  <si>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</si>
  <si>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</si>
  <si>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</si>
  <si>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</si>
  <si>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</si>
  <si>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</si>
  <si>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</si>
  <si>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</si>
  <si>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</si>
  <si>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</si>
  <si>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</si>
  <si>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</si>
  <si>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</si>
  <si>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</si>
  <si>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</si>
  <si>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</si>
  <si>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</si>
  <si>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</si>
  <si>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</si>
  <si>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</si>
  <si>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</si>
  <si>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</si>
  <si>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</si>
  <si>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</si>
  <si>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</si>
  <si>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</si>
  <si>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</si>
  <si>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</si>
  <si>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</si>
  <si>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</si>
  <si>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</si>
  <si>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</si>
  <si>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</si>
  <si>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</si>
  <si>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</si>
  <si>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</si>
  <si>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</si>
  <si>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</si>
  <si>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</si>
  <si>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</si>
  <si>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</si>
  <si>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</si>
  <si>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</si>
  <si>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</si>
  <si>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</si>
  <si>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</si>
  <si>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</si>
  <si>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</si>
  <si>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</si>
  <si>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</si>
  <si>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</si>
  <si>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</si>
  <si>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</si>
  <si>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</si>
  <si>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</si>
  <si>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</si>
  <si>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</si>
  <si>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</si>
  <si>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</si>
  <si>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</si>
  <si>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</si>
  <si>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</si>
  <si>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</si>
  <si>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</si>
  <si>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</si>
  <si>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</si>
  <si>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</si>
  <si>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</si>
  <si>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</si>
  <si>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</si>
  <si>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</si>
  <si>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</si>
  <si>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</si>
  <si>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</si>
  <si>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</si>
  <si>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</si>
  <si>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</si>
  <si>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</si>
  <si>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</si>
  <si>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</si>
  <si>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</si>
  <si>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</si>
  <si>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</si>
  <si>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</si>
  <si>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</si>
  <si>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</si>
  <si>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</si>
  <si>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</si>
  <si>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</si>
  <si>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</si>
  <si>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</si>
  <si>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</si>
  <si>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</si>
  <si>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</si>
  <si>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</si>
  <si>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</si>
  <si>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</si>
  <si>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</si>
  <si>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</si>
  <si>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</si>
  <si>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</si>
  <si>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</si>
  <si>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</si>
  <si>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</si>
  <si>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</si>
  <si>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</si>
  <si>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</si>
  <si>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</si>
  <si>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</si>
  <si>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</si>
  <si>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</si>
  <si>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</si>
  <si>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</si>
  <si>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</si>
  <si>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</si>
  <si>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</si>
  <si>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</si>
  <si>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</si>
  <si>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</si>
  <si>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</si>
  <si>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</si>
  <si>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</si>
  <si>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</si>
  <si>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</si>
  <si>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</si>
  <si>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</si>
  <si>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</si>
  <si>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</si>
  <si>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</si>
  <si>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</si>
  <si>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</si>
  <si>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</si>
  <si>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</si>
  <si>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</si>
  <si>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</si>
  <si>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</si>
  <si>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</si>
  <si>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</si>
  <si>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</si>
  <si>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</si>
  <si>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</si>
  <si>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</si>
  <si>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</si>
  <si>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</si>
  <si>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</si>
  <si>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</si>
  <si>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</si>
  <si>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</si>
  <si>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</si>
  <si>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</si>
  <si>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</si>
  <si>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</si>
  <si>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</si>
  <si>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</si>
  <si>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</si>
  <si>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</si>
  <si>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</si>
  <si>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</si>
  <si>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</si>
  <si>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</si>
  <si>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</si>
  <si>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</si>
  <si>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</si>
  <si>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</si>
  <si>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</si>
  <si>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</si>
  <si>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</si>
  <si>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</si>
  <si>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</si>
  <si>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</si>
  <si>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</si>
  <si>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</si>
  <si>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</si>
  <si>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</si>
  <si>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</si>
  <si>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</si>
  <si>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</si>
  <si>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</si>
  <si>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</si>
  <si>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</si>
  <si>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</si>
  <si>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</si>
  <si>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</si>
  <si>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</si>
  <si>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</si>
  <si>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</si>
  <si>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</si>
  <si>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</si>
  <si>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</si>
  <si>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</si>
  <si>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</si>
  <si>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</si>
  <si>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</si>
  <si>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</si>
  <si>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</si>
  <si>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</si>
  <si>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</si>
  <si>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</si>
  <si>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</si>
  <si>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</si>
  <si>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</si>
  <si>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</si>
  <si>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</si>
  <si>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</si>
  <si>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</si>
  <si>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</si>
  <si>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</si>
  <si>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</si>
  <si>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</si>
  <si>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</si>
  <si>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</si>
  <si>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</si>
  <si>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</si>
  <si>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</si>
  <si>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</si>
  <si>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</si>
  <si>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</si>
  <si>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</si>
  <si>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</si>
  <si>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</si>
  <si>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</si>
  <si>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</si>
  <si>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</si>
  <si>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</si>
  <si>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</si>
  <si>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</si>
  <si>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</si>
  <si>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</si>
  <si>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</si>
  <si>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</si>
  <si>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</si>
  <si>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</si>
  <si>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</si>
  <si>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</si>
  <si>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</si>
  <si>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</si>
  <si>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</si>
  <si>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</si>
  <si>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</si>
  <si>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</si>
  <si>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</si>
  <si>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</si>
  <si>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</si>
  <si>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</si>
  <si>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</si>
  <si>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</si>
  <si>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</si>
  <si>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</si>
  <si>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</si>
  <si>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</si>
  <si>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</si>
  <si>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</si>
  <si>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</si>
  <si>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</si>
  <si>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</si>
  <si>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</si>
  <si>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</si>
  <si>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</si>
  <si>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</si>
  <si>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</si>
  <si>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</si>
  <si>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</si>
  <si>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</si>
  <si>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</si>
  <si>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</si>
  <si>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</si>
  <si>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</si>
  <si>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</si>
  <si>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</si>
  <si>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</si>
  <si>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</si>
  <si>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</si>
  <si>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</si>
  <si>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</si>
  <si>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</si>
  <si>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</si>
  <si>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</si>
  <si>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</si>
  <si>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</si>
  <si>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</si>
  <si>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</si>
  <si>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</si>
  <si>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</si>
  <si>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</si>
  <si>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</si>
  <si>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</si>
  <si>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</si>
  <si>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</si>
  <si>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</si>
  <si>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</si>
  <si>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</si>
  <si>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</si>
  <si>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</si>
  <si>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</si>
  <si>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</si>
  <si>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</si>
  <si>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</si>
  <si>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</si>
  <si>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</si>
  <si>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</si>
  <si>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</si>
  <si>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</si>
  <si>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</si>
  <si>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</si>
  <si>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</si>
  <si>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</si>
  <si>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</si>
  <si>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</si>
  <si>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</si>
  <si>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</si>
  <si>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</si>
  <si>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</si>
  <si>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</si>
  <si>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</si>
  <si>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</si>
  <si>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</si>
  <si>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</si>
  <si>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</si>
  <si>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</si>
  <si>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</si>
  <si>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</si>
  <si>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</si>
  <si>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</si>
  <si>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</si>
  <si>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</si>
  <si>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</si>
  <si>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</si>
  <si>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</si>
  <si>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</si>
  <si>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</si>
  <si>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</si>
  <si>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</si>
  <si>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</si>
  <si>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</si>
  <si>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</si>
  <si>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</si>
  <si>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</si>
  <si>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</si>
  <si>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</si>
  <si>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</si>
  <si>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</si>
  <si>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</si>
  <si>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</si>
  <si>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</si>
  <si>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</si>
  <si>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</si>
  <si>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</si>
  <si>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</si>
  <si>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</si>
  <si>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</si>
  <si>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</si>
  <si>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</si>
  <si>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</si>
  <si>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</si>
  <si>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</si>
  <si>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</si>
  <si>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</si>
  <si>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</si>
  <si>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</si>
  <si>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</si>
  <si>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</si>
  <si>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</si>
  <si>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</si>
  <si>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</si>
  <si>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</si>
  <si>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</si>
  <si>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</si>
  <si>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</si>
  <si>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</si>
  <si>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</si>
  <si>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</si>
  <si>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</si>
  <si>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</si>
  <si>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</si>
  <si>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</si>
  <si>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</si>
  <si>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</si>
  <si>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</si>
  <si>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</si>
  <si>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</si>
  <si>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</si>
  <si>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</si>
  <si>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</si>
  <si>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</si>
  <si>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</si>
  <si>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</si>
  <si>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</si>
  <si>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</si>
  <si>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</si>
  <si>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</si>
  <si>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</si>
  <si>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</si>
  <si>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</si>
  <si>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</si>
  <si>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</si>
  <si>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</si>
  <si>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</si>
  <si>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</si>
  <si>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</si>
  <si>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</si>
  <si>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</si>
  <si>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</si>
  <si>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</si>
  <si>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</si>
  <si>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</si>
  <si>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</si>
  <si>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</si>
  <si>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</si>
  <si>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</si>
  <si>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</si>
  <si>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</si>
  <si>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</si>
  <si>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</si>
  <si>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</si>
  <si>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</si>
  <si>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</si>
  <si>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</si>
  <si>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</si>
  <si>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</si>
  <si>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</si>
  <si>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</si>
  <si>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</si>
  <si>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</si>
  <si>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</si>
  <si>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</si>
  <si>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</si>
  <si>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</si>
  <si>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</si>
  <si>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</si>
  <si>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</si>
  <si>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</si>
  <si>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</si>
  <si>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</si>
  <si>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</si>
  <si>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</si>
  <si>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</si>
  <si>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</si>
  <si>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</si>
  <si>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</si>
  <si>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</si>
  <si>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</si>
  <si>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</si>
  <si>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</si>
  <si>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</si>
  <si>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</si>
  <si>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</si>
  <si>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</si>
  <si>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</si>
  <si>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</si>
  <si>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</si>
  <si>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</si>
  <si>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</si>
  <si>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</si>
  <si>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</si>
  <si>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</si>
  <si>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</si>
  <si>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</si>
  <si>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</si>
  <si>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</si>
  <si>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</si>
  <si>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</si>
  <si>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</si>
  <si>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</si>
  <si>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</si>
  <si>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</si>
  <si>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</si>
  <si>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</si>
  <si>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</si>
  <si>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</si>
  <si>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</si>
  <si>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</si>
  <si>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</si>
  <si>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</si>
  <si>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</si>
  <si>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</si>
  <si>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</si>
  <si>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</si>
  <si>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</si>
  <si>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</si>
  <si>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</si>
  <si>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</si>
  <si>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</si>
  <si>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</si>
  <si>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</si>
  <si>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</si>
  <si>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</si>
  <si>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</si>
  <si>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</si>
  <si>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</si>
  <si>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</si>
  <si>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</si>
  <si>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</si>
  <si>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</si>
  <si>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</si>
  <si>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</si>
  <si>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</si>
  <si>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</si>
  <si>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</si>
  <si>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</si>
  <si>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</si>
  <si>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</si>
  <si>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</si>
  <si>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</si>
  <si>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</si>
  <si>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</si>
  <si>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</si>
  <si>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</si>
  <si>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</si>
  <si>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</si>
  <si>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</si>
  <si>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</si>
  <si>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</si>
  <si>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</si>
  <si>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</si>
  <si>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</si>
  <si>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</si>
  <si>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</si>
  <si>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</si>
  <si>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</si>
  <si>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</si>
  <si>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</si>
  <si>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</si>
  <si>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</si>
  <si>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</si>
  <si>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</si>
  <si>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</si>
  <si>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</si>
  <si>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</si>
  <si>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</si>
  <si>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</si>
  <si>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</si>
  <si>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</si>
  <si>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</si>
  <si>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</si>
  <si>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</si>
  <si>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</si>
  <si>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</si>
  <si>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</si>
  <si>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</si>
  <si>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</si>
  <si>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</si>
  <si>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</si>
  <si>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</si>
  <si>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</si>
  <si>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</si>
  <si>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</si>
  <si>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</si>
  <si>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</si>
  <si>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</si>
  <si>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</si>
  <si>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</si>
  <si>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</si>
  <si>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</si>
  <si>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</si>
  <si>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</si>
  <si>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</si>
  <si>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</si>
  <si>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</si>
  <si>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</si>
  <si>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</si>
  <si>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</si>
  <si>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</si>
  <si>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</si>
  <si>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</si>
  <si>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</si>
  <si>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</si>
  <si>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</si>
  <si>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</si>
  <si>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</si>
  <si>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</si>
  <si>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</si>
  <si>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</si>
  <si>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</si>
  <si>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</si>
  <si>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</si>
  <si>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</si>
  <si>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</si>
  <si>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</si>
  <si>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</si>
  <si>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</si>
  <si>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</si>
  <si>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</si>
  <si>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</si>
  <si>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</si>
  <si>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</si>
  <si>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</si>
  <si>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</si>
  <si>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</si>
  <si>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</si>
  <si>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</si>
  <si>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</si>
  <si>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</si>
  <si>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</si>
  <si>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</si>
  <si>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</si>
  <si>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</si>
  <si>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</si>
  <si>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</si>
  <si>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</si>
  <si>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</si>
  <si>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</si>
  <si>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</si>
  <si>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</si>
  <si>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</si>
  <si>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</si>
  <si>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</si>
  <si>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</si>
  <si>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</si>
  <si>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</si>
  <si>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</si>
  <si>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</si>
  <si>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</si>
  <si>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</si>
  <si>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</si>
  <si>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</si>
  <si>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</si>
  <si>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</si>
  <si>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</si>
  <si>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</si>
  <si>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</si>
  <si>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</si>
  <si>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</si>
  <si>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</si>
  <si>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</si>
  <si>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</si>
  <si>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</si>
  <si>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</si>
  <si>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</si>
  <si>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</si>
  <si>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</si>
  <si>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</si>
  <si>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</si>
  <si>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</si>
  <si>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</si>
  <si>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</si>
  <si>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</si>
  <si>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</si>
  <si>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</si>
  <si>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</si>
  <si>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</si>
  <si>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</si>
  <si>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</si>
  <si>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</si>
  <si>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</si>
  <si>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</si>
  <si>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</si>
  <si>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</si>
  <si>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</si>
  <si>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</si>
  <si>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</si>
  <si>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</si>
  <si>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</si>
  <si>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</si>
  <si>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</si>
  <si>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</si>
  <si>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</si>
  <si>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</si>
  <si>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</si>
  <si>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</si>
  <si>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</si>
  <si>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</si>
  <si>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</si>
  <si>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</si>
  <si>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</si>
  <si>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</si>
  <si>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</si>
  <si>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</si>
  <si>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</si>
  <si>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</si>
  <si>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</si>
  <si>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</si>
  <si>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</si>
  <si>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</si>
  <si>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</si>
  <si>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</si>
  <si>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</si>
  <si>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</si>
  <si>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</si>
  <si>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</si>
  <si>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</si>
  <si>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</si>
  <si>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</si>
  <si>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</si>
  <si>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</si>
  <si>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</si>
  <si>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</si>
  <si>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</si>
  <si>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</si>
  <si>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</si>
  <si>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</si>
  <si>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</si>
  <si>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</si>
  <si>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</si>
  <si>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</si>
  <si>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</si>
  <si>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</si>
  <si>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</si>
  <si>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</si>
  <si>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</si>
  <si>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</si>
  <si>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</si>
  <si>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</si>
  <si>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</si>
  <si>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</si>
  <si>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</si>
  <si>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</si>
  <si>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</si>
  <si>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</si>
  <si>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</si>
  <si>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</si>
  <si>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</si>
  <si>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</si>
  <si>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</si>
  <si>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</si>
  <si>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</si>
  <si>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</si>
  <si>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</si>
  <si>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</si>
  <si>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</si>
  <si>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</si>
  <si>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</si>
  <si>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</si>
  <si>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</si>
  <si>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</si>
  <si>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</si>
  <si>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</si>
  <si>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</si>
  <si>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</si>
  <si>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</si>
  <si>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</si>
  <si>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</si>
  <si>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</si>
  <si>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</si>
  <si>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</si>
  <si>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</si>
  <si>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</si>
  <si>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</si>
  <si>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</si>
  <si>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</si>
  <si>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</si>
  <si>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</si>
  <si>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</si>
  <si>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</si>
  <si>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</si>
  <si>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</si>
  <si>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</si>
  <si>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</si>
  <si>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</si>
  <si>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</si>
  <si>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</si>
  <si>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</si>
  <si>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</si>
  <si>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</si>
  <si>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</si>
  <si>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</si>
  <si>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</si>
  <si>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</si>
  <si>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</si>
  <si>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</si>
  <si>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</si>
  <si>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</si>
  <si>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</si>
  <si>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</si>
  <si>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</si>
  <si>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</si>
  <si>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</si>
  <si>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</si>
  <si>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</si>
  <si>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</si>
  <si>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</si>
  <si>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</si>
  <si>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</si>
  <si>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</si>
  <si>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</si>
  <si>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</si>
  <si>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</si>
  <si>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</si>
  <si>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</si>
  <si>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</si>
  <si>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</si>
  <si>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</si>
  <si>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</si>
  <si>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</si>
  <si>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</si>
  <si>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</si>
  <si>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</si>
  <si>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</si>
  <si>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</si>
  <si>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</si>
  <si>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</si>
  <si>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</si>
  <si>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</si>
  <si>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</si>
  <si>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</si>
  <si>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</si>
  <si>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</si>
  <si>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</si>
  <si>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</si>
  <si>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</si>
  <si>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</si>
  <si>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</si>
  <si>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</si>
  <si>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</si>
  <si>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</si>
  <si>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</si>
  <si>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</si>
  <si>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</si>
  <si>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</si>
  <si>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</si>
  <si>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</si>
  <si>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</si>
  <si>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</si>
  <si>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</si>
  <si>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</si>
  <si>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</si>
  <si>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</si>
  <si>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</si>
  <si>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</si>
  <si>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</si>
  <si>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</si>
  <si>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</si>
  <si>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</si>
  <si>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</si>
  <si>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</si>
  <si>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</si>
  <si>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</si>
  <si>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</si>
  <si>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</si>
  <si>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</si>
  <si>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</si>
  <si>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</si>
  <si>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</si>
  <si>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</si>
  <si>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</si>
  <si>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</si>
  <si>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</si>
  <si>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</si>
  <si>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</si>
  <si>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</si>
  <si>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</si>
  <si>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</si>
  <si>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</si>
  <si>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</si>
  <si>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</si>
  <si>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</si>
  <si>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</si>
  <si>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</si>
  <si>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</si>
  <si>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</si>
  <si>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</si>
  <si>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</si>
  <si>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</si>
  <si>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</si>
  <si>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</si>
  <si>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</si>
  <si>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</si>
  <si>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</si>
  <si>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</si>
  <si>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</si>
  <si>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</si>
  <si>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</si>
  <si>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</si>
  <si>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</si>
  <si>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</si>
  <si>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</si>
  <si>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</si>
  <si>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</si>
  <si>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</si>
  <si>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</si>
  <si>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</si>
  <si>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</si>
  <si>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</si>
  <si>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</si>
  <si>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</si>
  <si>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</si>
  <si>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</si>
  <si>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</si>
  <si>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</si>
  <si>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</si>
  <si>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</si>
  <si>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</si>
  <si>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</si>
  <si>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</si>
  <si>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</si>
  <si>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</si>
  <si>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</si>
  <si>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</si>
  <si>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</si>
  <si>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</si>
  <si>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</si>
  <si>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</si>
  <si>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</si>
  <si>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</si>
  <si>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</si>
  <si>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</si>
  <si>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</si>
  <si>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</si>
  <si>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</si>
  <si>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</si>
  <si>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</si>
  <si>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</si>
  <si>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</si>
  <si>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</si>
  <si>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</si>
  <si>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</si>
  <si>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</si>
  <si>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</si>
  <si>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</si>
  <si>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</si>
  <si>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</si>
  <si>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</si>
  <si>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</si>
  <si>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</si>
  <si>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</si>
  <si>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</si>
  <si>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</si>
  <si>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</si>
  <si>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</si>
  <si>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</si>
  <si>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</si>
  <si>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</si>
  <si>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</si>
  <si>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</si>
  <si>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</si>
  <si>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</si>
  <si>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</si>
  <si>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</si>
  <si>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</si>
  <si>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</si>
  <si>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</si>
  <si>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</si>
  <si>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</si>
  <si>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</si>
  <si>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</si>
  <si>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</si>
  <si>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</si>
  <si>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</si>
  <si>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</si>
  <si>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</si>
  <si>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</si>
  <si>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</si>
  <si>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</si>
  <si>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</si>
  <si>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</si>
  <si>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</si>
  <si>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</si>
  <si>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</si>
  <si>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</si>
  <si>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</si>
  <si>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</si>
  <si>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</si>
  <si>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</si>
  <si>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</si>
  <si>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</si>
  <si>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</si>
  <si>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</si>
  <si>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</si>
  <si>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</si>
  <si>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</si>
  <si>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</si>
  <si>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</si>
  <si>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</si>
  <si>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</si>
  <si>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</si>
  <si>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</si>
  <si>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</si>
  <si>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</si>
  <si>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</si>
  <si>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</si>
  <si>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</si>
  <si>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</si>
  <si>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</si>
  <si>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</si>
  <si>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</si>
  <si>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</si>
  <si>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</si>
  <si>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</si>
  <si>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</si>
  <si>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</si>
  <si>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</si>
  <si>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</si>
  <si>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</si>
  <si>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</si>
  <si>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</si>
  <si>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</si>
  <si>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</si>
  <si>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</si>
  <si>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</si>
  <si>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</si>
  <si>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</si>
  <si>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</si>
  <si>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</si>
  <si>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</si>
  <si>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</si>
  <si>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</si>
  <si>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</si>
  <si>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</si>
  <si>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</si>
  <si>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</si>
  <si>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</si>
  <si>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</si>
  <si>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</si>
  <si>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</si>
  <si>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</si>
  <si>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</si>
  <si>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</si>
  <si>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</si>
  <si>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</si>
  <si>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</si>
  <si>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</si>
  <si>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</si>
  <si>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</si>
  <si>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</si>
  <si>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</si>
  <si>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</si>
  <si>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</si>
  <si>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</si>
  <si>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</si>
  <si>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</si>
  <si>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</si>
  <si>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</si>
  <si>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</si>
  <si>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</si>
  <si>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</si>
  <si>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</si>
  <si>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</si>
  <si>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</si>
  <si>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</si>
  <si>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</si>
  <si>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</si>
  <si>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</si>
  <si>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</si>
  <si>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</si>
  <si>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</si>
  <si>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</si>
  <si>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</si>
  <si>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</si>
  <si>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</si>
  <si>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</si>
  <si>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</si>
  <si>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</si>
  <si>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</si>
  <si>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</si>
  <si>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</si>
  <si>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</si>
  <si>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</si>
  <si>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</si>
  <si>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</si>
  <si>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</si>
  <si>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</si>
  <si>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</si>
  <si>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</si>
  <si>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</si>
  <si>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</si>
  <si>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</si>
  <si>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</si>
  <si>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</si>
  <si>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</si>
  <si>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</si>
  <si>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</si>
  <si>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</si>
  <si>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</si>
  <si>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</si>
  <si>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</si>
  <si>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</si>
  <si>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</si>
  <si>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</si>
  <si>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</si>
  <si>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</si>
  <si>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</si>
  <si>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</si>
  <si>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</si>
  <si>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</si>
  <si>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</si>
  <si>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</si>
  <si>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</si>
  <si>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</si>
  <si>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</si>
  <si>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</si>
  <si>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</si>
  <si>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</si>
  <si>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</si>
  <si>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</si>
  <si>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</si>
  <si>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</si>
  <si>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</si>
  <si>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</si>
  <si>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</si>
  <si>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</si>
  <si>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</si>
  <si>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</si>
  <si>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</si>
  <si>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</si>
  <si>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</si>
  <si>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</si>
  <si>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</si>
  <si>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</si>
  <si>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</si>
  <si>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</si>
  <si>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</si>
  <si>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</si>
  <si>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</si>
  <si>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</si>
  <si>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</si>
  <si>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</si>
  <si>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</si>
  <si>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</si>
  <si>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</si>
  <si>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</si>
  <si>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</si>
  <si>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</si>
  <si>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</si>
  <si>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</si>
  <si>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</si>
  <si>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</si>
  <si>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</si>
  <si>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</si>
  <si>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</si>
  <si>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</si>
  <si>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</si>
  <si>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</si>
  <si>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</si>
  <si>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</si>
  <si>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</si>
  <si>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</si>
  <si>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</si>
  <si>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</si>
  <si>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</si>
  <si>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</si>
  <si>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</si>
  <si>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</si>
  <si>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</si>
  <si>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</si>
  <si>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</si>
  <si>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</si>
  <si>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</si>
  <si>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</si>
  <si>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</si>
  <si>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</si>
  <si>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</si>
  <si>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</si>
  <si>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</si>
  <si>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</si>
  <si>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</si>
  <si>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</si>
  <si>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</si>
  <si>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</si>
  <si>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</si>
  <si>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</si>
  <si>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</si>
  <si>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</si>
  <si>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</si>
  <si>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</si>
  <si>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</si>
  <si>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</si>
  <si>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</si>
  <si>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</si>
  <si>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</si>
  <si>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</si>
  <si>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</si>
  <si>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</si>
  <si>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</si>
  <si>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</si>
  <si>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</si>
  <si>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</si>
  <si>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</si>
  <si>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</si>
  <si>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</si>
  <si>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</si>
  <si>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</si>
  <si>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</si>
  <si>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</si>
  <si>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</si>
  <si>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</si>
  <si>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</si>
  <si>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</si>
  <si>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</si>
  <si>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</si>
  <si>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</si>
  <si>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</si>
  <si>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</si>
  <si>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</si>
  <si>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</si>
  <si>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</si>
  <si>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</si>
  <si>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</si>
  <si>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</si>
  <si>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</si>
  <si>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</si>
  <si>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</si>
  <si>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</si>
  <si>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</si>
  <si>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</si>
  <si>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</si>
  <si>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</si>
  <si>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</si>
  <si>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</si>
  <si>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</si>
  <si>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</si>
  <si>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</si>
  <si>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</si>
  <si>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</si>
  <si>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</si>
  <si>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</si>
  <si>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</si>
  <si>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</si>
  <si>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</si>
  <si>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</si>
  <si>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</si>
  <si>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</si>
  <si>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</si>
  <si>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</si>
  <si>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</si>
  <si>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</si>
  <si>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</si>
  <si>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</si>
  <si>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</si>
  <si>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</si>
  <si>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</si>
  <si>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</si>
  <si>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</si>
  <si>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</si>
  <si>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</si>
  <si>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</si>
  <si>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</si>
  <si>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</si>
  <si>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</si>
  <si>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</si>
  <si>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</si>
  <si>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</si>
  <si>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</si>
  <si>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</si>
  <si>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</si>
  <si>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</si>
  <si>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</si>
  <si>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</si>
  <si>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</si>
  <si>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</si>
  <si>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</si>
  <si>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</si>
  <si>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</si>
  <si>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</si>
  <si>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</si>
  <si>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</si>
  <si>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</si>
  <si>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</si>
  <si>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</si>
  <si>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</si>
  <si>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</si>
  <si>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</si>
  <si>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</si>
  <si>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</si>
  <si>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</si>
  <si>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</si>
  <si>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</si>
  <si>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</si>
  <si>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</si>
  <si>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</si>
  <si>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</si>
  <si>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</si>
  <si>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</si>
  <si>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</si>
  <si>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</si>
  <si>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</si>
  <si>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</si>
  <si>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</si>
  <si>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</si>
  <si>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</si>
  <si>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</si>
  <si>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</si>
  <si>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</si>
  <si>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</si>
  <si>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</si>
  <si>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</si>
  <si>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</si>
  <si>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</si>
  <si>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</si>
  <si>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</si>
  <si>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</si>
  <si>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</si>
  <si>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</si>
  <si>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</si>
  <si>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</si>
  <si>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</si>
  <si>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</si>
  <si>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</si>
  <si>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</si>
  <si>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</si>
  <si>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</si>
  <si>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</si>
  <si>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</si>
  <si>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</si>
  <si>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</si>
  <si>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</si>
  <si>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</si>
  <si>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</si>
  <si>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</si>
  <si>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</si>
  <si>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</si>
  <si>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</si>
  <si>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</si>
  <si>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</si>
  <si>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</si>
  <si>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</si>
  <si>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</si>
  <si>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</si>
  <si>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</si>
  <si>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</si>
  <si>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</si>
  <si>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</si>
  <si>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</si>
  <si>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</si>
  <si>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</si>
  <si>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</si>
  <si>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</si>
  <si>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</si>
  <si>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</si>
  <si>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</si>
  <si>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</si>
  <si>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</si>
  <si>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</si>
  <si>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</si>
  <si>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</si>
  <si>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</si>
  <si>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</si>
  <si>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</si>
  <si>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</si>
  <si>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</si>
  <si>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</si>
  <si>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</si>
  <si>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</si>
  <si>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</si>
  <si>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</si>
  <si>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</si>
  <si>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</si>
  <si>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</si>
  <si>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</si>
  <si>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</si>
  <si>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</si>
  <si>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</si>
  <si>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</si>
  <si>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</si>
  <si>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</si>
  <si>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</si>
  <si>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</si>
  <si>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</si>
  <si>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</si>
  <si>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</si>
  <si>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</si>
  <si>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</si>
  <si>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</si>
  <si>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</si>
  <si>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</si>
  <si>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</si>
  <si>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</si>
  <si>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</si>
  <si>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</si>
  <si>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</si>
  <si>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</si>
  <si>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</si>
  <si>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</si>
  <si>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</si>
  <si>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</si>
  <si>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</si>
  <si>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</si>
  <si>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</si>
  <si>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</si>
  <si>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</si>
  <si>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</si>
  <si>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</si>
  <si>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</si>
  <si>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</si>
  <si>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</si>
  <si>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</si>
  <si>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</si>
  <si>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</si>
  <si>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</si>
  <si>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</si>
  <si>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</si>
  <si>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</si>
  <si>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</si>
  <si>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</si>
  <si>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</si>
  <si>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</si>
  <si>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</si>
  <si>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</si>
  <si>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</si>
  <si>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</si>
  <si>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</si>
  <si>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</si>
  <si>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</si>
  <si>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</si>
  <si>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</si>
  <si>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</si>
  <si>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</si>
  <si>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</si>
  <si>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</si>
  <si>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</si>
  <si>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</si>
  <si>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</si>
  <si>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</si>
  <si>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</si>
  <si>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</si>
  <si>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</si>
  <si>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</si>
  <si>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</si>
  <si>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</si>
  <si>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</si>
  <si>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</si>
  <si>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</si>
  <si>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</si>
  <si>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</si>
  <si>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</si>
  <si>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</si>
  <si>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</si>
  <si>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</si>
  <si>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</si>
  <si>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</si>
  <si>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</si>
  <si>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</si>
  <si>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</si>
  <si>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</si>
  <si>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</si>
  <si>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</si>
  <si>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</si>
  <si>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J.M. ABBOTT &amp; ASSOCIATES, LTD.</t>
  </si>
  <si>
    <t>DEBRA CURRY</t>
  </si>
  <si>
    <t>207 S. MCLEAN ST.</t>
  </si>
  <si>
    <t>LINCOLN</t>
  </si>
  <si>
    <t>IL</t>
  </si>
  <si>
    <t>217-735-1576</t>
  </si>
  <si>
    <t>217-735-5866</t>
  </si>
  <si>
    <t>DEB@JMABBOTT.COM</t>
  </si>
  <si>
    <t>N/A</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</si>
  <si>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</si>
  <si>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x</t>
  </si>
  <si>
    <t>LOGAN</t>
  </si>
  <si>
    <t>400 WEST FRONT STREET</t>
  </si>
  <si>
    <t>HARTSBURG</t>
  </si>
  <si>
    <t>TWISNIEWSKI@HARTEM.ORG</t>
  </si>
  <si>
    <t>TERRY WISNIEWSKI</t>
  </si>
  <si>
    <t>217-642-5244</t>
  </si>
  <si>
    <t>217-642-5333</t>
  </si>
  <si>
    <t>MARK JONTRY</t>
  </si>
  <si>
    <t>JONTRYM@ROE17.ORG</t>
  </si>
  <si>
    <t>309-888-5120</t>
  </si>
  <si>
    <t>066-005243</t>
  </si>
  <si>
    <t>Bus Lease</t>
  </si>
  <si>
    <t>ILLINI SCHOOL DISTRICT #189/DELAVAN CUSD #703</t>
  </si>
  <si>
    <t>TRI COUNTY SPECIAL EDUCATION ASSOCIATION</t>
  </si>
  <si>
    <t>LINCOLN LAND TECHNICAL EDUCATION CENTER</t>
  </si>
  <si>
    <t>LINCOLN LAND REGIONAL DELIVERY SYSTEM</t>
  </si>
  <si>
    <t>LINCOLN COMMUNITY HIGH SCHOOL #404</t>
  </si>
  <si>
    <t>REGIONAL OFFICE OF EDUCATION #17</t>
  </si>
  <si>
    <t>Page 11, Line108, Account 1999, Other Local Revenue - Technology Grant $4709</t>
  </si>
  <si>
    <t>Page 12, Line 177, Account 4009, Other Restricted Grants-in-Aid Directly from the Federal Government - REAP $9094</t>
  </si>
  <si>
    <t>Page 14, Line 272, Account 4999, Other Restricted Revenues from Federal Sources - Federal Library Grant $4,999</t>
  </si>
  <si>
    <t xml:space="preserve">Audit Checklist, Error #8 - The District recognizes capital leases for buses in the Transportation Fund using option number 1 for capital leases </t>
  </si>
  <si>
    <t xml:space="preserve">as described in the Illinois Program Accounting Manual, pages 96 - 97, where the asset is capitalized as the lease/purchasepayments are made.  </t>
  </si>
  <si>
    <t>will not agree to the activity in the Transportation on page 1 or on page 18.  During the year, the District paid $45,479 on such leases.</t>
  </si>
  <si>
    <t xml:space="preserve">No principal payments are recognized throughout the life of the lease, but interest expense is recognized.  As a result, debt activity on page 24 </t>
  </si>
  <si>
    <t xml:space="preserve">6 .  </t>
  </si>
  <si>
    <t>Page 16, Line 73, Other Expense - Homeless Supplies $317</t>
  </si>
  <si>
    <t>Page 17, Line 128, Other Supporting Services - Insurance $31,152</t>
  </si>
  <si>
    <t xml:space="preserve">#20 - The District overspent the Operations and Maintenance budget by $18,586.  </t>
  </si>
  <si>
    <t>Bus Leases</t>
  </si>
  <si>
    <t>Page 11, Line 120, Account 3099, Other Restricted Grants-in-Aid from State Sources - Library Grant $1,500</t>
  </si>
  <si>
    <t>Page 16, line 83 - Other Payments - Annexation Fees $1,500</t>
  </si>
  <si>
    <t>Enter as shown here: ED-Instruction-Other</t>
  </si>
  <si>
    <t>10-1000-600</t>
  </si>
  <si>
    <t>Company Name</t>
  </si>
  <si>
    <t>ED-Instruction-Purchased Services</t>
  </si>
  <si>
    <t>Wendelin Consulting Group</t>
  </si>
  <si>
    <t>10-1000-300</t>
  </si>
  <si>
    <t>Hartsburg Emden CUSD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</si>
</sst>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cellStyleXfs>
  <cellXfs count="250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49" fontId="97" fillId="0" borderId="105" xfId="18" applyNumberFormat="1" applyFont="1" applyBorder="1" applyAlignment="1" applyProtection="1">
      <alignment horizontal="center" vertical="center"/>
      <protection locked="0"/>
    </xf>
    <xf numFmtId="164" fontId="54" fillId="0" borderId="0" xfId="0" applyNumberFormat="1" applyFont="1" applyAlignment="1">
      <alignment horizontal="left"/>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3076575</xdr:colOff>
          <xdr:row>0</xdr:row>
          <xdr:rowOff>0</xdr:rowOff>
        </xdr:from>
        <xdr:to>
          <xdr:col>2</xdr:col>
          <xdr:colOff>0</xdr:colOff>
          <xdr:row>4</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5" t="s">
        <v>1685</v>
      </c>
      <c r="B3" s="156"/>
      <c r="C3" s="156"/>
      <c r="D3" s="157"/>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4" t="s">
        <v>2084</v>
      </c>
      <c r="C5" s="26" t="s">
        <v>966</v>
      </c>
      <c r="D5" s="84"/>
      <c r="E5" s="84"/>
      <c r="H5" s="38"/>
      <c r="I5" s="2007" t="s">
        <v>701</v>
      </c>
      <c r="J5" s="2006"/>
      <c r="K5" s="2006"/>
      <c r="L5" s="2006"/>
      <c r="M5" s="2006"/>
      <c r="N5" s="2006"/>
      <c r="O5" s="2006"/>
      <c r="P5" s="2006"/>
      <c r="Q5" s="2006"/>
      <c r="R5" s="2006"/>
      <c r="S5" s="2006"/>
    </row>
    <row r="6" spans="1:28" ht="14.1" customHeight="1" x14ac:dyDescent="0.2">
      <c r="B6" s="104"/>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8" t="s">
        <v>2073</v>
      </c>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2">
        <v>17054021026</v>
      </c>
      <c r="B13" s="2033"/>
      <c r="C13" s="2033"/>
      <c r="D13" s="2033"/>
      <c r="E13" s="2033"/>
      <c r="F13" s="2033"/>
      <c r="G13" s="2033"/>
      <c r="H13" s="2034"/>
      <c r="I13" s="31"/>
      <c r="J13" s="30"/>
      <c r="K13" s="28"/>
      <c r="L13" s="30"/>
      <c r="M13" s="30"/>
      <c r="N13" s="30"/>
      <c r="O13" s="30"/>
      <c r="P13" s="30"/>
      <c r="Q13" s="30"/>
      <c r="R13" s="30"/>
      <c r="S13" s="30"/>
      <c r="T13" s="2037" t="s">
        <v>2074</v>
      </c>
      <c r="U13" s="2038"/>
      <c r="V13" s="2038"/>
      <c r="W13" s="2038"/>
      <c r="X13" s="2038"/>
      <c r="Y13" s="2039"/>
      <c r="Z13" s="2039"/>
      <c r="AA13" s="204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1" t="s">
        <v>2085</v>
      </c>
      <c r="B15" s="2035"/>
      <c r="C15" s="2035"/>
      <c r="D15" s="2035"/>
      <c r="E15" s="2035"/>
      <c r="F15" s="2035"/>
      <c r="G15" s="2035"/>
      <c r="H15" s="2036"/>
      <c r="T15" s="2041" t="s">
        <v>2075</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2123</v>
      </c>
      <c r="B17" s="1992"/>
      <c r="C17" s="1992"/>
      <c r="D17" s="1992"/>
      <c r="E17" s="1992"/>
      <c r="F17" s="1992"/>
      <c r="G17" s="1992"/>
      <c r="H17" s="2017"/>
      <c r="T17" s="2048" t="s">
        <v>2076</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9" t="s">
        <v>698</v>
      </c>
      <c r="AA18" s="46"/>
    </row>
    <row r="19" spans="1:27" ht="13.5" customHeight="1" x14ac:dyDescent="0.2">
      <c r="A19" s="2031" t="s">
        <v>2086</v>
      </c>
      <c r="B19" s="1977"/>
      <c r="C19" s="1977"/>
      <c r="D19" s="1977"/>
      <c r="E19" s="1977"/>
      <c r="F19" s="1977"/>
      <c r="G19" s="1977"/>
      <c r="H19" s="1957"/>
      <c r="I19" s="30"/>
      <c r="J19" s="99"/>
      <c r="K19" s="40"/>
      <c r="L19" s="38"/>
      <c r="M19" s="112" t="s">
        <v>333</v>
      </c>
      <c r="P19" s="27"/>
      <c r="Q19" s="27"/>
      <c r="R19" s="27"/>
      <c r="S19" s="31"/>
      <c r="T19" s="2031" t="s">
        <v>2077</v>
      </c>
      <c r="U19" s="1956"/>
      <c r="V19" s="1956"/>
      <c r="W19" s="1957"/>
      <c r="X19" s="2046" t="s">
        <v>2078</v>
      </c>
      <c r="Y19" s="2047"/>
      <c r="Z19" s="2044">
        <v>62656</v>
      </c>
      <c r="AA19" s="204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5" t="s">
        <v>2087</v>
      </c>
      <c r="B21" s="1956"/>
      <c r="C21" s="1956"/>
      <c r="D21" s="1956"/>
      <c r="E21" s="1956"/>
      <c r="F21" s="1956"/>
      <c r="G21" s="1956"/>
      <c r="H21" s="1957"/>
      <c r="I21" s="2011" t="s">
        <v>699</v>
      </c>
      <c r="J21" s="2006"/>
      <c r="K21" s="2006"/>
      <c r="L21" s="2006"/>
      <c r="M21" s="2006"/>
      <c r="N21" s="2006"/>
      <c r="O21" s="2006"/>
      <c r="P21" s="2006"/>
      <c r="Q21" s="2006"/>
      <c r="R21" s="2006"/>
      <c r="S21" s="2012"/>
      <c r="T21" s="2055" t="s">
        <v>2079</v>
      </c>
      <c r="U21" s="2056"/>
      <c r="V21" s="2056"/>
      <c r="W21" s="2056"/>
      <c r="X21" s="2061" t="s">
        <v>2080</v>
      </c>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60" t="s">
        <v>1385</v>
      </c>
      <c r="Z22" s="45"/>
      <c r="AA22" s="46"/>
    </row>
    <row r="23" spans="1:27" ht="13.5" customHeight="1" x14ac:dyDescent="0.2">
      <c r="A23" s="2008" t="s">
        <v>2088</v>
      </c>
      <c r="B23" s="2009"/>
      <c r="C23" s="2009"/>
      <c r="D23" s="2009"/>
      <c r="E23" s="2009"/>
      <c r="F23" s="2009"/>
      <c r="G23" s="2009"/>
      <c r="H23" s="2010"/>
      <c r="T23" s="1991" t="s">
        <v>2095</v>
      </c>
      <c r="U23" s="2054"/>
      <c r="V23" s="2054"/>
      <c r="W23" s="2054"/>
      <c r="X23" s="2058">
        <v>44530</v>
      </c>
      <c r="Y23" s="2059"/>
      <c r="Z23" s="2059"/>
      <c r="AA23" s="2060"/>
    </row>
    <row r="24" spans="1:27" ht="14.1" customHeight="1" x14ac:dyDescent="0.2">
      <c r="A24" s="88" t="s">
        <v>698</v>
      </c>
      <c r="B24" s="49"/>
      <c r="C24" s="49"/>
      <c r="D24" s="49"/>
      <c r="E24" s="49"/>
      <c r="F24" s="49"/>
      <c r="G24" s="49"/>
      <c r="H24" s="61"/>
      <c r="J24" s="1978">
        <f>IF(B5="x",IF(AUDITCHECK!D29="AFR form Incomplete.","",IF(AUDITCHECK!D29="Deficit reduction plan is required.","School District must complete a deficit reduction plan in the 2018-2019 Budget",)),"")</f>
        <v>0</v>
      </c>
      <c r="K24" s="1978"/>
      <c r="L24" s="1978"/>
      <c r="M24" s="1978"/>
      <c r="N24" s="1978"/>
      <c r="O24" s="1978"/>
      <c r="P24" s="1978"/>
      <c r="Q24" s="1978"/>
      <c r="R24" s="1978"/>
      <c r="S24" s="1979"/>
      <c r="T24" s="105" t="s">
        <v>552</v>
      </c>
      <c r="U24" s="106"/>
      <c r="V24" s="106"/>
      <c r="W24" s="106"/>
      <c r="X24" s="107"/>
      <c r="Y24" s="107"/>
      <c r="Z24" s="107"/>
      <c r="AA24" s="108"/>
    </row>
    <row r="25" spans="1:27" ht="14.1" customHeight="1" x14ac:dyDescent="0.2">
      <c r="A25" s="1955">
        <v>62643</v>
      </c>
      <c r="B25" s="1956"/>
      <c r="C25" s="1956"/>
      <c r="D25" s="1956"/>
      <c r="E25" s="1956"/>
      <c r="F25" s="1956"/>
      <c r="G25" s="1956"/>
      <c r="H25" s="1957"/>
      <c r="I25" s="113"/>
      <c r="J25" s="1980"/>
      <c r="K25" s="1980"/>
      <c r="L25" s="1980"/>
      <c r="M25" s="1980"/>
      <c r="N25" s="1980"/>
      <c r="O25" s="1980"/>
      <c r="P25" s="1980"/>
      <c r="Q25" s="1980"/>
      <c r="R25" s="1980"/>
      <c r="S25" s="1981"/>
      <c r="T25" s="2051" t="s">
        <v>2081</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6" t="s">
        <v>1591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2073</v>
      </c>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02"/>
      <c r="K30" s="28" t="s">
        <v>597</v>
      </c>
      <c r="L30" s="148" t="s">
        <v>2073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563</v>
      </c>
      <c r="D34" s="31"/>
      <c r="E34" s="31"/>
      <c r="F34" s="31"/>
      <c r="G34" s="31"/>
      <c r="H34" s="31"/>
      <c r="I34" s="54"/>
      <c r="J34" s="83"/>
      <c r="L34" s="101"/>
      <c r="M34" s="93" t="s">
        <v>731</v>
      </c>
      <c r="N34" s="30"/>
      <c r="O34" s="30"/>
      <c r="P34" s="30"/>
      <c r="Q34" s="30"/>
      <c r="R34" s="30"/>
      <c r="S34" s="55"/>
      <c r="T34" s="30"/>
      <c r="U34" s="148" t="s">
        <v>2073</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2089</v>
      </c>
      <c r="B38" s="1992"/>
      <c r="C38" s="1992"/>
      <c r="D38" s="1992"/>
      <c r="E38" s="1992"/>
      <c r="F38" s="1956"/>
      <c r="G38" s="1956"/>
      <c r="H38" s="1957"/>
      <c r="I38" s="1984"/>
      <c r="J38" s="1985"/>
      <c r="K38" s="1985"/>
      <c r="L38" s="1985"/>
      <c r="M38" s="1985"/>
      <c r="N38" s="1985"/>
      <c r="O38" s="1985"/>
      <c r="P38" s="1986"/>
      <c r="Q38" s="1986"/>
      <c r="R38" s="1986"/>
      <c r="S38" s="1987"/>
      <c r="T38" s="2041" t="s">
        <v>2092</v>
      </c>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2088</v>
      </c>
      <c r="B40" s="1970"/>
      <c r="C40" s="1971"/>
      <c r="D40" s="1971"/>
      <c r="E40" s="1971"/>
      <c r="F40" s="1972"/>
      <c r="G40" s="1972"/>
      <c r="H40" s="1973"/>
      <c r="I40" s="1994"/>
      <c r="J40" s="1995"/>
      <c r="K40" s="1995"/>
      <c r="L40" s="1995"/>
      <c r="M40" s="1995"/>
      <c r="N40" s="1995"/>
      <c r="O40" s="1995"/>
      <c r="P40" s="1995"/>
      <c r="Q40" s="1995"/>
      <c r="R40" s="1995"/>
      <c r="S40" s="1996"/>
      <c r="T40" s="1994" t="s">
        <v>2093</v>
      </c>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t="s">
        <v>2090</v>
      </c>
      <c r="B42" s="1975"/>
      <c r="C42" s="1976"/>
      <c r="D42" s="1974" t="s">
        <v>2091</v>
      </c>
      <c r="E42" s="1975"/>
      <c r="F42" s="1975"/>
      <c r="G42" s="1975"/>
      <c r="H42" s="1976"/>
      <c r="I42" s="1958"/>
      <c r="J42" s="1959"/>
      <c r="K42" s="1959"/>
      <c r="L42" s="1959"/>
      <c r="M42" s="1959"/>
      <c r="N42" s="1959"/>
      <c r="O42" s="1960"/>
      <c r="P42" s="1993"/>
      <c r="Q42" s="1959"/>
      <c r="R42" s="1959"/>
      <c r="S42" s="1960"/>
      <c r="T42" s="1958" t="s">
        <v>2094</v>
      </c>
      <c r="U42" s="1959"/>
      <c r="V42" s="1959"/>
      <c r="W42" s="1960"/>
      <c r="X42" s="1993"/>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4000000000000001"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5" zoomScale="110" zoomScaleNormal="110" workbookViewId="0">
      <selection activeCell="A44" sqref="A44:H4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6" t="s">
        <v>1709</v>
      </c>
    </row>
    <row r="23" spans="1:5" x14ac:dyDescent="0.2">
      <c r="A23" s="168"/>
      <c r="B23" s="162" t="s">
        <v>1965</v>
      </c>
      <c r="D23" s="167" t="s">
        <v>658</v>
      </c>
      <c r="E23" s="1856"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election activeCell="A44" sqref="A44:H4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2113</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2074</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379</v>
      </c>
      <c r="E119" s="310"/>
      <c r="F119" s="1858" t="s">
        <v>2018</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72"/>
  <sheetViews>
    <sheetView showGridLines="0" defaultGridColor="0" colorId="8" zoomScale="110" zoomScaleNormal="110" workbookViewId="0">
      <selection activeCell="A44" sqref="A44:H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42728591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3.6976299999999997E-2</v>
      </c>
      <c r="E10" s="356" t="s">
        <v>1062</v>
      </c>
      <c r="F10" s="355">
        <v>6.0962999999999998E-3</v>
      </c>
      <c r="G10" s="356" t="s">
        <v>1062</v>
      </c>
      <c r="H10" s="355">
        <v>3.4172E-3</v>
      </c>
      <c r="I10" s="356" t="s">
        <v>1063</v>
      </c>
      <c r="J10" s="1751">
        <f>ROUND(D10+F10+H10,5)</f>
        <v>4.6489999999999997E-2</v>
      </c>
      <c r="K10" s="222"/>
      <c r="L10" s="355">
        <v>3.3179999999999999E-4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2767495</v>
      </c>
      <c r="E16" s="356"/>
      <c r="F16" s="1752">
        <f>SUM('Acct Summary 7-8'!C17,'Acct Summary 7-8'!D17,'Acct Summary 7-8'!F17)</f>
        <v>2581820</v>
      </c>
      <c r="G16" s="356"/>
      <c r="H16" s="1752">
        <f>SUM(D16-F16)</f>
        <v>185675</v>
      </c>
      <c r="I16" s="222"/>
      <c r="J16" s="1752">
        <f>SUM('Acct Summary 7-8'!C81,'Acct Summary 7-8'!D81,'Acct Summary 7-8'!F81,'Acct Summary 7-8'!I81)</f>
        <v>1853453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5896545.5580000002</v>
      </c>
      <c r="I31" s="368"/>
      <c r="J31" s="222"/>
      <c r="K31" s="222"/>
      <c r="L31" s="222"/>
      <c r="M31" s="222"/>
    </row>
    <row r="32" spans="1:13" ht="13.35" customHeight="1" x14ac:dyDescent="0.2">
      <c r="B32" s="369" t="s">
        <v>2073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208784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zoomScale="110" zoomScaleNormal="110" workbookViewId="0">
      <selection activeCell="A44" sqref="A44:H4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Hartsburg Emden CUSD 21</v>
      </c>
      <c r="E7" s="391"/>
      <c r="G7" s="252"/>
      <c r="H7" s="387"/>
      <c r="I7" s="387"/>
      <c r="J7" s="387"/>
      <c r="K7" s="387"/>
      <c r="L7" s="329"/>
      <c r="M7" s="329"/>
      <c r="N7" s="329"/>
      <c r="O7" s="329"/>
      <c r="P7" s="329"/>
    </row>
    <row r="8" spans="1:18" ht="12.75" x14ac:dyDescent="0.2">
      <c r="A8" s="329"/>
      <c r="B8" s="329"/>
      <c r="C8" s="389" t="s">
        <v>1187</v>
      </c>
      <c r="D8" s="392">
        <f>COVER!A13</f>
        <v>17054021026</v>
      </c>
      <c r="E8" s="393"/>
      <c r="G8" s="329"/>
      <c r="H8" s="329"/>
      <c r="I8" s="329"/>
      <c r="J8" s="329"/>
      <c r="K8" s="329"/>
      <c r="L8" s="329"/>
      <c r="M8" s="329"/>
      <c r="N8" s="329"/>
      <c r="O8" s="329"/>
      <c r="P8" s="329"/>
    </row>
    <row r="9" spans="1:18" ht="12.75" x14ac:dyDescent="0.2">
      <c r="A9" s="329"/>
      <c r="B9" s="329"/>
      <c r="C9" s="389" t="s">
        <v>737</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1853453</v>
      </c>
      <c r="I12" s="404"/>
      <c r="J12" s="404"/>
      <c r="K12" s="405">
        <f>TRUNC((H12/H13*100000),5)/100000</f>
        <v>0.66972225779999994</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2767495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2581820</v>
      </c>
      <c r="I17" s="404"/>
      <c r="J17" s="416"/>
      <c r="K17" s="405">
        <f>TRUNC((H17/H18*100000),5)/100000</f>
        <v>0.93290864119999994</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2767495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1853453</v>
      </c>
      <c r="I24" s="422"/>
      <c r="J24" s="422"/>
      <c r="K24" s="423">
        <f>TRUNC(((H24/H25*100000)/100000),2)</f>
        <v>258.43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7171.7222199999997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1688484.36625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208784</v>
      </c>
      <c r="I32" s="420"/>
      <c r="J32" s="420"/>
      <c r="K32" s="423">
        <f>TRUNC(100-((((H32/H33*100))*100)/100),2)</f>
        <v>96.45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5896545.5580000002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5" footer="0.17"/>
  <pageSetup scale="84"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10" zoomScaleNormal="110" workbookViewId="0">
      <pane ySplit="3" topLeftCell="A4" activePane="bottomLeft" state="frozen"/>
      <selection activeCell="A44" sqref="A44:H44"/>
      <selection pane="bottomLeft" activeCell="A44" sqref="A44:H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81"/>
      <c r="D3" s="1582"/>
      <c r="E3" s="1582"/>
      <c r="F3" s="1582"/>
      <c r="G3" s="1582"/>
      <c r="H3" s="1582"/>
      <c r="I3" s="1582"/>
      <c r="J3" s="1582"/>
      <c r="K3" s="1582"/>
      <c r="L3" s="1582"/>
      <c r="M3" s="1583"/>
      <c r="N3" s="1584"/>
    </row>
    <row r="4" spans="1:14" ht="13.5" customHeight="1" x14ac:dyDescent="0.2">
      <c r="A4" s="463" t="s">
        <v>1750</v>
      </c>
      <c r="B4" s="464"/>
      <c r="C4" s="465">
        <v>461443</v>
      </c>
      <c r="D4" s="466">
        <v>202220</v>
      </c>
      <c r="E4" s="466"/>
      <c r="F4" s="466">
        <v>264803</v>
      </c>
      <c r="G4" s="466">
        <v>101061</v>
      </c>
      <c r="H4" s="466">
        <v>421879</v>
      </c>
      <c r="I4" s="466">
        <v>101109</v>
      </c>
      <c r="J4" s="467"/>
      <c r="K4" s="466">
        <v>24687</v>
      </c>
      <c r="L4" s="466">
        <v>84473</v>
      </c>
      <c r="M4" s="468"/>
      <c r="N4" s="469"/>
    </row>
    <row r="5" spans="1:14" x14ac:dyDescent="0.2">
      <c r="A5" s="463" t="s">
        <v>1049</v>
      </c>
      <c r="B5" s="470">
        <v>120</v>
      </c>
      <c r="C5" s="465">
        <v>200199</v>
      </c>
      <c r="D5" s="466"/>
      <c r="E5" s="466"/>
      <c r="F5" s="466">
        <v>100000</v>
      </c>
      <c r="G5" s="466"/>
      <c r="H5" s="466"/>
      <c r="I5" s="466">
        <v>523679</v>
      </c>
      <c r="J5" s="467"/>
      <c r="K5" s="471">
        <v>70525</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661642</v>
      </c>
      <c r="D13" s="1756">
        <f t="shared" ref="D13:L13" si="0">SUM(D4:D12)</f>
        <v>202220</v>
      </c>
      <c r="E13" s="1756">
        <f t="shared" si="0"/>
        <v>0</v>
      </c>
      <c r="F13" s="1756">
        <f t="shared" si="0"/>
        <v>364803</v>
      </c>
      <c r="G13" s="1756">
        <f t="shared" si="0"/>
        <v>101061</v>
      </c>
      <c r="H13" s="1756">
        <f t="shared" si="0"/>
        <v>421879</v>
      </c>
      <c r="I13" s="1756">
        <f t="shared" si="0"/>
        <v>624788</v>
      </c>
      <c r="J13" s="1756">
        <f t="shared" si="0"/>
        <v>0</v>
      </c>
      <c r="K13" s="1756">
        <f t="shared" si="0"/>
        <v>95212</v>
      </c>
      <c r="L13" s="1756">
        <f t="shared" si="0"/>
        <v>84473</v>
      </c>
      <c r="M13" s="468"/>
      <c r="N13" s="469"/>
    </row>
    <row r="14" spans="1:14" ht="18" customHeight="1" thickTop="1" x14ac:dyDescent="0.2">
      <c r="A14" s="2124" t="s">
        <v>149</v>
      </c>
      <c r="B14" s="212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10588</v>
      </c>
      <c r="N16" s="484"/>
    </row>
    <row r="17" spans="1:14" s="485" customFormat="1" ht="12.75" customHeight="1" x14ac:dyDescent="0.2">
      <c r="A17" s="482" t="s">
        <v>1470</v>
      </c>
      <c r="B17" s="483">
        <v>230</v>
      </c>
      <c r="C17" s="477"/>
      <c r="D17" s="477"/>
      <c r="E17" s="477"/>
      <c r="F17" s="477"/>
      <c r="G17" s="477"/>
      <c r="H17" s="477"/>
      <c r="I17" s="477"/>
      <c r="J17" s="477"/>
      <c r="K17" s="477"/>
      <c r="L17" s="477"/>
      <c r="M17" s="467">
        <v>2358933</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1697623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208784</v>
      </c>
    </row>
    <row r="23" spans="1:14" ht="13.5" customHeight="1" thickBot="1" x14ac:dyDescent="0.25">
      <c r="A23" s="1755" t="s">
        <v>664</v>
      </c>
      <c r="B23" s="1760"/>
      <c r="C23" s="468"/>
      <c r="D23" s="468"/>
      <c r="E23" s="468"/>
      <c r="F23" s="468"/>
      <c r="G23" s="468"/>
      <c r="H23" s="468"/>
      <c r="I23" s="468"/>
      <c r="J23" s="468"/>
      <c r="K23" s="468"/>
      <c r="L23" s="468"/>
      <c r="M23" s="1707">
        <f>SUM(M15:M22)</f>
        <v>4067144</v>
      </c>
      <c r="N23" s="1707">
        <f>SUM(N21:N22)</f>
        <v>208784</v>
      </c>
    </row>
    <row r="24" spans="1:14" ht="18" customHeight="1" thickTop="1" x14ac:dyDescent="0.2">
      <c r="A24" s="2126" t="s">
        <v>619</v>
      </c>
      <c r="B24" s="2127"/>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84473</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84473</v>
      </c>
      <c r="M34" s="468"/>
      <c r="N34" s="480"/>
    </row>
    <row r="35" spans="1:14" ht="18" customHeight="1" thickTop="1" x14ac:dyDescent="0.2">
      <c r="A35" s="2128" t="s">
        <v>550</v>
      </c>
      <c r="B35" s="212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208784</v>
      </c>
    </row>
    <row r="37" spans="1:14" ht="13.5" thickBot="1" x14ac:dyDescent="0.25">
      <c r="A37" s="1755" t="s">
        <v>674</v>
      </c>
      <c r="B37" s="1760"/>
      <c r="C37" s="477"/>
      <c r="D37" s="477"/>
      <c r="E37" s="477"/>
      <c r="F37" s="477"/>
      <c r="G37" s="477"/>
      <c r="H37" s="477"/>
      <c r="I37" s="477"/>
      <c r="J37" s="477"/>
      <c r="K37" s="477"/>
      <c r="L37" s="480"/>
      <c r="M37" s="468"/>
      <c r="N37" s="1707">
        <f>SUM(N36:N36)</f>
        <v>208784</v>
      </c>
    </row>
    <row r="38" spans="1:14" s="329" customFormat="1" ht="13.5" customHeight="1" thickTop="1" x14ac:dyDescent="0.2">
      <c r="A38" s="496" t="s">
        <v>440</v>
      </c>
      <c r="B38" s="483">
        <v>714</v>
      </c>
      <c r="C38" s="466">
        <v>3314</v>
      </c>
      <c r="D38" s="466"/>
      <c r="E38" s="466"/>
      <c r="F38" s="466"/>
      <c r="G38" s="466">
        <v>33397</v>
      </c>
      <c r="H38" s="466">
        <v>421879</v>
      </c>
      <c r="I38" s="466"/>
      <c r="J38" s="467"/>
      <c r="K38" s="466"/>
      <c r="L38" s="481"/>
      <c r="M38" s="497"/>
      <c r="N38" s="497"/>
    </row>
    <row r="39" spans="1:14" s="329" customFormat="1" ht="13.5" customHeight="1" x14ac:dyDescent="0.2">
      <c r="A39" s="496" t="s">
        <v>360</v>
      </c>
      <c r="B39" s="483">
        <v>730</v>
      </c>
      <c r="C39" s="466">
        <v>658328</v>
      </c>
      <c r="D39" s="466">
        <v>202220</v>
      </c>
      <c r="E39" s="466"/>
      <c r="F39" s="466">
        <v>364803</v>
      </c>
      <c r="G39" s="466">
        <v>67664</v>
      </c>
      <c r="H39" s="466"/>
      <c r="I39" s="466">
        <v>624788</v>
      </c>
      <c r="J39" s="467"/>
      <c r="K39" s="466">
        <v>95212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4067144</v>
      </c>
      <c r="N40" s="497"/>
    </row>
    <row r="41" spans="1:14" ht="13.5" customHeight="1" thickBot="1" x14ac:dyDescent="0.25">
      <c r="A41" s="1755" t="s">
        <v>676</v>
      </c>
      <c r="B41" s="1725"/>
      <c r="C41" s="1707">
        <f>(SUM(C34,C37,C38,C39))</f>
        <v>661642</v>
      </c>
      <c r="D41" s="1707">
        <f t="shared" ref="D41:L41" si="2">SUM(D34,D37,D38:D39)</f>
        <v>202220</v>
      </c>
      <c r="E41" s="1707">
        <f t="shared" si="2"/>
        <v>0</v>
      </c>
      <c r="F41" s="1707">
        <f t="shared" si="2"/>
        <v>364803</v>
      </c>
      <c r="G41" s="1707">
        <f t="shared" si="2"/>
        <v>101061</v>
      </c>
      <c r="H41" s="1707">
        <f t="shared" si="2"/>
        <v>421879</v>
      </c>
      <c r="I41" s="1707">
        <f t="shared" si="2"/>
        <v>624788</v>
      </c>
      <c r="J41" s="1707">
        <f t="shared" si="2"/>
        <v>0</v>
      </c>
      <c r="K41" s="1707">
        <f t="shared" si="2"/>
        <v>95212</v>
      </c>
      <c r="L41" s="1707">
        <f t="shared" si="2"/>
        <v>84473</v>
      </c>
      <c r="M41" s="1707">
        <f>SUM(M40)</f>
        <v>4067144</v>
      </c>
      <c r="N41" s="1707">
        <f>SUM(N37)</f>
        <v>208784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&amp;LPrint Date: &amp;D
&amp;F
&amp;CThe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C1" colorId="8" zoomScale="110" zoomScaleNormal="110" zoomScaleSheetLayoutView="100" workbookViewId="0">
      <pane ySplit="2" topLeftCell="A60" activePane="bottomLeft" state="frozenSplit"/>
      <selection activeCell="A44" sqref="A44:H44"/>
      <selection pane="bottomLeft" activeCell="A44" sqref="A44:H4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5"/>
      <c r="D3" s="1596"/>
      <c r="E3" s="1596"/>
      <c r="F3" s="1596"/>
      <c r="G3" s="1596"/>
      <c r="H3" s="1596"/>
      <c r="I3" s="1596"/>
      <c r="J3" s="1596"/>
      <c r="K3" s="1597"/>
      <c r="L3" s="506"/>
    </row>
    <row r="4" spans="1:13" ht="15.75" customHeight="1" x14ac:dyDescent="0.2">
      <c r="A4" s="1948" t="s">
        <v>1579</v>
      </c>
      <c r="B4" s="1949">
        <v>1000</v>
      </c>
      <c r="C4" s="1761">
        <f>'Revenues 9-14'!C109</f>
        <v>1735741</v>
      </c>
      <c r="D4" s="1761">
        <f>'Revenues 9-14'!D109</f>
        <v>284843</v>
      </c>
      <c r="E4" s="1761">
        <f>'Revenues 9-14'!E109</f>
        <v>0</v>
      </c>
      <c r="F4" s="1761">
        <f>'Revenues 9-14'!F109</f>
        <v>147243</v>
      </c>
      <c r="G4" s="1761">
        <f>'Revenues 9-14'!G109</f>
        <v>89250</v>
      </c>
      <c r="H4" s="1761">
        <f>'Revenues 9-14'!H109</f>
        <v>92574</v>
      </c>
      <c r="I4" s="1761">
        <f>'Revenues 9-14'!I109</f>
        <v>17341</v>
      </c>
      <c r="J4" s="1761">
        <f>'Revenues 9-14'!J109</f>
        <v>0</v>
      </c>
      <c r="K4" s="1761">
        <f>'Revenues 9-14'!K109</f>
        <v>6730</v>
      </c>
      <c r="L4" s="347"/>
    </row>
    <row r="5" spans="1:13" ht="15.75" customHeight="1" x14ac:dyDescent="0.2">
      <c r="A5" s="1598" t="s">
        <v>1580</v>
      </c>
      <c r="B5" s="1599">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8" t="s">
        <v>1581</v>
      </c>
      <c r="B6" s="1600">
        <v>3000</v>
      </c>
      <c r="C6" s="1762">
        <f>'Revenues 9-14'!C173</f>
        <v>358926</v>
      </c>
      <c r="D6" s="1762">
        <f>'Revenues 9-14'!D173</f>
        <v>0</v>
      </c>
      <c r="E6" s="1762">
        <f>'Revenues 9-14'!E173</f>
        <v>0</v>
      </c>
      <c r="F6" s="1762">
        <f>'Revenues 9-14'!F173</f>
        <v>56905</v>
      </c>
      <c r="G6" s="1762">
        <f>'Revenues 9-14'!G173</f>
        <v>0</v>
      </c>
      <c r="H6" s="1762">
        <f>'Revenues 9-14'!H173</f>
        <v>0</v>
      </c>
      <c r="I6" s="1762">
        <f>'Revenues 9-14'!I173</f>
        <v>0</v>
      </c>
      <c r="J6" s="1762">
        <f>'Revenues 9-14'!J173</f>
        <v>0</v>
      </c>
      <c r="K6" s="1762">
        <f>'Revenues 9-14'!K173</f>
        <v>0</v>
      </c>
      <c r="L6" s="347"/>
      <c r="M6" s="513"/>
    </row>
    <row r="7" spans="1:13" ht="15.75" customHeight="1" x14ac:dyDescent="0.2">
      <c r="A7" s="1598" t="s">
        <v>1582</v>
      </c>
      <c r="B7" s="1600">
        <v>4000</v>
      </c>
      <c r="C7" s="1762">
        <f>'Revenues 9-14'!C274</f>
        <v>166496</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2261163</v>
      </c>
      <c r="D8" s="1707">
        <f t="shared" ref="D8:K8" si="0">SUM(D4:D7)</f>
        <v>284843</v>
      </c>
      <c r="E8" s="1707">
        <f t="shared" si="0"/>
        <v>0</v>
      </c>
      <c r="F8" s="1707">
        <f t="shared" si="0"/>
        <v>204148</v>
      </c>
      <c r="G8" s="1707">
        <f t="shared" si="0"/>
        <v>89250</v>
      </c>
      <c r="H8" s="1707">
        <f t="shared" si="0"/>
        <v>92574</v>
      </c>
      <c r="I8" s="1707">
        <f t="shared" si="0"/>
        <v>17341</v>
      </c>
      <c r="J8" s="1707">
        <f t="shared" si="0"/>
        <v>0</v>
      </c>
      <c r="K8" s="1707">
        <f t="shared" si="0"/>
        <v>6730</v>
      </c>
      <c r="L8" s="347"/>
    </row>
    <row r="9" spans="1:13" ht="15.75" thickTop="1" x14ac:dyDescent="0.2">
      <c r="A9" s="514" t="s">
        <v>1752</v>
      </c>
      <c r="B9" s="515">
        <v>3998</v>
      </c>
      <c r="C9" s="481">
        <v>954113</v>
      </c>
      <c r="D9" s="516"/>
      <c r="E9" s="481"/>
      <c r="F9" s="481"/>
      <c r="G9" s="517"/>
      <c r="H9" s="481"/>
      <c r="I9" s="509" t="s">
        <v>1231</v>
      </c>
      <c r="J9" s="478"/>
      <c r="K9" s="481"/>
      <c r="L9" s="347"/>
    </row>
    <row r="10" spans="1:13" s="519" customFormat="1" ht="13.5" thickBot="1" x14ac:dyDescent="0.25">
      <c r="A10" s="1755" t="s">
        <v>1235</v>
      </c>
      <c r="B10" s="1728"/>
      <c r="C10" s="1707">
        <f>SUM(C8:C9)</f>
        <v>3215276</v>
      </c>
      <c r="D10" s="1707">
        <f t="shared" ref="D10:K10" si="1">SUM(D8:D9)</f>
        <v>284843</v>
      </c>
      <c r="E10" s="1707">
        <f t="shared" si="1"/>
        <v>0</v>
      </c>
      <c r="F10" s="1707">
        <f t="shared" si="1"/>
        <v>204148</v>
      </c>
      <c r="G10" s="1707">
        <f t="shared" si="1"/>
        <v>89250</v>
      </c>
      <c r="H10" s="1707">
        <f t="shared" si="1"/>
        <v>92574</v>
      </c>
      <c r="I10" s="1707">
        <f t="shared" si="1"/>
        <v>17341</v>
      </c>
      <c r="J10" s="1707">
        <f t="shared" si="1"/>
        <v>0</v>
      </c>
      <c r="K10" s="1707">
        <f t="shared" si="1"/>
        <v>6730</v>
      </c>
      <c r="L10" s="518"/>
    </row>
    <row r="11" spans="1:13" s="519" customFormat="1" ht="16.7" customHeight="1" thickTop="1" x14ac:dyDescent="0.2">
      <c r="A11" s="2124" t="s">
        <v>1238</v>
      </c>
      <c r="B11" s="2125"/>
      <c r="C11" s="1592"/>
      <c r="D11" s="1593"/>
      <c r="E11" s="1593"/>
      <c r="F11" s="1593"/>
      <c r="G11" s="1593"/>
      <c r="H11" s="1593"/>
      <c r="I11" s="1593"/>
      <c r="J11" s="1593"/>
      <c r="K11" s="1594"/>
      <c r="L11" s="518"/>
    </row>
    <row r="12" spans="1:13" ht="15.75" customHeight="1" x14ac:dyDescent="0.2">
      <c r="A12" s="1598" t="s">
        <v>476</v>
      </c>
      <c r="B12" s="1600">
        <v>1000</v>
      </c>
      <c r="C12" s="1761">
        <f>'Expenditures 15-22'!K33</f>
        <v>1386131</v>
      </c>
      <c r="D12" s="520" t="s">
        <v>1231</v>
      </c>
      <c r="E12" s="468" t="s">
        <v>1231</v>
      </c>
      <c r="F12" s="468" t="s">
        <v>1231</v>
      </c>
      <c r="G12" s="1761">
        <f>'Expenditures 15-22'!K229</f>
        <v>18535</v>
      </c>
      <c r="H12" s="521"/>
      <c r="I12" s="468" t="s">
        <v>1231</v>
      </c>
      <c r="J12" s="468" t="s">
        <v>1231</v>
      </c>
      <c r="K12" s="521" t="s">
        <v>1231</v>
      </c>
      <c r="L12" s="347"/>
    </row>
    <row r="13" spans="1:13" ht="15.75" customHeight="1" x14ac:dyDescent="0.2">
      <c r="A13" s="1598" t="s">
        <v>477</v>
      </c>
      <c r="B13" s="1600">
        <v>2000</v>
      </c>
      <c r="C13" s="1762">
        <f>'Expenditures 15-22'!K74</f>
        <v>637604</v>
      </c>
      <c r="D13" s="1762">
        <f>'Expenditures 15-22'!K129</f>
        <v>287986</v>
      </c>
      <c r="E13" s="469" t="s">
        <v>1231</v>
      </c>
      <c r="F13" s="1762">
        <f>'Expenditures 15-22'!K184</f>
        <v>189038</v>
      </c>
      <c r="G13" s="1762">
        <f>'Expenditures 15-22'!K279</f>
        <v>49456</v>
      </c>
      <c r="H13" s="1762">
        <f>'Expenditures 15-22'!K303</f>
        <v>24637</v>
      </c>
      <c r="I13" s="468" t="s">
        <v>1231</v>
      </c>
      <c r="J13" s="1762">
        <f>'Expenditures 15-22'!K330</f>
        <v>0</v>
      </c>
      <c r="K13" s="1766">
        <f>'Expenditures 15-22'!K352</f>
        <v>3899</v>
      </c>
      <c r="L13" s="347"/>
    </row>
    <row r="14" spans="1:13" ht="15.75" customHeight="1" x14ac:dyDescent="0.2">
      <c r="A14" s="1598" t="s">
        <v>469</v>
      </c>
      <c r="B14" s="1600">
        <v>3000</v>
      </c>
      <c r="C14" s="1762">
        <f>'Expenditures 15-22'!K75</f>
        <v>0</v>
      </c>
      <c r="D14" s="1762">
        <f>'Expenditures 15-22'!K130</f>
        <v>0</v>
      </c>
      <c r="E14" s="520" t="s">
        <v>1231</v>
      </c>
      <c r="F14" s="1762">
        <f>'Expenditures 15-22'!K185</f>
        <v>0</v>
      </c>
      <c r="G14" s="1762">
        <f>'Expenditures 15-22'!K280</f>
        <v>0</v>
      </c>
      <c r="H14" s="512"/>
      <c r="I14" s="468" t="s">
        <v>1231</v>
      </c>
      <c r="J14" s="468" t="s">
        <v>1231</v>
      </c>
      <c r="K14" s="512" t="s">
        <v>1231</v>
      </c>
      <c r="L14" s="347"/>
    </row>
    <row r="15" spans="1:13" ht="15.75" customHeight="1" x14ac:dyDescent="0.2">
      <c r="A15" s="1598" t="s">
        <v>109</v>
      </c>
      <c r="B15" s="1600">
        <v>4000</v>
      </c>
      <c r="C15" s="1762">
        <f>'Expenditures 15-22'!K102</f>
        <v>71606</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8" t="s">
        <v>470</v>
      </c>
      <c r="B16" s="1600">
        <v>5000</v>
      </c>
      <c r="C16" s="1762">
        <f>'Expenditures 15-22'!K112</f>
        <v>0</v>
      </c>
      <c r="D16" s="1762">
        <f>'Expenditures 15-22'!K149</f>
        <v>0</v>
      </c>
      <c r="E16" s="1762">
        <f>'Expenditures 15-22'!K172</f>
        <v>0</v>
      </c>
      <c r="F16" s="1762">
        <f>'Expenditures 15-22'!K208</f>
        <v>9455</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2095341</v>
      </c>
      <c r="D17" s="1707">
        <f t="shared" si="2"/>
        <v>287986</v>
      </c>
      <c r="E17" s="1707">
        <f t="shared" si="2"/>
        <v>0</v>
      </c>
      <c r="F17" s="1707">
        <f t="shared" si="2"/>
        <v>198493</v>
      </c>
      <c r="G17" s="1707">
        <f t="shared" si="2"/>
        <v>67991</v>
      </c>
      <c r="H17" s="1707">
        <f t="shared" si="2"/>
        <v>24637</v>
      </c>
      <c r="I17" s="468"/>
      <c r="J17" s="1707">
        <f>SUM(J12:J16)</f>
        <v>0</v>
      </c>
      <c r="K17" s="1707">
        <f>SUM(K12:K16)</f>
        <v>3899</v>
      </c>
      <c r="L17" s="347"/>
    </row>
    <row r="18" spans="1:12" ht="15" customHeight="1" thickTop="1" x14ac:dyDescent="0.2">
      <c r="A18" s="1763" t="s">
        <v>1753</v>
      </c>
      <c r="B18" s="1764">
        <v>4180</v>
      </c>
      <c r="C18" s="1761">
        <f t="shared" ref="C18:H18" si="3">C9</f>
        <v>954113</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3049454</v>
      </c>
      <c r="D19" s="1707">
        <f t="shared" si="4"/>
        <v>287986</v>
      </c>
      <c r="E19" s="1707">
        <f t="shared" si="4"/>
        <v>0</v>
      </c>
      <c r="F19" s="1707">
        <f t="shared" si="4"/>
        <v>198493</v>
      </c>
      <c r="G19" s="1707">
        <f t="shared" si="4"/>
        <v>67991</v>
      </c>
      <c r="H19" s="1707">
        <f t="shared" si="4"/>
        <v>24637</v>
      </c>
      <c r="I19" s="468"/>
      <c r="J19" s="1707">
        <f>SUM(J17:J18)</f>
        <v>0</v>
      </c>
      <c r="K19" s="1707">
        <f>SUM(K17:K18)</f>
        <v>3899</v>
      </c>
      <c r="L19" s="347"/>
    </row>
    <row r="20" spans="1:12" ht="16.5" thickTop="1" thickBot="1" x14ac:dyDescent="0.25">
      <c r="A20" s="2140" t="s">
        <v>1754</v>
      </c>
      <c r="B20" s="2141"/>
      <c r="C20" s="1765">
        <f>C8-C17</f>
        <v>165822</v>
      </c>
      <c r="D20" s="1765">
        <f t="shared" ref="D20:K20" si="5">D8-D17</f>
        <v>-3143</v>
      </c>
      <c r="E20" s="1765">
        <f t="shared" si="5"/>
        <v>0</v>
      </c>
      <c r="F20" s="1765">
        <f t="shared" si="5"/>
        <v>5655</v>
      </c>
      <c r="G20" s="1765">
        <f t="shared" si="5"/>
        <v>21259</v>
      </c>
      <c r="H20" s="1765">
        <f t="shared" si="5"/>
        <v>67937</v>
      </c>
      <c r="I20" s="1765">
        <f t="shared" si="5"/>
        <v>17341</v>
      </c>
      <c r="J20" s="1765">
        <f t="shared" si="5"/>
        <v>0</v>
      </c>
      <c r="K20" s="1765">
        <f t="shared" si="5"/>
        <v>2831</v>
      </c>
      <c r="L20" s="347"/>
    </row>
    <row r="21" spans="1:12" ht="16.7" customHeight="1" thickTop="1" x14ac:dyDescent="0.2">
      <c r="A21" s="2152" t="s">
        <v>616</v>
      </c>
      <c r="B21" s="2153"/>
      <c r="C21" s="1592"/>
      <c r="D21" s="1593"/>
      <c r="E21" s="1593"/>
      <c r="F21" s="1593"/>
      <c r="G21" s="1593"/>
      <c r="H21" s="1593"/>
      <c r="I21" s="1593"/>
      <c r="J21" s="1593"/>
      <c r="K21" s="1594"/>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v>2750</v>
      </c>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v>3000</v>
      </c>
      <c r="G36" s="467"/>
      <c r="H36" s="467"/>
      <c r="I36" s="475"/>
      <c r="J36" s="467"/>
      <c r="K36" s="467"/>
      <c r="L36" s="524"/>
    </row>
    <row r="37" spans="1:12" s="485" customFormat="1" x14ac:dyDescent="0.2">
      <c r="A37" s="1511" t="s">
        <v>461</v>
      </c>
      <c r="B37" s="525">
        <v>7400</v>
      </c>
      <c r="C37" s="475"/>
      <c r="D37" s="475"/>
      <c r="E37" s="1762">
        <f>SUM(C54:D57,H54:H57)</f>
        <v>0</v>
      </c>
      <c r="F37" s="475"/>
      <c r="G37" s="475"/>
      <c r="H37" s="475"/>
      <c r="I37" s="477"/>
      <c r="J37" s="475"/>
      <c r="K37" s="475"/>
      <c r="L37" s="524"/>
    </row>
    <row r="38" spans="1:12" s="485" customFormat="1" x14ac:dyDescent="0.2">
      <c r="A38" s="1511" t="s">
        <v>462</v>
      </c>
      <c r="B38" s="525">
        <v>7500</v>
      </c>
      <c r="C38" s="477"/>
      <c r="D38" s="477"/>
      <c r="E38" s="1762">
        <f>SUM(C58:D61,H58:H61)</f>
        <v>0</v>
      </c>
      <c r="F38" s="477"/>
      <c r="G38" s="477"/>
      <c r="H38" s="477"/>
      <c r="I38" s="477"/>
      <c r="J38" s="477"/>
      <c r="K38" s="477"/>
      <c r="L38" s="524"/>
    </row>
    <row r="39" spans="1:12" s="485" customFormat="1" x14ac:dyDescent="0.2">
      <c r="A39" s="1511" t="s">
        <v>463</v>
      </c>
      <c r="B39" s="525">
        <v>7600</v>
      </c>
      <c r="C39" s="477"/>
      <c r="D39" s="477"/>
      <c r="E39" s="1762">
        <f>SUM(C62:D65)</f>
        <v>0</v>
      </c>
      <c r="F39" s="477"/>
      <c r="G39" s="477"/>
      <c r="H39" s="477"/>
      <c r="I39" s="477"/>
      <c r="J39" s="477"/>
      <c r="K39" s="477"/>
      <c r="L39" s="524"/>
    </row>
    <row r="40" spans="1:12" s="485" customFormat="1" ht="13.5" customHeight="1" x14ac:dyDescent="0.2">
      <c r="A40" s="1511" t="s">
        <v>663</v>
      </c>
      <c r="B40" s="483">
        <v>7700</v>
      </c>
      <c r="C40" s="477"/>
      <c r="D40" s="477"/>
      <c r="E40" s="1762">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2">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4" t="s">
        <v>392</v>
      </c>
      <c r="B44" s="2155"/>
      <c r="C44" s="1722">
        <f>SUM(C24:C43)</f>
        <v>0</v>
      </c>
      <c r="D44" s="1722">
        <f t="shared" ref="D44:K44" si="6">SUM(D24:D43)</f>
        <v>2750</v>
      </c>
      <c r="E44" s="1722">
        <f t="shared" si="6"/>
        <v>0</v>
      </c>
      <c r="F44" s="1722">
        <f t="shared" si="6"/>
        <v>3000</v>
      </c>
      <c r="G44" s="1722">
        <f t="shared" si="6"/>
        <v>0</v>
      </c>
      <c r="H44" s="1722">
        <f t="shared" si="6"/>
        <v>0</v>
      </c>
      <c r="I44" s="1722">
        <f t="shared" si="6"/>
        <v>0</v>
      </c>
      <c r="J44" s="1722">
        <f t="shared" si="6"/>
        <v>0</v>
      </c>
      <c r="K44" s="1722">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2">
        <f>SUM(C24,C25:H25,J25:K25)</f>
        <v>0</v>
      </c>
      <c r="J47" s="477"/>
      <c r="K47" s="477"/>
      <c r="L47" s="529"/>
    </row>
    <row r="48" spans="1:12" s="485" customFormat="1" ht="15" x14ac:dyDescent="0.2">
      <c r="A48" s="1512" t="s">
        <v>1759</v>
      </c>
      <c r="B48" s="483">
        <v>8120</v>
      </c>
      <c r="C48" s="480"/>
      <c r="D48" s="480"/>
      <c r="E48" s="477"/>
      <c r="F48" s="480"/>
      <c r="G48" s="477"/>
      <c r="H48" s="477"/>
      <c r="I48" s="1762">
        <f>SUM(C26:H26,J26,K26)</f>
        <v>2750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2">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2">
        <f>D30</f>
        <v>0</v>
      </c>
      <c r="L52" s="524"/>
    </row>
    <row r="53" spans="1:12" s="485" customFormat="1" ht="26.25" x14ac:dyDescent="0.2">
      <c r="A53" s="1512" t="s">
        <v>1898</v>
      </c>
      <c r="B53" s="483">
        <v>8170</v>
      </c>
      <c r="C53" s="480"/>
      <c r="D53" s="480"/>
      <c r="E53" s="477"/>
      <c r="F53" s="477"/>
      <c r="G53" s="477"/>
      <c r="H53" s="480"/>
      <c r="I53" s="477"/>
      <c r="J53" s="477"/>
      <c r="K53" s="1762">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0" t="s">
        <v>460</v>
      </c>
      <c r="B76" s="2131"/>
      <c r="C76" s="1722">
        <f t="shared" ref="C76:K76" si="7">SUM(C47:C75)</f>
        <v>0</v>
      </c>
      <c r="D76" s="1722">
        <f t="shared" si="7"/>
        <v>0</v>
      </c>
      <c r="E76" s="1722">
        <f t="shared" si="7"/>
        <v>0</v>
      </c>
      <c r="F76" s="1722">
        <f t="shared" si="7"/>
        <v>0</v>
      </c>
      <c r="G76" s="1722">
        <f t="shared" si="7"/>
        <v>0</v>
      </c>
      <c r="H76" s="1722">
        <f t="shared" si="7"/>
        <v>0</v>
      </c>
      <c r="I76" s="1722">
        <f t="shared" si="7"/>
        <v>2750</v>
      </c>
      <c r="J76" s="1722">
        <f t="shared" si="7"/>
        <v>0</v>
      </c>
      <c r="K76" s="1722">
        <f t="shared" si="7"/>
        <v>0</v>
      </c>
      <c r="L76" s="524"/>
    </row>
    <row r="77" spans="1:12" ht="14.25" thickTop="1" thickBot="1" x14ac:dyDescent="0.25">
      <c r="A77" s="2132" t="s">
        <v>1239</v>
      </c>
      <c r="B77" s="2133"/>
      <c r="C77" s="1722">
        <f t="shared" ref="C77:K77" si="8">C44-C76</f>
        <v>0</v>
      </c>
      <c r="D77" s="1722">
        <f t="shared" si="8"/>
        <v>2750</v>
      </c>
      <c r="E77" s="1722">
        <f t="shared" si="8"/>
        <v>0</v>
      </c>
      <c r="F77" s="1722">
        <f t="shared" si="8"/>
        <v>3000</v>
      </c>
      <c r="G77" s="1722">
        <f t="shared" si="8"/>
        <v>0</v>
      </c>
      <c r="H77" s="1722">
        <f t="shared" si="8"/>
        <v>0</v>
      </c>
      <c r="I77" s="1722">
        <f t="shared" si="8"/>
        <v>-2750</v>
      </c>
      <c r="J77" s="1722">
        <f t="shared" si="8"/>
        <v>0</v>
      </c>
      <c r="K77" s="1722">
        <f t="shared" si="8"/>
        <v>0</v>
      </c>
      <c r="L77" s="347"/>
    </row>
    <row r="78" spans="1:12" ht="21.75" customHeight="1" thickTop="1" thickBot="1" x14ac:dyDescent="0.25">
      <c r="A78" s="2136" t="s">
        <v>618</v>
      </c>
      <c r="B78" s="2137"/>
      <c r="C78" s="1721">
        <f t="shared" ref="C78:K78" si="9">C20+C77</f>
        <v>165822</v>
      </c>
      <c r="D78" s="1721">
        <f t="shared" si="9"/>
        <v>-393</v>
      </c>
      <c r="E78" s="1721">
        <f t="shared" si="9"/>
        <v>0</v>
      </c>
      <c r="F78" s="1721">
        <f t="shared" si="9"/>
        <v>8655</v>
      </c>
      <c r="G78" s="1721">
        <f t="shared" si="9"/>
        <v>21259</v>
      </c>
      <c r="H78" s="1721">
        <f t="shared" si="9"/>
        <v>67937</v>
      </c>
      <c r="I78" s="1721">
        <f t="shared" si="9"/>
        <v>14591</v>
      </c>
      <c r="J78" s="1721">
        <f t="shared" si="9"/>
        <v>0</v>
      </c>
      <c r="K78" s="1721">
        <f t="shared" si="9"/>
        <v>2831</v>
      </c>
      <c r="L78" s="533"/>
    </row>
    <row r="79" spans="1:12" ht="13.5" thickTop="1" x14ac:dyDescent="0.2">
      <c r="A79" s="1516" t="s">
        <v>2069</v>
      </c>
      <c r="B79" s="534"/>
      <c r="C79" s="478">
        <v>495820</v>
      </c>
      <c r="D79" s="535">
        <v>202613</v>
      </c>
      <c r="E79" s="535">
        <v>0</v>
      </c>
      <c r="F79" s="535">
        <v>356148</v>
      </c>
      <c r="G79" s="535">
        <v>79802</v>
      </c>
      <c r="H79" s="535">
        <v>353942</v>
      </c>
      <c r="I79" s="535">
        <v>610197</v>
      </c>
      <c r="J79" s="535"/>
      <c r="K79" s="535">
        <v>92381</v>
      </c>
      <c r="L79" s="347"/>
    </row>
    <row r="80" spans="1:12" x14ac:dyDescent="0.2">
      <c r="A80" s="2142" t="s">
        <v>1897</v>
      </c>
      <c r="B80" s="2143"/>
      <c r="C80" s="467"/>
      <c r="D80" s="467"/>
      <c r="E80" s="467"/>
      <c r="F80" s="467"/>
      <c r="G80" s="467"/>
      <c r="H80" s="467"/>
      <c r="I80" s="467"/>
      <c r="J80" s="467"/>
      <c r="K80" s="467"/>
      <c r="L80" s="347"/>
    </row>
    <row r="81" spans="1:12" ht="13.5" thickBot="1" x14ac:dyDescent="0.25">
      <c r="A81" s="2134" t="s">
        <v>2070</v>
      </c>
      <c r="B81" s="2135"/>
      <c r="C81" s="1707">
        <f>(SUM(C78:C80))</f>
        <v>661642</v>
      </c>
      <c r="D81" s="1707">
        <f>SUM(D78:D80)</f>
        <v>202220</v>
      </c>
      <c r="E81" s="1707">
        <f t="shared" ref="E81:K81" si="10">SUM(E78:E80)</f>
        <v>0</v>
      </c>
      <c r="F81" s="1707">
        <f t="shared" si="10"/>
        <v>364803</v>
      </c>
      <c r="G81" s="1707">
        <f t="shared" si="10"/>
        <v>101061</v>
      </c>
      <c r="H81" s="1707">
        <f t="shared" si="10"/>
        <v>421879</v>
      </c>
      <c r="I81" s="1707">
        <f t="shared" si="10"/>
        <v>624788</v>
      </c>
      <c r="J81" s="1707">
        <f t="shared" si="10"/>
        <v>0</v>
      </c>
      <c r="K81" s="1707">
        <f t="shared" si="10"/>
        <v>95212</v>
      </c>
      <c r="L81" s="347"/>
    </row>
    <row r="82" spans="1:12" ht="0.75" customHeight="1" thickTop="1" thickBot="1" x14ac:dyDescent="0.25">
      <c r="A82" s="536" t="s">
        <v>361</v>
      </c>
      <c r="B82" s="537"/>
      <c r="C82" s="538">
        <f>(C81-C79)</f>
        <v>165822</v>
      </c>
      <c r="D82" s="538">
        <f t="shared" ref="D82:K82" si="11">(D81-D79)</f>
        <v>-393</v>
      </c>
      <c r="E82" s="538">
        <f t="shared" si="11"/>
        <v>0</v>
      </c>
      <c r="F82" s="538">
        <f t="shared" si="11"/>
        <v>8655</v>
      </c>
      <c r="G82" s="538">
        <f t="shared" si="11"/>
        <v>21259</v>
      </c>
      <c r="H82" s="538">
        <f t="shared" si="11"/>
        <v>67937</v>
      </c>
      <c r="I82" s="538">
        <f t="shared" si="11"/>
        <v>14591</v>
      </c>
      <c r="J82" s="538">
        <f t="shared" si="11"/>
        <v>0</v>
      </c>
      <c r="K82" s="538">
        <f t="shared" si="11"/>
        <v>2831</v>
      </c>
    </row>
    <row r="83" spans="1:12" ht="14.25" hidden="1" thickTop="1" thickBot="1" x14ac:dyDescent="0.25">
      <c r="A83" s="539" t="s">
        <v>362</v>
      </c>
      <c r="B83" s="464"/>
      <c r="C83" s="540">
        <f>C82/C81</f>
        <v>0.25062193754326356</v>
      </c>
      <c r="D83" s="540">
        <f t="shared" ref="D83:K83" si="12">D82/D81</f>
        <v>-1.9434279497576896E-3</v>
      </c>
      <c r="E83" s="540" t="e">
        <f t="shared" si="12"/>
        <v>#DIV/0!</v>
      </c>
      <c r="F83" s="540">
        <f t="shared" si="12"/>
        <v>2.3725133839359872E-2</v>
      </c>
      <c r="G83" s="540">
        <f t="shared" si="12"/>
        <v>0.21035810055313128</v>
      </c>
      <c r="H83" s="540">
        <f t="shared" si="12"/>
        <v>0.1610343250078814</v>
      </c>
      <c r="I83" s="540">
        <f t="shared" si="12"/>
        <v>2.3353521514497717E-2</v>
      </c>
      <c r="J83" s="540" t="e">
        <f t="shared" si="12"/>
        <v>#DIV/0!</v>
      </c>
      <c r="K83" s="540">
        <f t="shared" si="12"/>
        <v>2.9733647019283285E-2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4" sqref="A44:H44"/>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1904</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1524672</v>
      </c>
      <c r="D5" s="481">
        <v>259243</v>
      </c>
      <c r="E5" s="466"/>
      <c r="F5" s="548">
        <v>145817</v>
      </c>
      <c r="G5" s="466">
        <v>38570</v>
      </c>
      <c r="H5" s="466"/>
      <c r="I5" s="466">
        <v>14591</v>
      </c>
      <c r="J5" s="467"/>
      <c r="K5" s="466">
        <v>6554</v>
      </c>
    </row>
    <row r="6" spans="1:12" ht="15" x14ac:dyDescent="0.2">
      <c r="A6" s="463" t="s">
        <v>1761</v>
      </c>
      <c r="B6" s="470">
        <v>1130</v>
      </c>
      <c r="C6" s="466">
        <v>10081</v>
      </c>
      <c r="D6" s="466"/>
      <c r="E6" s="475"/>
      <c r="F6" s="475"/>
      <c r="G6" s="468"/>
      <c r="H6" s="468"/>
      <c r="I6" s="468"/>
      <c r="J6" s="468"/>
      <c r="K6" s="468"/>
    </row>
    <row r="7" spans="1:12" x14ac:dyDescent="0.2">
      <c r="A7" s="463" t="s">
        <v>112</v>
      </c>
      <c r="B7" s="549">
        <v>1140</v>
      </c>
      <c r="C7" s="466">
        <v>30211</v>
      </c>
      <c r="D7" s="466"/>
      <c r="E7" s="468"/>
      <c r="F7" s="467"/>
      <c r="G7" s="467"/>
      <c r="H7" s="467"/>
      <c r="I7" s="468"/>
      <c r="J7" s="468"/>
      <c r="K7" s="468"/>
    </row>
    <row r="8" spans="1:12" x14ac:dyDescent="0.2">
      <c r="A8" s="463" t="s">
        <v>433</v>
      </c>
      <c r="B8" s="470">
        <v>1150</v>
      </c>
      <c r="C8" s="475"/>
      <c r="D8" s="475"/>
      <c r="E8" s="477"/>
      <c r="F8" s="477"/>
      <c r="G8" s="481">
        <v>49172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1564964</v>
      </c>
      <c r="D12" s="1726">
        <f t="shared" si="0"/>
        <v>259243</v>
      </c>
      <c r="E12" s="1726">
        <f t="shared" si="0"/>
        <v>0</v>
      </c>
      <c r="F12" s="1726">
        <f t="shared" si="0"/>
        <v>145817</v>
      </c>
      <c r="G12" s="1726">
        <f t="shared" si="0"/>
        <v>87742</v>
      </c>
      <c r="H12" s="1726">
        <f t="shared" si="0"/>
        <v>0</v>
      </c>
      <c r="I12" s="1726">
        <f t="shared" si="0"/>
        <v>14591</v>
      </c>
      <c r="J12" s="1726">
        <f t="shared" si="0"/>
        <v>0</v>
      </c>
      <c r="K12" s="1707">
        <f t="shared" si="0"/>
        <v>6554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63809</v>
      </c>
      <c r="D16" s="466"/>
      <c r="E16" s="466"/>
      <c r="F16" s="466"/>
      <c r="G16" s="466">
        <v>1410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63809</v>
      </c>
      <c r="D18" s="1729">
        <f t="shared" ref="D18:K18" si="1">SUM(D14:D17)</f>
        <v>0</v>
      </c>
      <c r="E18" s="1729">
        <f t="shared" si="1"/>
        <v>0</v>
      </c>
      <c r="F18" s="1729">
        <f t="shared" si="1"/>
        <v>0</v>
      </c>
      <c r="G18" s="1729">
        <f t="shared" si="1"/>
        <v>1410</v>
      </c>
      <c r="H18" s="1729">
        <f t="shared" si="1"/>
        <v>0</v>
      </c>
      <c r="I18" s="1729">
        <f t="shared" si="1"/>
        <v>0</v>
      </c>
      <c r="J18" s="1729">
        <f t="shared" si="1"/>
        <v>0</v>
      </c>
      <c r="K18" s="1730">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1006</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1006</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1854</v>
      </c>
      <c r="D65" s="466">
        <v>337</v>
      </c>
      <c r="E65" s="466"/>
      <c r="F65" s="467">
        <v>420</v>
      </c>
      <c r="G65" s="466">
        <v>98</v>
      </c>
      <c r="H65" s="466">
        <v>220</v>
      </c>
      <c r="I65" s="466">
        <v>2750</v>
      </c>
      <c r="J65" s="467"/>
      <c r="K65" s="466">
        <v>176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1854</v>
      </c>
      <c r="D67" s="1707">
        <f t="shared" ref="D67:K67" si="2">SUM(D65:D66)</f>
        <v>337</v>
      </c>
      <c r="E67" s="1707">
        <f t="shared" si="2"/>
        <v>0</v>
      </c>
      <c r="F67" s="1707">
        <f t="shared" si="2"/>
        <v>420</v>
      </c>
      <c r="G67" s="1707">
        <f t="shared" si="2"/>
        <v>98</v>
      </c>
      <c r="H67" s="1707">
        <f t="shared" si="2"/>
        <v>220</v>
      </c>
      <c r="I67" s="1707">
        <f t="shared" si="2"/>
        <v>2750</v>
      </c>
      <c r="J67" s="1707">
        <f t="shared" si="2"/>
        <v>0</v>
      </c>
      <c r="K67" s="1707">
        <f t="shared" si="2"/>
        <v>176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38528</v>
      </c>
      <c r="D69" s="468"/>
      <c r="E69" s="468"/>
      <c r="F69" s="468"/>
      <c r="G69" s="468"/>
      <c r="H69" s="468"/>
      <c r="I69" s="468"/>
      <c r="J69" s="468"/>
      <c r="K69" s="468"/>
    </row>
    <row r="70" spans="1:11" ht="12.75" customHeight="1" x14ac:dyDescent="0.2">
      <c r="A70" s="463" t="s">
        <v>1054</v>
      </c>
      <c r="B70" s="470">
        <v>1612</v>
      </c>
      <c r="C70" s="551">
        <v>15655</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5616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59799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10485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2469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12954</v>
      </c>
      <c r="D82" s="1707">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14326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14326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124</v>
      </c>
      <c r="E95" s="521"/>
      <c r="F95" s="521"/>
      <c r="G95" s="521"/>
      <c r="H95" s="521"/>
      <c r="I95" s="521"/>
      <c r="J95" s="521"/>
      <c r="K95" s="521"/>
    </row>
    <row r="96" spans="1:11" ht="12.75" customHeight="1" x14ac:dyDescent="0.2">
      <c r="A96" s="463" t="s">
        <v>409</v>
      </c>
      <c r="B96" s="470">
        <v>1920</v>
      </c>
      <c r="C96" s="551">
        <v>10075</v>
      </c>
      <c r="D96" s="551">
        <v>19255</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2463</v>
      </c>
      <c r="D99" s="466">
        <v>5884</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788</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v>92354</v>
      </c>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4709</v>
      </c>
      <c r="D107" s="466"/>
      <c r="E107" s="466"/>
      <c r="F107" s="466"/>
      <c r="G107" s="466"/>
      <c r="H107" s="466"/>
      <c r="I107" s="466"/>
      <c r="J107" s="467"/>
      <c r="K107" s="466"/>
    </row>
    <row r="108" spans="1:12" ht="12.75" customHeight="1" thickBot="1" x14ac:dyDescent="0.25">
      <c r="A108" s="1727" t="s">
        <v>508</v>
      </c>
      <c r="B108" s="1731"/>
      <c r="C108" s="1726">
        <f>SUM(C95:C107)</f>
        <v>18035</v>
      </c>
      <c r="D108" s="1726">
        <f t="shared" ref="D108:K108" si="3">SUM(D95:D107)</f>
        <v>25263</v>
      </c>
      <c r="E108" s="1726">
        <f t="shared" si="3"/>
        <v>0</v>
      </c>
      <c r="F108" s="1726">
        <f t="shared" si="3"/>
        <v>0</v>
      </c>
      <c r="G108" s="1726">
        <f t="shared" si="3"/>
        <v>0</v>
      </c>
      <c r="H108" s="1726">
        <f t="shared" si="3"/>
        <v>92354</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1735741</v>
      </c>
      <c r="D109" s="1734">
        <f t="shared" si="4"/>
        <v>284843</v>
      </c>
      <c r="E109" s="1734">
        <f t="shared" si="4"/>
        <v>0</v>
      </c>
      <c r="F109" s="1734">
        <f t="shared" si="4"/>
        <v>147243</v>
      </c>
      <c r="G109" s="1734">
        <f t="shared" si="4"/>
        <v>89250</v>
      </c>
      <c r="H109" s="1734">
        <f t="shared" si="4"/>
        <v>92574</v>
      </c>
      <c r="I109" s="1734">
        <f t="shared" si="4"/>
        <v>17341</v>
      </c>
      <c r="J109" s="1734">
        <f t="shared" si="4"/>
        <v>0</v>
      </c>
      <c r="K109" s="1721">
        <f t="shared" si="4"/>
        <v>6730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313301</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v>1500</v>
      </c>
      <c r="D120" s="466"/>
      <c r="E120" s="466"/>
      <c r="F120" s="466"/>
      <c r="G120" s="466"/>
      <c r="H120" s="466"/>
      <c r="I120" s="468"/>
      <c r="J120" s="467"/>
      <c r="K120" s="466"/>
    </row>
    <row r="121" spans="1:11" ht="12.6" customHeight="1" thickBot="1" x14ac:dyDescent="0.25">
      <c r="A121" s="1727" t="s">
        <v>509</v>
      </c>
      <c r="B121" s="1738"/>
      <c r="C121" s="1726">
        <f t="shared" ref="C121:H121" si="5">SUM(C117:C120)</f>
        <v>314801</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14423</v>
      </c>
      <c r="D125" s="561"/>
      <c r="E125" s="468"/>
      <c r="F125" s="466"/>
      <c r="G125" s="468"/>
      <c r="H125" s="468"/>
      <c r="I125" s="468"/>
      <c r="J125" s="468"/>
      <c r="K125" s="468"/>
    </row>
    <row r="126" spans="1:11" ht="12.75" customHeight="1" x14ac:dyDescent="0.2">
      <c r="A126" s="463" t="s">
        <v>922</v>
      </c>
      <c r="B126" s="562">
        <v>3110</v>
      </c>
      <c r="C126" s="551">
        <v>10908</v>
      </c>
      <c r="D126" s="466"/>
      <c r="E126" s="468"/>
      <c r="F126" s="466"/>
      <c r="G126" s="468"/>
      <c r="H126" s="468"/>
      <c r="I126" s="468"/>
      <c r="J126" s="468"/>
      <c r="K126" s="468"/>
    </row>
    <row r="127" spans="1:11" ht="12.75" customHeight="1" x14ac:dyDescent="0.2">
      <c r="A127" s="463" t="s">
        <v>107</v>
      </c>
      <c r="B127" s="562">
        <v>3120</v>
      </c>
      <c r="C127" s="466">
        <v>6033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31364</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8744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8744</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20" t="s">
        <v>1116</v>
      </c>
      <c r="B145" s="568">
        <v>3360</v>
      </c>
      <c r="C145" s="569">
        <v>935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3082</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47560</v>
      </c>
      <c r="G151" s="467"/>
      <c r="H151" s="468"/>
      <c r="I151" s="468"/>
      <c r="J151" s="468"/>
      <c r="K151" s="468"/>
    </row>
    <row r="152" spans="1:11" ht="12.75" customHeight="1" x14ac:dyDescent="0.2">
      <c r="A152" s="463" t="s">
        <v>1117</v>
      </c>
      <c r="B152" s="562">
        <v>3510</v>
      </c>
      <c r="C152" s="551"/>
      <c r="D152" s="466"/>
      <c r="E152" s="561"/>
      <c r="F152" s="466">
        <v>9345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56905</v>
      </c>
      <c r="G154" s="1726">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8" t="s">
        <v>418</v>
      </c>
      <c r="B172" s="2159"/>
      <c r="C172" s="1741">
        <f t="shared" ref="C172:K172" si="6">SUM(C131,C140,C144,C145:C149,C154,C155:C170,C171)</f>
        <v>44125</v>
      </c>
      <c r="D172" s="1741">
        <f t="shared" si="6"/>
        <v>0</v>
      </c>
      <c r="E172" s="1741">
        <f t="shared" si="6"/>
        <v>0</v>
      </c>
      <c r="F172" s="1741">
        <f t="shared" si="6"/>
        <v>56905</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358926</v>
      </c>
      <c r="D173" s="1734">
        <f>SUM(D121,D172)</f>
        <v>0</v>
      </c>
      <c r="E173" s="1734">
        <f>SUM(E121,E172)</f>
        <v>0</v>
      </c>
      <c r="F173" s="1734">
        <f t="shared" ref="F173:K173" si="7">SUM(F121,F172)</f>
        <v>56905</v>
      </c>
      <c r="G173" s="1734">
        <f t="shared" si="7"/>
        <v>0</v>
      </c>
      <c r="H173" s="1734">
        <f t="shared" si="7"/>
        <v>0</v>
      </c>
      <c r="I173" s="1734">
        <f t="shared" si="7"/>
        <v>0</v>
      </c>
      <c r="J173" s="1734">
        <f t="shared" si="7"/>
        <v>0</v>
      </c>
      <c r="K173" s="1721">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v>9094</v>
      </c>
      <c r="D177" s="466"/>
      <c r="E177" s="467"/>
      <c r="F177" s="466"/>
      <c r="G177" s="466"/>
      <c r="H177" s="467"/>
      <c r="I177" s="467"/>
      <c r="J177" s="467"/>
      <c r="K177" s="467"/>
    </row>
    <row r="178" spans="1:11" ht="13.5" thickBot="1" x14ac:dyDescent="0.25">
      <c r="A178" s="2164" t="s">
        <v>1764</v>
      </c>
      <c r="B178" s="2165"/>
      <c r="C178" s="1726">
        <f>SUM(C176:C177)</f>
        <v>9094</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6" t="s">
        <v>818</v>
      </c>
      <c r="B184" s="2167"/>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2" t="s">
        <v>1905</v>
      </c>
      <c r="B185" s="2163"/>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52157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17320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7" t="s">
        <v>569</v>
      </c>
      <c r="B201" s="1728"/>
      <c r="C201" s="1707">
        <f>SUM(C193:C200)</f>
        <v>69477</v>
      </c>
      <c r="D201" s="468"/>
      <c r="E201" s="468"/>
      <c r="F201" s="468"/>
      <c r="G201" s="1707">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26193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26193</v>
      </c>
      <c r="D211" s="1726">
        <f>SUM(D203:D210)</f>
        <v>0</v>
      </c>
      <c r="E211" s="468"/>
      <c r="F211" s="1726">
        <f>SUM(F203:F210)</f>
        <v>0</v>
      </c>
      <c r="G211" s="1726">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0</v>
      </c>
      <c r="D216" s="1726">
        <f>SUM(D213:D215)</f>
        <v>0</v>
      </c>
      <c r="E216" s="468" t="s">
        <v>1231</v>
      </c>
      <c r="F216" s="1726">
        <f>SUM(F213:F215)</f>
        <v>0</v>
      </c>
      <c r="G216" s="1726">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3966</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40947</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44913</v>
      </c>
      <c r="D224" s="1726">
        <f>SUM(D218:D223)</f>
        <v>0</v>
      </c>
      <c r="E224" s="468"/>
      <c r="F224" s="1726">
        <f>SUM(F218:F223)</f>
        <v>0</v>
      </c>
      <c r="G224" s="1726">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11820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4999</v>
      </c>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157402</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166496</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2261163</v>
      </c>
      <c r="D275" s="1734">
        <f t="shared" si="12"/>
        <v>284843</v>
      </c>
      <c r="E275" s="1734">
        <f t="shared" si="12"/>
        <v>0</v>
      </c>
      <c r="F275" s="1734">
        <f t="shared" si="12"/>
        <v>204148</v>
      </c>
      <c r="G275" s="1734">
        <f t="shared" si="12"/>
        <v>89250</v>
      </c>
      <c r="H275" s="1734">
        <f t="shared" si="12"/>
        <v>92574</v>
      </c>
      <c r="I275" s="1734">
        <f t="shared" si="12"/>
        <v>17341</v>
      </c>
      <c r="J275" s="1734">
        <f t="shared" si="12"/>
        <v>0</v>
      </c>
      <c r="K275" s="1721">
        <f t="shared" si="12"/>
        <v>6730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4" sqref="A44:H44"/>
      <selection pane="bottomLeft" activeCell="A44" sqref="A44:H4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8"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835941</v>
      </c>
      <c r="D5" s="466">
        <v>197426</v>
      </c>
      <c r="E5" s="466">
        <v>80029</v>
      </c>
      <c r="F5" s="466">
        <v>36143</v>
      </c>
      <c r="G5" s="466">
        <v>1120</v>
      </c>
      <c r="H5" s="466"/>
      <c r="I5" s="467"/>
      <c r="J5" s="467"/>
      <c r="K5" s="1690">
        <f>SUM(C5:J5)</f>
        <v>1150659</v>
      </c>
      <c r="L5" s="466">
        <v>1113244</v>
      </c>
    </row>
    <row r="6" spans="1:14" x14ac:dyDescent="0.2">
      <c r="A6" s="1526" t="s">
        <v>1508</v>
      </c>
      <c r="B6" s="615" t="s">
        <v>1506</v>
      </c>
      <c r="C6" s="477"/>
      <c r="D6" s="477"/>
      <c r="E6" s="466"/>
      <c r="F6" s="477"/>
      <c r="G6" s="477"/>
      <c r="H6" s="477"/>
      <c r="I6" s="477"/>
      <c r="J6" s="477"/>
      <c r="K6" s="1690">
        <f>SUM(C6,E6)</f>
        <v>0</v>
      </c>
      <c r="L6" s="466">
        <v>0</v>
      </c>
    </row>
    <row r="7" spans="1:14" x14ac:dyDescent="0.2">
      <c r="A7" s="1526" t="s">
        <v>165</v>
      </c>
      <c r="B7" s="615" t="s">
        <v>1024</v>
      </c>
      <c r="C7" s="467"/>
      <c r="D7" s="467"/>
      <c r="E7" s="467"/>
      <c r="F7" s="467"/>
      <c r="G7" s="467"/>
      <c r="H7" s="467"/>
      <c r="I7" s="467"/>
      <c r="J7" s="467"/>
      <c r="K7" s="1690">
        <f t="shared" ref="K7:K32" si="0">SUM(C7:J7)</f>
        <v>0</v>
      </c>
      <c r="L7" s="466">
        <v>0</v>
      </c>
    </row>
    <row r="8" spans="1:14" x14ac:dyDescent="0.2">
      <c r="A8" s="1526" t="s">
        <v>166</v>
      </c>
      <c r="B8" s="615">
        <v>1200</v>
      </c>
      <c r="C8" s="466">
        <v>91353</v>
      </c>
      <c r="D8" s="466">
        <v>19819</v>
      </c>
      <c r="E8" s="466"/>
      <c r="F8" s="466">
        <v>158</v>
      </c>
      <c r="G8" s="466"/>
      <c r="H8" s="466"/>
      <c r="I8" s="467"/>
      <c r="J8" s="467"/>
      <c r="K8" s="1690">
        <f t="shared" si="0"/>
        <v>111330</v>
      </c>
      <c r="L8" s="466">
        <v>110704</v>
      </c>
    </row>
    <row r="9" spans="1:14" x14ac:dyDescent="0.2">
      <c r="A9" s="1526" t="s">
        <v>745</v>
      </c>
      <c r="B9" s="615" t="s">
        <v>1025</v>
      </c>
      <c r="C9" s="467"/>
      <c r="D9" s="467"/>
      <c r="E9" s="467"/>
      <c r="F9" s="467"/>
      <c r="G9" s="467"/>
      <c r="H9" s="467"/>
      <c r="I9" s="467"/>
      <c r="J9" s="467"/>
      <c r="K9" s="1690">
        <f t="shared" si="0"/>
        <v>0</v>
      </c>
      <c r="L9" s="466">
        <v>0</v>
      </c>
    </row>
    <row r="10" spans="1:14" x14ac:dyDescent="0.2">
      <c r="A10" s="1526" t="s">
        <v>746</v>
      </c>
      <c r="B10" s="615">
        <v>1250</v>
      </c>
      <c r="C10" s="466">
        <v>23004</v>
      </c>
      <c r="D10" s="466">
        <v>5197</v>
      </c>
      <c r="E10" s="466">
        <v>2102</v>
      </c>
      <c r="F10" s="466">
        <v>7355</v>
      </c>
      <c r="G10" s="466">
        <v>1200</v>
      </c>
      <c r="H10" s="466"/>
      <c r="I10" s="467"/>
      <c r="J10" s="467"/>
      <c r="K10" s="1690">
        <f t="shared" si="0"/>
        <v>38858</v>
      </c>
      <c r="L10" s="466">
        <v>34606</v>
      </c>
    </row>
    <row r="11" spans="1:14" x14ac:dyDescent="0.2">
      <c r="A11" s="1526" t="s">
        <v>1192</v>
      </c>
      <c r="B11" s="615" t="s">
        <v>163</v>
      </c>
      <c r="C11" s="467"/>
      <c r="D11" s="467"/>
      <c r="E11" s="467"/>
      <c r="F11" s="467"/>
      <c r="G11" s="467"/>
      <c r="H11" s="467"/>
      <c r="I11" s="467"/>
      <c r="J11" s="467"/>
      <c r="K11" s="1690">
        <f t="shared" si="0"/>
        <v>0</v>
      </c>
      <c r="L11" s="466">
        <v>0</v>
      </c>
    </row>
    <row r="12" spans="1:14" x14ac:dyDescent="0.2">
      <c r="A12" s="1526" t="s">
        <v>1019</v>
      </c>
      <c r="B12" s="615">
        <v>1300</v>
      </c>
      <c r="C12" s="466"/>
      <c r="D12" s="466"/>
      <c r="E12" s="466"/>
      <c r="F12" s="466"/>
      <c r="G12" s="466"/>
      <c r="H12" s="466"/>
      <c r="I12" s="467"/>
      <c r="J12" s="467"/>
      <c r="K12" s="1690">
        <f t="shared" si="0"/>
        <v>0</v>
      </c>
      <c r="L12" s="466">
        <v>0</v>
      </c>
    </row>
    <row r="13" spans="1:14" x14ac:dyDescent="0.2">
      <c r="A13" s="1526" t="s">
        <v>747</v>
      </c>
      <c r="B13" s="615">
        <v>1400</v>
      </c>
      <c r="C13" s="466"/>
      <c r="D13" s="466"/>
      <c r="E13" s="466"/>
      <c r="F13" s="466"/>
      <c r="G13" s="466"/>
      <c r="H13" s="466"/>
      <c r="I13" s="467"/>
      <c r="J13" s="467"/>
      <c r="K13" s="1690">
        <f t="shared" si="0"/>
        <v>0</v>
      </c>
      <c r="L13" s="466">
        <v>0</v>
      </c>
    </row>
    <row r="14" spans="1:14" x14ac:dyDescent="0.2">
      <c r="A14" s="1526" t="s">
        <v>1020</v>
      </c>
      <c r="B14" s="615">
        <v>1500</v>
      </c>
      <c r="C14" s="466">
        <v>46535</v>
      </c>
      <c r="D14" s="466">
        <v>2622</v>
      </c>
      <c r="E14" s="466">
        <v>10859</v>
      </c>
      <c r="F14" s="466">
        <v>9216</v>
      </c>
      <c r="G14" s="466"/>
      <c r="H14" s="466">
        <v>4552</v>
      </c>
      <c r="I14" s="467"/>
      <c r="J14" s="467"/>
      <c r="K14" s="1690">
        <f t="shared" si="0"/>
        <v>73784</v>
      </c>
      <c r="L14" s="466">
        <v>81750</v>
      </c>
    </row>
    <row r="15" spans="1:14" x14ac:dyDescent="0.2">
      <c r="A15" s="1526" t="s">
        <v>1021</v>
      </c>
      <c r="B15" s="615">
        <v>1600</v>
      </c>
      <c r="C15" s="466"/>
      <c r="D15" s="466"/>
      <c r="E15" s="466"/>
      <c r="F15" s="466"/>
      <c r="G15" s="466"/>
      <c r="H15" s="466"/>
      <c r="I15" s="467"/>
      <c r="J15" s="467"/>
      <c r="K15" s="1690">
        <f t="shared" si="0"/>
        <v>0</v>
      </c>
      <c r="L15" s="466">
        <v>0</v>
      </c>
    </row>
    <row r="16" spans="1:14" x14ac:dyDescent="0.2">
      <c r="A16" s="1526" t="s">
        <v>1044</v>
      </c>
      <c r="B16" s="615" t="s">
        <v>444</v>
      </c>
      <c r="C16" s="466"/>
      <c r="D16" s="466"/>
      <c r="E16" s="466"/>
      <c r="F16" s="466"/>
      <c r="G16" s="466"/>
      <c r="H16" s="466"/>
      <c r="I16" s="467"/>
      <c r="J16" s="467"/>
      <c r="K16" s="1690">
        <f t="shared" si="0"/>
        <v>0</v>
      </c>
      <c r="L16" s="466">
        <v>0</v>
      </c>
    </row>
    <row r="17" spans="1:12" x14ac:dyDescent="0.2">
      <c r="A17" s="1526" t="s">
        <v>748</v>
      </c>
      <c r="B17" s="615" t="s">
        <v>164</v>
      </c>
      <c r="C17" s="467">
        <v>7953</v>
      </c>
      <c r="D17" s="467">
        <v>1513</v>
      </c>
      <c r="E17" s="467">
        <v>2029</v>
      </c>
      <c r="F17" s="467">
        <v>5</v>
      </c>
      <c r="G17" s="467"/>
      <c r="H17" s="467"/>
      <c r="I17" s="467"/>
      <c r="J17" s="467"/>
      <c r="K17" s="1690">
        <f t="shared" si="0"/>
        <v>11500</v>
      </c>
      <c r="L17" s="466">
        <v>8802</v>
      </c>
    </row>
    <row r="18" spans="1:12" x14ac:dyDescent="0.2">
      <c r="A18" s="1526" t="s">
        <v>1148</v>
      </c>
      <c r="B18" s="615">
        <v>1800</v>
      </c>
      <c r="C18" s="466"/>
      <c r="D18" s="466"/>
      <c r="E18" s="466"/>
      <c r="F18" s="466"/>
      <c r="G18" s="466"/>
      <c r="H18" s="466"/>
      <c r="I18" s="467"/>
      <c r="J18" s="467"/>
      <c r="K18" s="1690">
        <f t="shared" si="0"/>
        <v>0</v>
      </c>
      <c r="L18" s="466">
        <v>0</v>
      </c>
    </row>
    <row r="19" spans="1:12" x14ac:dyDescent="0.2">
      <c r="A19" s="1526" t="s">
        <v>136</v>
      </c>
      <c r="B19" s="615">
        <v>1900</v>
      </c>
      <c r="C19" s="466"/>
      <c r="D19" s="466"/>
      <c r="E19" s="466"/>
      <c r="F19" s="466"/>
      <c r="G19" s="466"/>
      <c r="H19" s="466"/>
      <c r="I19" s="467"/>
      <c r="J19" s="467"/>
      <c r="K19" s="1690">
        <f t="shared" si="0"/>
        <v>0</v>
      </c>
      <c r="L19" s="466">
        <v>0</v>
      </c>
    </row>
    <row r="20" spans="1:12" x14ac:dyDescent="0.2">
      <c r="A20" s="1527" t="s">
        <v>762</v>
      </c>
      <c r="B20" s="603" t="s">
        <v>749</v>
      </c>
      <c r="C20" s="477"/>
      <c r="D20" s="477"/>
      <c r="E20" s="477"/>
      <c r="F20" s="477"/>
      <c r="G20" s="477"/>
      <c r="H20" s="474"/>
      <c r="I20" s="617"/>
      <c r="J20" s="475"/>
      <c r="K20" s="1690">
        <f t="shared" si="0"/>
        <v>0</v>
      </c>
      <c r="L20" s="471">
        <v>0</v>
      </c>
    </row>
    <row r="21" spans="1:12" x14ac:dyDescent="0.2">
      <c r="A21" s="1527" t="s">
        <v>763</v>
      </c>
      <c r="B21" s="603" t="s">
        <v>750</v>
      </c>
      <c r="C21" s="477"/>
      <c r="D21" s="477"/>
      <c r="E21" s="477"/>
      <c r="F21" s="477"/>
      <c r="G21" s="477"/>
      <c r="H21" s="474"/>
      <c r="I21" s="617"/>
      <c r="J21" s="477"/>
      <c r="K21" s="1690">
        <f t="shared" si="0"/>
        <v>0</v>
      </c>
      <c r="L21" s="471">
        <v>0</v>
      </c>
    </row>
    <row r="22" spans="1:12" x14ac:dyDescent="0.2">
      <c r="A22" s="1527" t="s">
        <v>764</v>
      </c>
      <c r="B22" s="603" t="s">
        <v>751</v>
      </c>
      <c r="C22" s="477"/>
      <c r="D22" s="477"/>
      <c r="E22" s="477"/>
      <c r="F22" s="477"/>
      <c r="G22" s="477"/>
      <c r="H22" s="474"/>
      <c r="I22" s="617"/>
      <c r="J22" s="477"/>
      <c r="K22" s="1690">
        <f t="shared" si="0"/>
        <v>0</v>
      </c>
      <c r="L22" s="471">
        <v>0</v>
      </c>
    </row>
    <row r="23" spans="1:12" x14ac:dyDescent="0.2">
      <c r="A23" s="1527" t="s">
        <v>765</v>
      </c>
      <c r="B23" s="603" t="s">
        <v>752</v>
      </c>
      <c r="C23" s="477"/>
      <c r="D23" s="477"/>
      <c r="E23" s="477"/>
      <c r="F23" s="477"/>
      <c r="G23" s="477"/>
      <c r="H23" s="474"/>
      <c r="I23" s="617"/>
      <c r="J23" s="477"/>
      <c r="K23" s="1690">
        <f t="shared" si="0"/>
        <v>0</v>
      </c>
      <c r="L23" s="471">
        <v>0</v>
      </c>
    </row>
    <row r="24" spans="1:12" ht="12.75" customHeight="1" x14ac:dyDescent="0.2">
      <c r="A24" s="1527" t="s">
        <v>766</v>
      </c>
      <c r="B24" s="603" t="s">
        <v>753</v>
      </c>
      <c r="C24" s="477"/>
      <c r="D24" s="477"/>
      <c r="E24" s="477"/>
      <c r="F24" s="477"/>
      <c r="G24" s="477"/>
      <c r="H24" s="474"/>
      <c r="I24" s="617"/>
      <c r="J24" s="477"/>
      <c r="K24" s="1690">
        <f t="shared" si="0"/>
        <v>0</v>
      </c>
      <c r="L24" s="471">
        <v>0</v>
      </c>
    </row>
    <row r="25" spans="1:12" ht="12.75" customHeight="1" x14ac:dyDescent="0.2">
      <c r="A25" s="1527" t="s">
        <v>835</v>
      </c>
      <c r="B25" s="603" t="s">
        <v>754</v>
      </c>
      <c r="C25" s="477"/>
      <c r="D25" s="477"/>
      <c r="E25" s="477"/>
      <c r="F25" s="477"/>
      <c r="G25" s="477"/>
      <c r="H25" s="474"/>
      <c r="I25" s="617"/>
      <c r="J25" s="477"/>
      <c r="K25" s="1690">
        <f t="shared" si="0"/>
        <v>0</v>
      </c>
      <c r="L25" s="471">
        <v>0</v>
      </c>
    </row>
    <row r="26" spans="1:12" x14ac:dyDescent="0.2">
      <c r="A26" s="1527" t="s">
        <v>643</v>
      </c>
      <c r="B26" s="603" t="s">
        <v>755</v>
      </c>
      <c r="C26" s="477"/>
      <c r="D26" s="477"/>
      <c r="E26" s="477"/>
      <c r="F26" s="477"/>
      <c r="G26" s="477"/>
      <c r="H26" s="474"/>
      <c r="I26" s="617"/>
      <c r="J26" s="477"/>
      <c r="K26" s="1690">
        <f t="shared" si="0"/>
        <v>0</v>
      </c>
      <c r="L26" s="471">
        <v>0</v>
      </c>
    </row>
    <row r="27" spans="1:12" x14ac:dyDescent="0.2">
      <c r="A27" s="1527" t="s">
        <v>644</v>
      </c>
      <c r="B27" s="603" t="s">
        <v>756</v>
      </c>
      <c r="C27" s="477"/>
      <c r="D27" s="477"/>
      <c r="E27" s="477"/>
      <c r="F27" s="477"/>
      <c r="G27" s="477"/>
      <c r="H27" s="474"/>
      <c r="I27" s="617"/>
      <c r="J27" s="477"/>
      <c r="K27" s="1690">
        <f t="shared" si="0"/>
        <v>0</v>
      </c>
      <c r="L27" s="471">
        <v>0</v>
      </c>
    </row>
    <row r="28" spans="1:12" x14ac:dyDescent="0.2">
      <c r="A28" s="1527" t="s">
        <v>152</v>
      </c>
      <c r="B28" s="603" t="s">
        <v>757</v>
      </c>
      <c r="C28" s="477"/>
      <c r="D28" s="477"/>
      <c r="E28" s="477"/>
      <c r="F28" s="477"/>
      <c r="G28" s="477"/>
      <c r="H28" s="474"/>
      <c r="I28" s="617"/>
      <c r="J28" s="477"/>
      <c r="K28" s="1690">
        <f t="shared" si="0"/>
        <v>0</v>
      </c>
      <c r="L28" s="471">
        <v>0</v>
      </c>
    </row>
    <row r="29" spans="1:12" x14ac:dyDescent="0.2">
      <c r="A29" s="1527" t="s">
        <v>153</v>
      </c>
      <c r="B29" s="603" t="s">
        <v>758</v>
      </c>
      <c r="C29" s="477"/>
      <c r="D29" s="477"/>
      <c r="E29" s="477"/>
      <c r="F29" s="477"/>
      <c r="G29" s="477"/>
      <c r="H29" s="474"/>
      <c r="I29" s="617"/>
      <c r="J29" s="477"/>
      <c r="K29" s="1690">
        <f t="shared" si="0"/>
        <v>0</v>
      </c>
      <c r="L29" s="471">
        <v>0</v>
      </c>
    </row>
    <row r="30" spans="1:12" x14ac:dyDescent="0.2">
      <c r="A30" s="1527" t="s">
        <v>154</v>
      </c>
      <c r="B30" s="603" t="s">
        <v>759</v>
      </c>
      <c r="C30" s="477"/>
      <c r="D30" s="477"/>
      <c r="E30" s="477"/>
      <c r="F30" s="477"/>
      <c r="G30" s="477"/>
      <c r="H30" s="474"/>
      <c r="I30" s="617"/>
      <c r="J30" s="477"/>
      <c r="K30" s="1690">
        <f t="shared" si="0"/>
        <v>0</v>
      </c>
      <c r="L30" s="471">
        <v>0</v>
      </c>
    </row>
    <row r="31" spans="1:12" x14ac:dyDescent="0.2">
      <c r="A31" s="1527" t="s">
        <v>155</v>
      </c>
      <c r="B31" s="603" t="s">
        <v>760</v>
      </c>
      <c r="C31" s="477"/>
      <c r="D31" s="477"/>
      <c r="E31" s="477"/>
      <c r="F31" s="477"/>
      <c r="G31" s="477"/>
      <c r="H31" s="474"/>
      <c r="I31" s="617"/>
      <c r="J31" s="477"/>
      <c r="K31" s="1690">
        <f t="shared" si="0"/>
        <v>0</v>
      </c>
      <c r="L31" s="471">
        <v>0</v>
      </c>
    </row>
    <row r="32" spans="1:12" x14ac:dyDescent="0.2">
      <c r="A32" s="1528" t="s">
        <v>1191</v>
      </c>
      <c r="B32" s="615" t="s">
        <v>761</v>
      </c>
      <c r="C32" s="477"/>
      <c r="D32" s="477"/>
      <c r="E32" s="477"/>
      <c r="F32" s="477"/>
      <c r="G32" s="477"/>
      <c r="H32" s="474"/>
      <c r="I32" s="617"/>
      <c r="J32" s="480"/>
      <c r="K32" s="1690">
        <f t="shared" si="0"/>
        <v>0</v>
      </c>
      <c r="L32" s="471">
        <v>0</v>
      </c>
    </row>
    <row r="33" spans="1:14" ht="12.75" customHeight="1" thickBot="1" x14ac:dyDescent="0.25">
      <c r="A33" s="1687" t="s">
        <v>1767</v>
      </c>
      <c r="B33" s="1688" t="s">
        <v>591</v>
      </c>
      <c r="C33" s="1689">
        <f>SUM(C5:C32)</f>
        <v>1004786</v>
      </c>
      <c r="D33" s="1689">
        <f t="shared" ref="D33:L33" si="1">SUM(D5:D32)</f>
        <v>226577</v>
      </c>
      <c r="E33" s="1689">
        <f t="shared" si="1"/>
        <v>95019</v>
      </c>
      <c r="F33" s="1689">
        <f t="shared" si="1"/>
        <v>52877</v>
      </c>
      <c r="G33" s="1689">
        <f t="shared" si="1"/>
        <v>2320</v>
      </c>
      <c r="H33" s="1689">
        <f t="shared" si="1"/>
        <v>4552</v>
      </c>
      <c r="I33" s="1689">
        <f t="shared" si="1"/>
        <v>0</v>
      </c>
      <c r="J33" s="1689">
        <f t="shared" si="1"/>
        <v>0</v>
      </c>
      <c r="K33" s="1689">
        <f t="shared" si="1"/>
        <v>1386131</v>
      </c>
      <c r="L33" s="1689">
        <f t="shared" si="1"/>
        <v>1349106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v>4106</v>
      </c>
      <c r="G36" s="481"/>
      <c r="H36" s="481"/>
      <c r="I36" s="467"/>
      <c r="J36" s="467"/>
      <c r="K36" s="1690">
        <f t="shared" ref="K36:K41" si="2">SUM(C36:J36)</f>
        <v>4106</v>
      </c>
      <c r="L36" s="466">
        <v>0</v>
      </c>
    </row>
    <row r="37" spans="1:14" x14ac:dyDescent="0.2">
      <c r="A37" s="1526" t="s">
        <v>1151</v>
      </c>
      <c r="B37" s="615">
        <v>2120</v>
      </c>
      <c r="C37" s="466">
        <v>36962</v>
      </c>
      <c r="D37" s="466">
        <v>10263</v>
      </c>
      <c r="E37" s="466"/>
      <c r="F37" s="466"/>
      <c r="G37" s="466"/>
      <c r="H37" s="466"/>
      <c r="I37" s="467"/>
      <c r="J37" s="467"/>
      <c r="K37" s="1690">
        <f t="shared" si="2"/>
        <v>47225</v>
      </c>
      <c r="L37" s="466">
        <v>47594</v>
      </c>
    </row>
    <row r="38" spans="1:14" x14ac:dyDescent="0.2">
      <c r="A38" s="1526" t="s">
        <v>207</v>
      </c>
      <c r="B38" s="615">
        <v>2130</v>
      </c>
      <c r="C38" s="466"/>
      <c r="D38" s="466"/>
      <c r="E38" s="466"/>
      <c r="F38" s="466"/>
      <c r="G38" s="466"/>
      <c r="H38" s="466"/>
      <c r="I38" s="467"/>
      <c r="J38" s="467"/>
      <c r="K38" s="1690">
        <f t="shared" si="2"/>
        <v>0</v>
      </c>
      <c r="L38" s="466">
        <v>0</v>
      </c>
    </row>
    <row r="39" spans="1:14" x14ac:dyDescent="0.2">
      <c r="A39" s="1526" t="s">
        <v>208</v>
      </c>
      <c r="B39" s="615">
        <v>2140</v>
      </c>
      <c r="C39" s="466"/>
      <c r="D39" s="466"/>
      <c r="E39" s="466"/>
      <c r="F39" s="466"/>
      <c r="G39" s="466"/>
      <c r="H39" s="466"/>
      <c r="I39" s="467"/>
      <c r="J39" s="467"/>
      <c r="K39" s="1690">
        <f t="shared" si="2"/>
        <v>0</v>
      </c>
      <c r="L39" s="466">
        <v>0</v>
      </c>
    </row>
    <row r="40" spans="1:14" x14ac:dyDescent="0.2">
      <c r="A40" s="1526" t="s">
        <v>209</v>
      </c>
      <c r="B40" s="615">
        <v>2150</v>
      </c>
      <c r="C40" s="466"/>
      <c r="D40" s="466"/>
      <c r="E40" s="466"/>
      <c r="F40" s="466"/>
      <c r="G40" s="466"/>
      <c r="H40" s="466"/>
      <c r="I40" s="467"/>
      <c r="J40" s="467"/>
      <c r="K40" s="1690">
        <f t="shared" si="2"/>
        <v>0</v>
      </c>
      <c r="L40" s="466">
        <v>0</v>
      </c>
    </row>
    <row r="41" spans="1:14" x14ac:dyDescent="0.2">
      <c r="A41" s="1526" t="s">
        <v>1768</v>
      </c>
      <c r="B41" s="615">
        <v>2190</v>
      </c>
      <c r="C41" s="466"/>
      <c r="D41" s="466"/>
      <c r="E41" s="466"/>
      <c r="F41" s="466"/>
      <c r="G41" s="466"/>
      <c r="H41" s="466"/>
      <c r="I41" s="467"/>
      <c r="J41" s="467"/>
      <c r="K41" s="1690">
        <f t="shared" si="2"/>
        <v>0</v>
      </c>
      <c r="L41" s="466">
        <v>0</v>
      </c>
    </row>
    <row r="42" spans="1:14" ht="12.75" customHeight="1" thickBot="1" x14ac:dyDescent="0.25">
      <c r="A42" s="1687" t="s">
        <v>581</v>
      </c>
      <c r="B42" s="1688" t="s">
        <v>740</v>
      </c>
      <c r="C42" s="1689">
        <f>SUM(C36:C41)</f>
        <v>36962</v>
      </c>
      <c r="D42" s="1689">
        <f t="shared" ref="D42:L42" si="3">SUM(D36:D41)</f>
        <v>10263</v>
      </c>
      <c r="E42" s="1689">
        <f t="shared" si="3"/>
        <v>0</v>
      </c>
      <c r="F42" s="1689">
        <f t="shared" si="3"/>
        <v>4106</v>
      </c>
      <c r="G42" s="1689">
        <f t="shared" si="3"/>
        <v>0</v>
      </c>
      <c r="H42" s="1689">
        <f t="shared" si="3"/>
        <v>0</v>
      </c>
      <c r="I42" s="1689">
        <f t="shared" si="3"/>
        <v>0</v>
      </c>
      <c r="J42" s="1689">
        <f t="shared" si="3"/>
        <v>0</v>
      </c>
      <c r="K42" s="1689">
        <f t="shared" si="3"/>
        <v>51331</v>
      </c>
      <c r="L42" s="1689">
        <f t="shared" si="3"/>
        <v>47594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15143</v>
      </c>
      <c r="F44" s="481">
        <v>999</v>
      </c>
      <c r="G44" s="481"/>
      <c r="H44" s="481"/>
      <c r="I44" s="467"/>
      <c r="J44" s="467"/>
      <c r="K44" s="1691">
        <f>SUM(C44:J44)</f>
        <v>16142</v>
      </c>
      <c r="L44" s="481">
        <v>500</v>
      </c>
    </row>
    <row r="45" spans="1:14" x14ac:dyDescent="0.2">
      <c r="A45" s="1526" t="s">
        <v>869</v>
      </c>
      <c r="B45" s="615">
        <v>2220</v>
      </c>
      <c r="C45" s="466">
        <v>65584</v>
      </c>
      <c r="D45" s="466">
        <v>9447</v>
      </c>
      <c r="E45" s="466">
        <v>878</v>
      </c>
      <c r="F45" s="466">
        <v>3779</v>
      </c>
      <c r="G45" s="466"/>
      <c r="H45" s="466"/>
      <c r="I45" s="467"/>
      <c r="J45" s="467"/>
      <c r="K45" s="1691">
        <f>SUM(C45:J45)</f>
        <v>79688</v>
      </c>
      <c r="L45" s="466">
        <v>79385</v>
      </c>
    </row>
    <row r="46" spans="1:14" x14ac:dyDescent="0.2">
      <c r="A46" s="1526" t="s">
        <v>870</v>
      </c>
      <c r="B46" s="615">
        <v>2230</v>
      </c>
      <c r="C46" s="466"/>
      <c r="D46" s="466"/>
      <c r="E46" s="466">
        <v>891</v>
      </c>
      <c r="F46" s="466"/>
      <c r="G46" s="466"/>
      <c r="H46" s="466"/>
      <c r="I46" s="467"/>
      <c r="J46" s="467"/>
      <c r="K46" s="1691">
        <f>SUM(C46:J46)</f>
        <v>891</v>
      </c>
      <c r="L46" s="466">
        <v>0</v>
      </c>
    </row>
    <row r="47" spans="1:14" ht="12.75" customHeight="1" thickBot="1" x14ac:dyDescent="0.25">
      <c r="A47" s="1687" t="s">
        <v>582</v>
      </c>
      <c r="B47" s="1688" t="s">
        <v>32</v>
      </c>
      <c r="C47" s="1689">
        <f>SUM(C44:C46)</f>
        <v>65584</v>
      </c>
      <c r="D47" s="1689">
        <f t="shared" ref="D47:K47" si="4">SUM(D44:D46)</f>
        <v>9447</v>
      </c>
      <c r="E47" s="1689">
        <f t="shared" si="4"/>
        <v>16912</v>
      </c>
      <c r="F47" s="1689">
        <f t="shared" si="4"/>
        <v>4778</v>
      </c>
      <c r="G47" s="1689">
        <f t="shared" si="4"/>
        <v>0</v>
      </c>
      <c r="H47" s="1689">
        <f t="shared" si="4"/>
        <v>0</v>
      </c>
      <c r="I47" s="1689">
        <f t="shared" si="4"/>
        <v>0</v>
      </c>
      <c r="J47" s="1689">
        <f t="shared" si="4"/>
        <v>0</v>
      </c>
      <c r="K47" s="1689">
        <f t="shared" si="4"/>
        <v>96721</v>
      </c>
      <c r="L47" s="1689">
        <f>SUM(L44:L46)</f>
        <v>79885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24517</v>
      </c>
      <c r="F49" s="481">
        <v>1910</v>
      </c>
      <c r="G49" s="481"/>
      <c r="H49" s="481"/>
      <c r="I49" s="467"/>
      <c r="J49" s="467"/>
      <c r="K49" s="1691">
        <f>SUM(C49:J49)</f>
        <v>26427</v>
      </c>
      <c r="L49" s="481">
        <v>28000</v>
      </c>
    </row>
    <row r="50" spans="1:14" x14ac:dyDescent="0.2">
      <c r="A50" s="1526" t="s">
        <v>872</v>
      </c>
      <c r="B50" s="615">
        <v>2320</v>
      </c>
      <c r="C50" s="466">
        <v>104725</v>
      </c>
      <c r="D50" s="466">
        <v>17695</v>
      </c>
      <c r="E50" s="466">
        <v>1732</v>
      </c>
      <c r="F50" s="466"/>
      <c r="G50" s="466"/>
      <c r="H50" s="466"/>
      <c r="I50" s="467"/>
      <c r="J50" s="467"/>
      <c r="K50" s="1691">
        <f>SUM(C50:J50)</f>
        <v>124152</v>
      </c>
      <c r="L50" s="466">
        <v>124816</v>
      </c>
    </row>
    <row r="51" spans="1:14" x14ac:dyDescent="0.2">
      <c r="A51" s="1526" t="s">
        <v>44</v>
      </c>
      <c r="B51" s="615">
        <v>2330</v>
      </c>
      <c r="C51" s="466"/>
      <c r="D51" s="466"/>
      <c r="E51" s="466"/>
      <c r="F51" s="466"/>
      <c r="G51" s="466"/>
      <c r="H51" s="466"/>
      <c r="I51" s="467"/>
      <c r="J51" s="467"/>
      <c r="K51" s="1691">
        <f>SUM(C51:J51)</f>
        <v>0</v>
      </c>
      <c r="L51" s="466">
        <v>0</v>
      </c>
    </row>
    <row r="52" spans="1:14" ht="22.5" x14ac:dyDescent="0.2">
      <c r="A52" s="1527" t="s">
        <v>316</v>
      </c>
      <c r="B52" s="628" t="s">
        <v>384</v>
      </c>
      <c r="C52" s="474"/>
      <c r="D52" s="474"/>
      <c r="E52" s="474">
        <v>25918</v>
      </c>
      <c r="F52" s="474"/>
      <c r="G52" s="474"/>
      <c r="H52" s="474"/>
      <c r="I52" s="474"/>
      <c r="J52" s="474"/>
      <c r="K52" s="1691">
        <f>SUM(C52:J52)</f>
        <v>25918</v>
      </c>
      <c r="L52" s="474">
        <v>28000</v>
      </c>
    </row>
    <row r="53" spans="1:14" ht="12.75" customHeight="1" thickBot="1" x14ac:dyDescent="0.25">
      <c r="A53" s="1687" t="s">
        <v>741</v>
      </c>
      <c r="B53" s="1688" t="s">
        <v>33</v>
      </c>
      <c r="C53" s="1689">
        <f>SUM(C49:C52)</f>
        <v>104725</v>
      </c>
      <c r="D53" s="1689">
        <f t="shared" ref="D53:L53" si="5">SUM(D49:D52)</f>
        <v>17695</v>
      </c>
      <c r="E53" s="1689">
        <f t="shared" si="5"/>
        <v>52167</v>
      </c>
      <c r="F53" s="1689">
        <f t="shared" si="5"/>
        <v>1910</v>
      </c>
      <c r="G53" s="1689">
        <f t="shared" si="5"/>
        <v>0</v>
      </c>
      <c r="H53" s="1689">
        <f t="shared" si="5"/>
        <v>0</v>
      </c>
      <c r="I53" s="1689">
        <f t="shared" si="5"/>
        <v>0</v>
      </c>
      <c r="J53" s="1689">
        <f t="shared" si="5"/>
        <v>0</v>
      </c>
      <c r="K53" s="1689">
        <f t="shared" si="5"/>
        <v>176497</v>
      </c>
      <c r="L53" s="1689">
        <f t="shared" si="5"/>
        <v>180816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114642</v>
      </c>
      <c r="D55" s="481">
        <v>15748</v>
      </c>
      <c r="E55" s="481">
        <v>778</v>
      </c>
      <c r="F55" s="481"/>
      <c r="G55" s="481"/>
      <c r="H55" s="481"/>
      <c r="I55" s="467"/>
      <c r="J55" s="467"/>
      <c r="K55" s="1691">
        <f>SUM(C55:J55)</f>
        <v>131168</v>
      </c>
      <c r="L55" s="481">
        <v>131521</v>
      </c>
    </row>
    <row r="56" spans="1:14" ht="12.75" customHeight="1" x14ac:dyDescent="0.2">
      <c r="A56" s="1530" t="s">
        <v>394</v>
      </c>
      <c r="B56" s="629">
        <v>2490</v>
      </c>
      <c r="C56" s="466"/>
      <c r="D56" s="466"/>
      <c r="E56" s="466"/>
      <c r="F56" s="466"/>
      <c r="G56" s="466"/>
      <c r="H56" s="466"/>
      <c r="I56" s="467"/>
      <c r="J56" s="467"/>
      <c r="K56" s="1691">
        <f>SUM(C56:J56)</f>
        <v>0</v>
      </c>
      <c r="L56" s="466">
        <v>0</v>
      </c>
    </row>
    <row r="57" spans="1:14" s="343" customFormat="1" ht="12.75" customHeight="1" thickBot="1" x14ac:dyDescent="0.25">
      <c r="A57" s="1687" t="s">
        <v>281</v>
      </c>
      <c r="B57" s="1692" t="s">
        <v>34</v>
      </c>
      <c r="C57" s="1693">
        <f>SUM(C55:C56)</f>
        <v>114642</v>
      </c>
      <c r="D57" s="1693">
        <f t="shared" ref="D57:K57" si="6">SUM(D55:D56)</f>
        <v>15748</v>
      </c>
      <c r="E57" s="1693">
        <f t="shared" si="6"/>
        <v>778</v>
      </c>
      <c r="F57" s="1693">
        <f t="shared" si="6"/>
        <v>0</v>
      </c>
      <c r="G57" s="1693">
        <f t="shared" si="6"/>
        <v>0</v>
      </c>
      <c r="H57" s="1693">
        <f t="shared" si="6"/>
        <v>0</v>
      </c>
      <c r="I57" s="1693">
        <f t="shared" si="6"/>
        <v>0</v>
      </c>
      <c r="J57" s="1693">
        <f t="shared" si="6"/>
        <v>0</v>
      </c>
      <c r="K57" s="1693">
        <f t="shared" si="6"/>
        <v>131168</v>
      </c>
      <c r="L57" s="1689">
        <f>SUM(L55:L56)</f>
        <v>131521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1">
        <f t="shared" ref="K59:K64" si="7">SUM(C59:J59)</f>
        <v>0</v>
      </c>
      <c r="L59" s="481">
        <v>0</v>
      </c>
      <c r="M59" s="610"/>
      <c r="N59" s="610"/>
    </row>
    <row r="60" spans="1:14" s="343" customFormat="1" x14ac:dyDescent="0.2">
      <c r="A60" s="1526" t="s">
        <v>483</v>
      </c>
      <c r="B60" s="615">
        <v>2520</v>
      </c>
      <c r="C60" s="466">
        <v>40270</v>
      </c>
      <c r="D60" s="466">
        <v>1470</v>
      </c>
      <c r="E60" s="466">
        <v>1311</v>
      </c>
      <c r="F60" s="466">
        <v>316</v>
      </c>
      <c r="G60" s="466"/>
      <c r="H60" s="466"/>
      <c r="I60" s="467"/>
      <c r="J60" s="467"/>
      <c r="K60" s="1691">
        <f t="shared" si="7"/>
        <v>43367</v>
      </c>
      <c r="L60" s="466">
        <v>42758</v>
      </c>
      <c r="M60" s="610"/>
      <c r="N60" s="610"/>
    </row>
    <row r="61" spans="1:14" s="343" customFormat="1" x14ac:dyDescent="0.2">
      <c r="A61" s="1526" t="s">
        <v>206</v>
      </c>
      <c r="B61" s="615">
        <v>2540</v>
      </c>
      <c r="C61" s="466"/>
      <c r="D61" s="466"/>
      <c r="E61" s="466"/>
      <c r="F61" s="466"/>
      <c r="G61" s="466"/>
      <c r="H61" s="466"/>
      <c r="I61" s="467"/>
      <c r="J61" s="467"/>
      <c r="K61" s="1691">
        <f t="shared" si="7"/>
        <v>0</v>
      </c>
      <c r="L61" s="466">
        <v>0</v>
      </c>
      <c r="M61" s="610"/>
      <c r="N61" s="610"/>
    </row>
    <row r="62" spans="1:14" s="343" customFormat="1" x14ac:dyDescent="0.2">
      <c r="A62" s="1526" t="s">
        <v>1010</v>
      </c>
      <c r="B62" s="615">
        <v>2550</v>
      </c>
      <c r="C62" s="466"/>
      <c r="D62" s="466"/>
      <c r="E62" s="466"/>
      <c r="F62" s="466"/>
      <c r="G62" s="466"/>
      <c r="H62" s="466"/>
      <c r="I62" s="467"/>
      <c r="J62" s="467"/>
      <c r="K62" s="1691">
        <f t="shared" si="7"/>
        <v>0</v>
      </c>
      <c r="L62" s="466">
        <v>0</v>
      </c>
      <c r="M62" s="610"/>
      <c r="N62" s="610"/>
    </row>
    <row r="63" spans="1:14" s="610" customFormat="1" x14ac:dyDescent="0.2">
      <c r="A63" s="1526" t="s">
        <v>102</v>
      </c>
      <c r="B63" s="615">
        <v>2560</v>
      </c>
      <c r="C63" s="466">
        <v>75869</v>
      </c>
      <c r="D63" s="466">
        <v>2779</v>
      </c>
      <c r="E63" s="466">
        <v>918</v>
      </c>
      <c r="F63" s="466">
        <v>58637</v>
      </c>
      <c r="G63" s="466"/>
      <c r="H63" s="466"/>
      <c r="I63" s="467"/>
      <c r="J63" s="467"/>
      <c r="K63" s="1691">
        <f t="shared" si="7"/>
        <v>138203</v>
      </c>
      <c r="L63" s="466">
        <v>125500</v>
      </c>
    </row>
    <row r="64" spans="1:14" s="610" customFormat="1" x14ac:dyDescent="0.2">
      <c r="A64" s="1531" t="s">
        <v>103</v>
      </c>
      <c r="B64" s="631">
        <v>2570</v>
      </c>
      <c r="C64" s="481"/>
      <c r="D64" s="481"/>
      <c r="E64" s="481"/>
      <c r="F64" s="481"/>
      <c r="G64" s="481"/>
      <c r="H64" s="481"/>
      <c r="I64" s="467"/>
      <c r="J64" s="467"/>
      <c r="K64" s="1691">
        <f t="shared" si="7"/>
        <v>0</v>
      </c>
      <c r="L64" s="481">
        <v>0</v>
      </c>
    </row>
    <row r="65" spans="1:14" s="343" customFormat="1" ht="12.75" customHeight="1" thickBot="1" x14ac:dyDescent="0.25">
      <c r="A65" s="1687" t="s">
        <v>743</v>
      </c>
      <c r="B65" s="1688" t="s">
        <v>35</v>
      </c>
      <c r="C65" s="1689">
        <f>SUM(C59:C64)</f>
        <v>116139</v>
      </c>
      <c r="D65" s="1689">
        <f t="shared" ref="D65:L65" si="8">SUM(D59:D64)</f>
        <v>4249</v>
      </c>
      <c r="E65" s="1689">
        <f t="shared" si="8"/>
        <v>2229</v>
      </c>
      <c r="F65" s="1689">
        <f t="shared" si="8"/>
        <v>58953</v>
      </c>
      <c r="G65" s="1689">
        <f t="shared" si="8"/>
        <v>0</v>
      </c>
      <c r="H65" s="1689">
        <f t="shared" si="8"/>
        <v>0</v>
      </c>
      <c r="I65" s="1689">
        <f t="shared" si="8"/>
        <v>0</v>
      </c>
      <c r="J65" s="1689">
        <f t="shared" si="8"/>
        <v>0</v>
      </c>
      <c r="K65" s="1689">
        <f t="shared" si="8"/>
        <v>181570</v>
      </c>
      <c r="L65" s="1689">
        <f t="shared" si="8"/>
        <v>168258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1">
        <f>SUM(C67:J67)</f>
        <v>0</v>
      </c>
      <c r="L67" s="481">
        <v>0</v>
      </c>
      <c r="M67" s="610"/>
      <c r="N67" s="610"/>
    </row>
    <row r="68" spans="1:14" s="343" customFormat="1" x14ac:dyDescent="0.2">
      <c r="A68" s="1526" t="s">
        <v>628</v>
      </c>
      <c r="B68" s="615">
        <v>2620</v>
      </c>
      <c r="C68" s="466"/>
      <c r="D68" s="466"/>
      <c r="E68" s="466"/>
      <c r="F68" s="466"/>
      <c r="G68" s="466"/>
      <c r="H68" s="466"/>
      <c r="I68" s="467"/>
      <c r="J68" s="467"/>
      <c r="K68" s="1691">
        <f>SUM(C68:J68)</f>
        <v>0</v>
      </c>
      <c r="L68" s="466">
        <v>0</v>
      </c>
      <c r="M68" s="610"/>
      <c r="N68" s="610"/>
    </row>
    <row r="69" spans="1:14" s="343" customFormat="1" x14ac:dyDescent="0.2">
      <c r="A69" s="1526" t="s">
        <v>1121</v>
      </c>
      <c r="B69" s="615">
        <v>2630</v>
      </c>
      <c r="C69" s="466"/>
      <c r="D69" s="466"/>
      <c r="E69" s="466"/>
      <c r="F69" s="466"/>
      <c r="G69" s="466"/>
      <c r="H69" s="466"/>
      <c r="I69" s="467"/>
      <c r="J69" s="467"/>
      <c r="K69" s="1691">
        <f>SUM(C69:J69)</f>
        <v>0</v>
      </c>
      <c r="L69" s="466">
        <v>0</v>
      </c>
      <c r="M69" s="610"/>
      <c r="N69" s="610"/>
    </row>
    <row r="70" spans="1:14" s="343" customFormat="1" x14ac:dyDescent="0.2">
      <c r="A70" s="1526" t="s">
        <v>423</v>
      </c>
      <c r="B70" s="615">
        <v>2640</v>
      </c>
      <c r="C70" s="466"/>
      <c r="D70" s="466"/>
      <c r="E70" s="466"/>
      <c r="F70" s="466"/>
      <c r="G70" s="466"/>
      <c r="H70" s="466"/>
      <c r="I70" s="467"/>
      <c r="J70" s="467"/>
      <c r="K70" s="1691">
        <f>SUM(C70:J70)</f>
        <v>0</v>
      </c>
      <c r="L70" s="466">
        <v>0</v>
      </c>
      <c r="M70" s="610"/>
      <c r="N70" s="610"/>
    </row>
    <row r="71" spans="1:14" s="343" customFormat="1" x14ac:dyDescent="0.2">
      <c r="A71" s="1526" t="s">
        <v>424</v>
      </c>
      <c r="B71" s="615">
        <v>2660</v>
      </c>
      <c r="C71" s="466"/>
      <c r="D71" s="466"/>
      <c r="E71" s="466"/>
      <c r="F71" s="466"/>
      <c r="G71" s="466"/>
      <c r="H71" s="466"/>
      <c r="I71" s="467"/>
      <c r="J71" s="467"/>
      <c r="K71" s="1691">
        <f>SUM(C71:J71)</f>
        <v>0</v>
      </c>
      <c r="L71" s="466">
        <v>0</v>
      </c>
      <c r="M71" s="610"/>
      <c r="N71" s="610"/>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10"/>
      <c r="N72" s="610"/>
    </row>
    <row r="73" spans="1:14" s="343" customFormat="1" ht="14.25" thickTop="1" thickBot="1" x14ac:dyDescent="0.25">
      <c r="A73" s="1532" t="s">
        <v>1037</v>
      </c>
      <c r="B73" s="633" t="s">
        <v>595</v>
      </c>
      <c r="C73" s="573"/>
      <c r="D73" s="573"/>
      <c r="E73" s="573"/>
      <c r="F73" s="573">
        <v>317</v>
      </c>
      <c r="G73" s="573"/>
      <c r="H73" s="573"/>
      <c r="I73" s="531"/>
      <c r="J73" s="531"/>
      <c r="K73" s="1689">
        <f>SUM(C73:J73)</f>
        <v>317</v>
      </c>
      <c r="L73" s="576">
        <v>200</v>
      </c>
      <c r="M73" s="610"/>
      <c r="N73" s="610"/>
    </row>
    <row r="74" spans="1:14" ht="12.75" customHeight="1" thickTop="1" thickBot="1" x14ac:dyDescent="0.25">
      <c r="A74" s="1687" t="s">
        <v>865</v>
      </c>
      <c r="B74" s="1695">
        <v>2000</v>
      </c>
      <c r="C74" s="1696">
        <f>SUM(C42,C47,C53,C57,C65,C72,C73)</f>
        <v>438052</v>
      </c>
      <c r="D74" s="1696">
        <f t="shared" ref="D74:K74" si="10">SUM(D42,D47,D53,D57,D65,D72,D73)</f>
        <v>57402</v>
      </c>
      <c r="E74" s="1696">
        <f t="shared" si="10"/>
        <v>72086</v>
      </c>
      <c r="F74" s="1696">
        <f t="shared" si="10"/>
        <v>70064</v>
      </c>
      <c r="G74" s="1696">
        <f t="shared" si="10"/>
        <v>0</v>
      </c>
      <c r="H74" s="1696">
        <f t="shared" si="10"/>
        <v>0</v>
      </c>
      <c r="I74" s="1696">
        <f t="shared" si="10"/>
        <v>0</v>
      </c>
      <c r="J74" s="1696">
        <f t="shared" si="10"/>
        <v>0</v>
      </c>
      <c r="K74" s="1696">
        <f t="shared" si="10"/>
        <v>637604</v>
      </c>
      <c r="L74" s="1696">
        <f>SUM(L42,L47,L53,L57,L65,L72,L73)</f>
        <v>608274</v>
      </c>
    </row>
    <row r="75" spans="1:14" s="259" customFormat="1" ht="15.75" customHeight="1" thickTop="1" thickBot="1" x14ac:dyDescent="0.25">
      <c r="A75" s="1632" t="s">
        <v>49</v>
      </c>
      <c r="B75" s="1633" t="s">
        <v>596</v>
      </c>
      <c r="C75" s="573"/>
      <c r="D75" s="573"/>
      <c r="E75" s="573"/>
      <c r="F75" s="573"/>
      <c r="G75" s="573"/>
      <c r="H75" s="573"/>
      <c r="I75" s="531"/>
      <c r="J75" s="531"/>
      <c r="K75" s="1689">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0">
        <f t="shared" ref="K78:K83" si="11">SUM(C78:J78)</f>
        <v>0</v>
      </c>
      <c r="L78" s="481">
        <v>0</v>
      </c>
    </row>
    <row r="79" spans="1:14" x14ac:dyDescent="0.2">
      <c r="A79" s="1526" t="s">
        <v>322</v>
      </c>
      <c r="B79" s="615">
        <v>4120</v>
      </c>
      <c r="C79" s="617"/>
      <c r="D79" s="617"/>
      <c r="E79" s="466">
        <v>41504</v>
      </c>
      <c r="F79" s="617"/>
      <c r="G79" s="617"/>
      <c r="H79" s="466"/>
      <c r="I79" s="477"/>
      <c r="J79" s="477"/>
      <c r="K79" s="1690">
        <f t="shared" si="11"/>
        <v>41504</v>
      </c>
      <c r="L79" s="466">
        <v>72500</v>
      </c>
    </row>
    <row r="80" spans="1:14" x14ac:dyDescent="0.2">
      <c r="A80" s="1526" t="s">
        <v>323</v>
      </c>
      <c r="B80" s="615">
        <v>4130</v>
      </c>
      <c r="C80" s="617"/>
      <c r="D80" s="617"/>
      <c r="E80" s="466"/>
      <c r="F80" s="617"/>
      <c r="G80" s="617"/>
      <c r="H80" s="466"/>
      <c r="I80" s="477"/>
      <c r="J80" s="477"/>
      <c r="K80" s="1690">
        <f t="shared" si="11"/>
        <v>0</v>
      </c>
      <c r="L80" s="466">
        <v>15000</v>
      </c>
    </row>
    <row r="81" spans="1:12" x14ac:dyDescent="0.2">
      <c r="A81" s="1526" t="s">
        <v>721</v>
      </c>
      <c r="B81" s="615">
        <v>4140</v>
      </c>
      <c r="C81" s="617"/>
      <c r="D81" s="617"/>
      <c r="E81" s="466"/>
      <c r="F81" s="617"/>
      <c r="G81" s="617"/>
      <c r="H81" s="466"/>
      <c r="I81" s="477"/>
      <c r="J81" s="477"/>
      <c r="K81" s="1690">
        <f t="shared" si="11"/>
        <v>0</v>
      </c>
      <c r="L81" s="466">
        <v>0</v>
      </c>
    </row>
    <row r="82" spans="1:12" x14ac:dyDescent="0.2">
      <c r="A82" s="1526" t="s">
        <v>88</v>
      </c>
      <c r="B82" s="615">
        <v>4170</v>
      </c>
      <c r="C82" s="617"/>
      <c r="D82" s="617"/>
      <c r="E82" s="466"/>
      <c r="F82" s="617"/>
      <c r="G82" s="617"/>
      <c r="H82" s="466"/>
      <c r="I82" s="477"/>
      <c r="J82" s="477"/>
      <c r="K82" s="1690">
        <f t="shared" si="11"/>
        <v>0</v>
      </c>
      <c r="L82" s="466">
        <v>0</v>
      </c>
    </row>
    <row r="83" spans="1:12" x14ac:dyDescent="0.2">
      <c r="A83" s="1530" t="s">
        <v>722</v>
      </c>
      <c r="B83" s="629">
        <v>4190</v>
      </c>
      <c r="C83" s="617"/>
      <c r="D83" s="617"/>
      <c r="E83" s="466"/>
      <c r="F83" s="617"/>
      <c r="G83" s="617"/>
      <c r="H83" s="466">
        <v>1500</v>
      </c>
      <c r="I83" s="477"/>
      <c r="J83" s="477"/>
      <c r="K83" s="1690">
        <f t="shared" si="11"/>
        <v>1500</v>
      </c>
      <c r="L83" s="466">
        <v>1500</v>
      </c>
    </row>
    <row r="84" spans="1:12" ht="13.5" thickBot="1" x14ac:dyDescent="0.25">
      <c r="A84" s="1687" t="s">
        <v>1565</v>
      </c>
      <c r="B84" s="1697">
        <v>4100</v>
      </c>
      <c r="C84" s="617"/>
      <c r="D84" s="617"/>
      <c r="E84" s="1689">
        <f>SUM(E78:E83)</f>
        <v>41504</v>
      </c>
      <c r="F84" s="617"/>
      <c r="G84" s="617"/>
      <c r="H84" s="1689">
        <f>SUM(H78:H83)</f>
        <v>1500</v>
      </c>
      <c r="I84" s="477"/>
      <c r="J84" s="477"/>
      <c r="K84" s="1689">
        <f>SUM(K78:K83)</f>
        <v>43004</v>
      </c>
      <c r="L84" s="1689">
        <f>SUM(L78:L83)</f>
        <v>89000</v>
      </c>
    </row>
    <row r="85" spans="1:12" ht="12.75" customHeight="1" thickTop="1" thickBot="1" x14ac:dyDescent="0.25">
      <c r="A85" s="1533" t="s">
        <v>273</v>
      </c>
      <c r="B85" s="636">
        <v>4210</v>
      </c>
      <c r="C85" s="617"/>
      <c r="D85" s="617"/>
      <c r="E85" s="637"/>
      <c r="F85" s="617"/>
      <c r="G85" s="617"/>
      <c r="H85" s="535">
        <v>2730</v>
      </c>
      <c r="I85" s="477"/>
      <c r="J85" s="477"/>
      <c r="K85" s="1696">
        <f>H85</f>
        <v>2730</v>
      </c>
      <c r="L85" s="530">
        <v>5000</v>
      </c>
    </row>
    <row r="86" spans="1:12" ht="12.75" customHeight="1" thickTop="1" thickBot="1" x14ac:dyDescent="0.25">
      <c r="A86" s="1534" t="s">
        <v>723</v>
      </c>
      <c r="B86" s="638">
        <v>4220</v>
      </c>
      <c r="C86" s="617"/>
      <c r="D86" s="617"/>
      <c r="E86" s="639"/>
      <c r="F86" s="617"/>
      <c r="G86" s="617"/>
      <c r="H86" s="467">
        <v>18272</v>
      </c>
      <c r="I86" s="477"/>
      <c r="J86" s="477"/>
      <c r="K86" s="1696">
        <f t="shared" ref="K86:K98" si="12">H86</f>
        <v>18272</v>
      </c>
      <c r="L86" s="530">
        <v>52000</v>
      </c>
    </row>
    <row r="87" spans="1:12" ht="14.25" thickTop="1" thickBot="1" x14ac:dyDescent="0.25">
      <c r="A87" s="1535" t="s">
        <v>724</v>
      </c>
      <c r="B87" s="640">
        <v>4230</v>
      </c>
      <c r="C87" s="617"/>
      <c r="D87" s="617"/>
      <c r="E87" s="639"/>
      <c r="F87" s="617"/>
      <c r="G87" s="617"/>
      <c r="H87" s="467"/>
      <c r="I87" s="477"/>
      <c r="J87" s="477"/>
      <c r="K87" s="1696">
        <f t="shared" si="12"/>
        <v>0</v>
      </c>
      <c r="L87" s="530">
        <v>0</v>
      </c>
    </row>
    <row r="88" spans="1:12" ht="12.75" customHeight="1" thickTop="1" thickBot="1" x14ac:dyDescent="0.25">
      <c r="A88" s="1535" t="s">
        <v>789</v>
      </c>
      <c r="B88" s="640">
        <v>4240</v>
      </c>
      <c r="C88" s="617"/>
      <c r="D88" s="617"/>
      <c r="E88" s="639"/>
      <c r="F88" s="617"/>
      <c r="G88" s="617"/>
      <c r="H88" s="467">
        <v>7600</v>
      </c>
      <c r="I88" s="477"/>
      <c r="J88" s="477"/>
      <c r="K88" s="1696">
        <f t="shared" si="12"/>
        <v>7600</v>
      </c>
      <c r="L88" s="530">
        <v>8000</v>
      </c>
    </row>
    <row r="89" spans="1:12" ht="12.75" customHeight="1" thickTop="1" thickBot="1" x14ac:dyDescent="0.25">
      <c r="A89" s="1535" t="s">
        <v>725</v>
      </c>
      <c r="B89" s="640">
        <v>4270</v>
      </c>
      <c r="C89" s="617"/>
      <c r="D89" s="617"/>
      <c r="E89" s="639"/>
      <c r="F89" s="617"/>
      <c r="G89" s="617"/>
      <c r="H89" s="467"/>
      <c r="I89" s="477"/>
      <c r="J89" s="477"/>
      <c r="K89" s="1696">
        <f t="shared" si="12"/>
        <v>0</v>
      </c>
      <c r="L89" s="530">
        <v>0</v>
      </c>
    </row>
    <row r="90" spans="1:12" ht="12.75" customHeight="1" thickTop="1" thickBot="1" x14ac:dyDescent="0.25">
      <c r="A90" s="1535" t="s">
        <v>710</v>
      </c>
      <c r="B90" s="640">
        <v>4280</v>
      </c>
      <c r="C90" s="617"/>
      <c r="D90" s="617"/>
      <c r="E90" s="639"/>
      <c r="F90" s="617"/>
      <c r="G90" s="617"/>
      <c r="H90" s="467"/>
      <c r="I90" s="477"/>
      <c r="J90" s="477"/>
      <c r="K90" s="1696">
        <f t="shared" si="12"/>
        <v>0</v>
      </c>
      <c r="L90" s="530">
        <v>0</v>
      </c>
    </row>
    <row r="91" spans="1:12" ht="12.75" customHeight="1" thickTop="1" thickBot="1" x14ac:dyDescent="0.25">
      <c r="A91" s="1535" t="s">
        <v>711</v>
      </c>
      <c r="B91" s="640">
        <v>4290</v>
      </c>
      <c r="C91" s="617"/>
      <c r="D91" s="617"/>
      <c r="E91" s="639"/>
      <c r="F91" s="617"/>
      <c r="G91" s="617"/>
      <c r="H91" s="467"/>
      <c r="I91" s="477"/>
      <c r="J91" s="477"/>
      <c r="K91" s="1696">
        <f t="shared" si="12"/>
        <v>0</v>
      </c>
      <c r="L91" s="530">
        <v>0</v>
      </c>
    </row>
    <row r="92" spans="1:12" ht="14.25" thickTop="1" thickBot="1" x14ac:dyDescent="0.25">
      <c r="A92" s="1699" t="s">
        <v>1641</v>
      </c>
      <c r="B92" s="1697">
        <v>4200</v>
      </c>
      <c r="C92" s="617"/>
      <c r="D92" s="617"/>
      <c r="E92" s="639"/>
      <c r="F92" s="617"/>
      <c r="G92" s="617"/>
      <c r="H92" s="1689">
        <f>SUM(H85:H91)</f>
        <v>28602</v>
      </c>
      <c r="I92" s="477"/>
      <c r="J92" s="477"/>
      <c r="K92" s="1696">
        <f t="shared" si="12"/>
        <v>28602</v>
      </c>
      <c r="L92" s="1689">
        <f>SUM(L85:L91)</f>
        <v>65000</v>
      </c>
    </row>
    <row r="93" spans="1:12" ht="14.25" thickTop="1" thickBot="1" x14ac:dyDescent="0.25">
      <c r="A93" s="1534" t="s">
        <v>712</v>
      </c>
      <c r="B93" s="641">
        <v>4310</v>
      </c>
      <c r="C93" s="617"/>
      <c r="D93" s="617"/>
      <c r="E93" s="639"/>
      <c r="F93" s="617"/>
      <c r="G93" s="617"/>
      <c r="H93" s="642"/>
      <c r="I93" s="477"/>
      <c r="J93" s="477"/>
      <c r="K93" s="1696">
        <f t="shared" si="12"/>
        <v>0</v>
      </c>
      <c r="L93" s="532">
        <v>0</v>
      </c>
    </row>
    <row r="94" spans="1:12" ht="12.75" customHeight="1" thickTop="1" thickBot="1" x14ac:dyDescent="0.25">
      <c r="A94" s="1535" t="s">
        <v>713</v>
      </c>
      <c r="B94" s="640">
        <v>4320</v>
      </c>
      <c r="C94" s="617"/>
      <c r="D94" s="617"/>
      <c r="E94" s="639"/>
      <c r="F94" s="617"/>
      <c r="G94" s="617"/>
      <c r="H94" s="467"/>
      <c r="I94" s="477"/>
      <c r="J94" s="477"/>
      <c r="K94" s="1696">
        <f t="shared" si="12"/>
        <v>0</v>
      </c>
      <c r="L94" s="530">
        <v>0</v>
      </c>
    </row>
    <row r="95" spans="1:12" ht="15" customHeight="1" thickTop="1" thickBot="1" x14ac:dyDescent="0.25">
      <c r="A95" s="1535" t="s">
        <v>1568</v>
      </c>
      <c r="B95" s="640">
        <v>4330</v>
      </c>
      <c r="C95" s="617"/>
      <c r="D95" s="617"/>
      <c r="E95" s="639"/>
      <c r="F95" s="617"/>
      <c r="G95" s="617"/>
      <c r="H95" s="467"/>
      <c r="I95" s="477"/>
      <c r="J95" s="477"/>
      <c r="K95" s="1696">
        <f t="shared" si="12"/>
        <v>0</v>
      </c>
      <c r="L95" s="530">
        <v>0</v>
      </c>
    </row>
    <row r="96" spans="1:12" ht="14.25" thickTop="1" thickBot="1" x14ac:dyDescent="0.25">
      <c r="A96" s="1535" t="s">
        <v>714</v>
      </c>
      <c r="B96" s="640">
        <v>4340</v>
      </c>
      <c r="C96" s="617"/>
      <c r="D96" s="617"/>
      <c r="E96" s="639"/>
      <c r="F96" s="617"/>
      <c r="G96" s="617"/>
      <c r="H96" s="467"/>
      <c r="I96" s="477"/>
      <c r="J96" s="477"/>
      <c r="K96" s="1696">
        <f t="shared" si="12"/>
        <v>0</v>
      </c>
      <c r="L96" s="530">
        <v>0</v>
      </c>
    </row>
    <row r="97" spans="1:14" ht="12.75" customHeight="1" thickTop="1" thickBot="1" x14ac:dyDescent="0.25">
      <c r="A97" s="1535" t="s">
        <v>787</v>
      </c>
      <c r="B97" s="640">
        <v>4370</v>
      </c>
      <c r="C97" s="617"/>
      <c r="D97" s="617"/>
      <c r="E97" s="639"/>
      <c r="F97" s="617"/>
      <c r="G97" s="617"/>
      <c r="H97" s="467"/>
      <c r="I97" s="477"/>
      <c r="J97" s="477"/>
      <c r="K97" s="1696">
        <f t="shared" si="12"/>
        <v>0</v>
      </c>
      <c r="L97" s="530">
        <v>0</v>
      </c>
    </row>
    <row r="98" spans="1:14" ht="14.25" thickTop="1" thickBot="1" x14ac:dyDescent="0.25">
      <c r="A98" s="1535" t="s">
        <v>788</v>
      </c>
      <c r="B98" s="640">
        <v>4380</v>
      </c>
      <c r="C98" s="617"/>
      <c r="D98" s="617"/>
      <c r="E98" s="643"/>
      <c r="F98" s="617"/>
      <c r="G98" s="617"/>
      <c r="H98" s="467"/>
      <c r="I98" s="477"/>
      <c r="J98" s="477"/>
      <c r="K98" s="1696">
        <f t="shared" si="12"/>
        <v>0</v>
      </c>
      <c r="L98" s="530">
        <v>0</v>
      </c>
    </row>
    <row r="99" spans="1:14" ht="14.25" thickTop="1" thickBot="1" x14ac:dyDescent="0.25">
      <c r="A99" s="1535" t="s">
        <v>385</v>
      </c>
      <c r="B99" s="640">
        <v>4390</v>
      </c>
      <c r="C99" s="617"/>
      <c r="D99" s="617"/>
      <c r="E99" s="532"/>
      <c r="F99" s="617"/>
      <c r="G99" s="617"/>
      <c r="H99" s="467"/>
      <c r="I99" s="477"/>
      <c r="J99" s="477"/>
      <c r="K99" s="1696">
        <f>SUM(E99,H99)</f>
        <v>0</v>
      </c>
      <c r="L99" s="530">
        <v>0</v>
      </c>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2" t="s">
        <v>1569</v>
      </c>
      <c r="B101" s="644" t="s">
        <v>988</v>
      </c>
      <c r="C101" s="617"/>
      <c r="D101" s="617"/>
      <c r="E101" s="531"/>
      <c r="F101" s="617"/>
      <c r="G101" s="617"/>
      <c r="H101" s="531"/>
      <c r="I101" s="477"/>
      <c r="J101" s="477"/>
      <c r="K101" s="1698">
        <f>SUM(C101:J101)</f>
        <v>0</v>
      </c>
      <c r="L101" s="530">
        <v>0</v>
      </c>
    </row>
    <row r="102" spans="1:14" ht="12.75" customHeight="1" thickTop="1" thickBot="1" x14ac:dyDescent="0.25">
      <c r="A102" s="1687" t="s">
        <v>1567</v>
      </c>
      <c r="B102" s="1697">
        <v>4000</v>
      </c>
      <c r="C102" s="617"/>
      <c r="D102" s="617"/>
      <c r="E102" s="1696">
        <f>SUM(E84,E92,E100,E101)</f>
        <v>41504</v>
      </c>
      <c r="F102" s="617"/>
      <c r="G102" s="617"/>
      <c r="H102" s="1696">
        <f>SUM(H84,H92,H100,H101)</f>
        <v>30102</v>
      </c>
      <c r="I102" s="477"/>
      <c r="J102" s="477"/>
      <c r="K102" s="1696">
        <f>SUM(K84,K92,K100,K101)</f>
        <v>71606</v>
      </c>
      <c r="L102" s="1696">
        <f>SUM(L84,L92,L100,L101)</f>
        <v>154000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0">
        <f>H105</f>
        <v>0</v>
      </c>
      <c r="L105" s="481">
        <v>0</v>
      </c>
      <c r="M105" s="210"/>
      <c r="N105" s="210"/>
    </row>
    <row r="106" spans="1:14" s="598" customFormat="1" x14ac:dyDescent="0.2">
      <c r="A106" s="1526" t="s">
        <v>90</v>
      </c>
      <c r="B106" s="615">
        <v>5120</v>
      </c>
      <c r="C106" s="617"/>
      <c r="D106" s="617"/>
      <c r="E106" s="617"/>
      <c r="F106" s="617"/>
      <c r="G106" s="617"/>
      <c r="H106" s="466"/>
      <c r="I106" s="468"/>
      <c r="J106" s="468"/>
      <c r="K106" s="1690">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0">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0">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0">
        <f>H109</f>
        <v>0</v>
      </c>
      <c r="L109" s="466">
        <v>0</v>
      </c>
      <c r="M109" s="210"/>
      <c r="N109" s="210"/>
    </row>
    <row r="110" spans="1:14" s="598" customFormat="1" ht="12.75" customHeight="1" thickBot="1" x14ac:dyDescent="0.25">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2">
        <f>H111</f>
        <v>0</v>
      </c>
      <c r="L111" s="532">
        <v>0</v>
      </c>
      <c r="M111" s="210"/>
      <c r="N111" s="210"/>
    </row>
    <row r="112" spans="1:14" s="598" customFormat="1" ht="12.75" customHeight="1" thickTop="1" thickBot="1" x14ac:dyDescent="0.25">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7" t="s">
        <v>50</v>
      </c>
      <c r="B114" s="1701"/>
      <c r="C114" s="1689">
        <f>SUM(C33,C74,C75,C102,C112,C113)</f>
        <v>1442838</v>
      </c>
      <c r="D114" s="1689">
        <f t="shared" ref="D114:K114" si="13">SUM(D33,D74,D75,D102,D112,D113)</f>
        <v>283979</v>
      </c>
      <c r="E114" s="1689">
        <f t="shared" si="13"/>
        <v>208609</v>
      </c>
      <c r="F114" s="1689">
        <f t="shared" si="13"/>
        <v>122941</v>
      </c>
      <c r="G114" s="1689">
        <f t="shared" si="13"/>
        <v>2320</v>
      </c>
      <c r="H114" s="1689">
        <f>SUM(H33,H74,H75,H102,H112,H113)</f>
        <v>34654</v>
      </c>
      <c r="I114" s="1689">
        <f t="shared" si="13"/>
        <v>0</v>
      </c>
      <c r="J114" s="1689">
        <f t="shared" si="13"/>
        <v>0</v>
      </c>
      <c r="K114" s="1689">
        <f t="shared" si="13"/>
        <v>2095341</v>
      </c>
      <c r="L114" s="1689">
        <f>SUM(L33,L74,L75,L102,L112,L113)</f>
        <v>2111380</v>
      </c>
    </row>
    <row r="115" spans="1:14" ht="13.5" thickTop="1" x14ac:dyDescent="0.2">
      <c r="A115" s="2170" t="s">
        <v>1053</v>
      </c>
      <c r="B115" s="2171"/>
      <c r="C115" s="619"/>
      <c r="D115" s="619"/>
      <c r="E115" s="619"/>
      <c r="F115" s="619"/>
      <c r="G115" s="619"/>
      <c r="H115" s="619"/>
      <c r="I115" s="619"/>
      <c r="J115" s="619"/>
      <c r="K115" s="1703">
        <f>'Revenues 9-14'!C275-'Expenditures 15-22'!K114</f>
        <v>165822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0">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9">
        <f>SUM(C122:J122)</f>
        <v>0</v>
      </c>
      <c r="L122" s="466">
        <v>0</v>
      </c>
    </row>
    <row r="123" spans="1:14" ht="14.25" thickTop="1" thickBot="1" x14ac:dyDescent="0.25">
      <c r="A123" s="1526" t="s">
        <v>4</v>
      </c>
      <c r="B123" s="615">
        <v>2530</v>
      </c>
      <c r="C123" s="466"/>
      <c r="D123" s="466"/>
      <c r="E123" s="466"/>
      <c r="F123" s="466"/>
      <c r="G123" s="466"/>
      <c r="H123" s="466"/>
      <c r="I123" s="467"/>
      <c r="J123" s="467"/>
      <c r="K123" s="1689">
        <f>SUM(C123:J123)</f>
        <v>0</v>
      </c>
      <c r="L123" s="466">
        <v>0</v>
      </c>
    </row>
    <row r="124" spans="1:14" ht="14.25" thickTop="1" thickBot="1" x14ac:dyDescent="0.25">
      <c r="A124" s="1526" t="s">
        <v>206</v>
      </c>
      <c r="B124" s="615">
        <v>2540</v>
      </c>
      <c r="C124" s="466">
        <v>131750</v>
      </c>
      <c r="D124" s="466">
        <v>3485</v>
      </c>
      <c r="E124" s="466">
        <v>74819</v>
      </c>
      <c r="F124" s="466">
        <v>18821</v>
      </c>
      <c r="G124" s="466">
        <v>27959</v>
      </c>
      <c r="H124" s="466"/>
      <c r="I124" s="467"/>
      <c r="J124" s="467"/>
      <c r="K124" s="1689">
        <f>SUM(C124:J124)</f>
        <v>256834</v>
      </c>
      <c r="L124" s="466">
        <v>238400</v>
      </c>
    </row>
    <row r="125" spans="1:14" ht="14.25" thickTop="1" thickBot="1" x14ac:dyDescent="0.25">
      <c r="A125" s="1526" t="s">
        <v>1010</v>
      </c>
      <c r="B125" s="615">
        <v>2550</v>
      </c>
      <c r="C125" s="466"/>
      <c r="D125" s="466"/>
      <c r="E125" s="466"/>
      <c r="F125" s="466"/>
      <c r="G125" s="466"/>
      <c r="H125" s="466"/>
      <c r="I125" s="467"/>
      <c r="J125" s="467"/>
      <c r="K125" s="1689">
        <f>SUM(C125:J125)</f>
        <v>0</v>
      </c>
      <c r="L125" s="466">
        <v>0</v>
      </c>
    </row>
    <row r="126" spans="1:14" ht="14.25" thickTop="1" thickBot="1" x14ac:dyDescent="0.25">
      <c r="A126" s="1526" t="s">
        <v>102</v>
      </c>
      <c r="B126" s="615">
        <v>2560</v>
      </c>
      <c r="C126" s="655"/>
      <c r="D126" s="655"/>
      <c r="E126" s="655"/>
      <c r="F126" s="655"/>
      <c r="G126" s="466"/>
      <c r="H126" s="655"/>
      <c r="I126" s="474"/>
      <c r="J126" s="617"/>
      <c r="K126" s="1689">
        <f>SUM(C126:J126)</f>
        <v>0</v>
      </c>
      <c r="L126" s="466">
        <v>0</v>
      </c>
    </row>
    <row r="127" spans="1:14" ht="12.75" customHeight="1" thickTop="1" thickBot="1" x14ac:dyDescent="0.25">
      <c r="A127" s="1687" t="s">
        <v>743</v>
      </c>
      <c r="B127" s="1688" t="s">
        <v>35</v>
      </c>
      <c r="C127" s="1689">
        <f>SUM(C122:C126)</f>
        <v>131750</v>
      </c>
      <c r="D127" s="1689">
        <f t="shared" ref="D127:L127" si="14">SUM(D122:D126)</f>
        <v>3485</v>
      </c>
      <c r="E127" s="1689">
        <f t="shared" si="14"/>
        <v>74819</v>
      </c>
      <c r="F127" s="1689">
        <f t="shared" si="14"/>
        <v>18821</v>
      </c>
      <c r="G127" s="1689">
        <f t="shared" si="14"/>
        <v>27959</v>
      </c>
      <c r="H127" s="1689">
        <f t="shared" si="14"/>
        <v>0</v>
      </c>
      <c r="I127" s="1689">
        <f t="shared" si="14"/>
        <v>0</v>
      </c>
      <c r="J127" s="1689">
        <f t="shared" si="14"/>
        <v>0</v>
      </c>
      <c r="K127" s="1689">
        <f t="shared" si="14"/>
        <v>256834</v>
      </c>
      <c r="L127" s="1689">
        <f t="shared" si="14"/>
        <v>238400</v>
      </c>
    </row>
    <row r="128" spans="1:14" ht="12.75" customHeight="1" thickTop="1" x14ac:dyDescent="0.2">
      <c r="A128" s="1533" t="s">
        <v>1037</v>
      </c>
      <c r="B128" s="656" t="s">
        <v>595</v>
      </c>
      <c r="C128" s="657"/>
      <c r="D128" s="657"/>
      <c r="E128" s="657">
        <v>31152</v>
      </c>
      <c r="F128" s="657"/>
      <c r="G128" s="657"/>
      <c r="H128" s="657"/>
      <c r="I128" s="535"/>
      <c r="J128" s="535"/>
      <c r="K128" s="1704">
        <f>SUM(C128:J128)</f>
        <v>31152</v>
      </c>
      <c r="L128" s="657">
        <v>31000</v>
      </c>
    </row>
    <row r="129" spans="1:14" ht="12.75" customHeight="1" thickBot="1" x14ac:dyDescent="0.25">
      <c r="A129" s="1705" t="s">
        <v>865</v>
      </c>
      <c r="B129" s="1706" t="s">
        <v>590</v>
      </c>
      <c r="C129" s="1696">
        <f>SUM(C120,C127,C128)</f>
        <v>131750</v>
      </c>
      <c r="D129" s="1696">
        <f t="shared" ref="D129:L129" si="15">SUM(D120,D127,D128)</f>
        <v>3485</v>
      </c>
      <c r="E129" s="1696">
        <f t="shared" si="15"/>
        <v>105971</v>
      </c>
      <c r="F129" s="1696">
        <f t="shared" si="15"/>
        <v>18821</v>
      </c>
      <c r="G129" s="1696">
        <f t="shared" si="15"/>
        <v>27959</v>
      </c>
      <c r="H129" s="1696">
        <f t="shared" si="15"/>
        <v>0</v>
      </c>
      <c r="I129" s="1696">
        <f t="shared" si="15"/>
        <v>0</v>
      </c>
      <c r="J129" s="1696">
        <f t="shared" si="15"/>
        <v>0</v>
      </c>
      <c r="K129" s="1696">
        <f t="shared" si="15"/>
        <v>287986</v>
      </c>
      <c r="L129" s="1696">
        <f t="shared" si="15"/>
        <v>269400</v>
      </c>
    </row>
    <row r="130" spans="1:14" ht="15.75" customHeight="1" thickTop="1" thickBot="1" x14ac:dyDescent="0.25">
      <c r="A130" s="1632" t="s">
        <v>1096</v>
      </c>
      <c r="B130" s="1633" t="s">
        <v>596</v>
      </c>
      <c r="C130" s="576"/>
      <c r="D130" s="576"/>
      <c r="E130" s="576"/>
      <c r="F130" s="576"/>
      <c r="G130" s="576"/>
      <c r="H130" s="576"/>
      <c r="I130" s="531"/>
      <c r="J130" s="531"/>
      <c r="K130" s="1689">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0" t="s">
        <v>1953</v>
      </c>
      <c r="C133" s="468"/>
      <c r="D133" s="468"/>
      <c r="E133" s="642"/>
      <c r="F133" s="468"/>
      <c r="G133" s="468"/>
      <c r="H133" s="642"/>
      <c r="I133" s="468"/>
      <c r="J133" s="468"/>
      <c r="K133" s="1841">
        <f>SUM(E133,H133)</f>
        <v>0</v>
      </c>
      <c r="L133" s="642">
        <v>0</v>
      </c>
      <c r="M133" s="206"/>
      <c r="N133" s="206"/>
    </row>
    <row r="134" spans="1:14" x14ac:dyDescent="0.2">
      <c r="A134" s="1526" t="s">
        <v>322</v>
      </c>
      <c r="B134" s="615">
        <v>4120</v>
      </c>
      <c r="C134" s="617"/>
      <c r="D134" s="617"/>
      <c r="E134" s="478"/>
      <c r="F134" s="617"/>
      <c r="G134" s="617"/>
      <c r="H134" s="481"/>
      <c r="I134" s="477"/>
      <c r="J134" s="617"/>
      <c r="K134" s="1691">
        <f>SUM(E134,H134)</f>
        <v>0</v>
      </c>
      <c r="L134" s="481">
        <v>0</v>
      </c>
    </row>
    <row r="135" spans="1:14" x14ac:dyDescent="0.2">
      <c r="A135" s="1526" t="s">
        <v>721</v>
      </c>
      <c r="B135" s="615">
        <v>4140</v>
      </c>
      <c r="C135" s="617"/>
      <c r="D135" s="617"/>
      <c r="E135" s="467"/>
      <c r="F135" s="617"/>
      <c r="G135" s="617"/>
      <c r="H135" s="466"/>
      <c r="I135" s="477"/>
      <c r="J135" s="617"/>
      <c r="K135" s="1691">
        <f>SUM(E135,H135)</f>
        <v>0</v>
      </c>
      <c r="L135" s="466">
        <v>0</v>
      </c>
    </row>
    <row r="136" spans="1:14" x14ac:dyDescent="0.2">
      <c r="A136" s="1530" t="s">
        <v>722</v>
      </c>
      <c r="B136" s="629">
        <v>4190</v>
      </c>
      <c r="C136" s="617"/>
      <c r="D136" s="617"/>
      <c r="E136" s="467"/>
      <c r="F136" s="617"/>
      <c r="G136" s="617"/>
      <c r="H136" s="466"/>
      <c r="I136" s="477"/>
      <c r="J136" s="617"/>
      <c r="K136" s="1691">
        <f>SUM(E136,H136)</f>
        <v>0</v>
      </c>
      <c r="L136" s="466">
        <v>0</v>
      </c>
    </row>
    <row r="137" spans="1:14" ht="12.75" customHeight="1" thickBot="1" x14ac:dyDescent="0.25">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x14ac:dyDescent="0.25">
      <c r="A138" s="1532" t="s">
        <v>98</v>
      </c>
      <c r="B138" s="644" t="s">
        <v>988</v>
      </c>
      <c r="C138" s="617"/>
      <c r="D138" s="617"/>
      <c r="E138" s="479"/>
      <c r="F138" s="617"/>
      <c r="G138" s="617"/>
      <c r="H138" s="576"/>
      <c r="I138" s="477"/>
      <c r="J138" s="617"/>
      <c r="K138" s="1691">
        <f>SUM(E138,H138)</f>
        <v>0</v>
      </c>
      <c r="L138" s="576">
        <v>0</v>
      </c>
    </row>
    <row r="139" spans="1:14" ht="12.75" customHeight="1" thickTop="1" thickBot="1" x14ac:dyDescent="0.25">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1">
        <f>SUM(H142)</f>
        <v>0</v>
      </c>
      <c r="L142" s="481">
        <v>0</v>
      </c>
    </row>
    <row r="143" spans="1:14" x14ac:dyDescent="0.2">
      <c r="A143" s="1526" t="s">
        <v>90</v>
      </c>
      <c r="B143" s="615">
        <v>5120</v>
      </c>
      <c r="C143" s="617"/>
      <c r="D143" s="617"/>
      <c r="E143" s="617"/>
      <c r="F143" s="617"/>
      <c r="G143" s="617"/>
      <c r="H143" s="466"/>
      <c r="I143" s="468"/>
      <c r="J143" s="617"/>
      <c r="K143" s="1691">
        <f>SUM(H143)</f>
        <v>0</v>
      </c>
      <c r="L143" s="466">
        <v>0</v>
      </c>
    </row>
    <row r="144" spans="1:14" ht="12.75" customHeight="1" x14ac:dyDescent="0.2">
      <c r="A144" s="1526" t="s">
        <v>1232</v>
      </c>
      <c r="B144" s="629" t="s">
        <v>638</v>
      </c>
      <c r="C144" s="617"/>
      <c r="D144" s="617"/>
      <c r="E144" s="617"/>
      <c r="F144" s="617"/>
      <c r="G144" s="617"/>
      <c r="H144" s="466"/>
      <c r="I144" s="468"/>
      <c r="J144" s="617"/>
      <c r="K144" s="1691">
        <f>SUM(H144)</f>
        <v>0</v>
      </c>
      <c r="L144" s="466">
        <v>0</v>
      </c>
    </row>
    <row r="145" spans="1:14" x14ac:dyDescent="0.2">
      <c r="A145" s="1526" t="s">
        <v>91</v>
      </c>
      <c r="B145" s="615" t="s">
        <v>610</v>
      </c>
      <c r="C145" s="617"/>
      <c r="D145" s="617"/>
      <c r="E145" s="617"/>
      <c r="F145" s="617"/>
      <c r="G145" s="617"/>
      <c r="H145" s="466"/>
      <c r="I145" s="468"/>
      <c r="J145" s="617"/>
      <c r="K145" s="1691">
        <f>SUM(H145)</f>
        <v>0</v>
      </c>
      <c r="L145" s="466">
        <v>0</v>
      </c>
    </row>
    <row r="146" spans="1:14" ht="12.75" customHeight="1" x14ac:dyDescent="0.2">
      <c r="A146" s="1526" t="s">
        <v>640</v>
      </c>
      <c r="B146" s="615" t="s">
        <v>639</v>
      </c>
      <c r="C146" s="617"/>
      <c r="D146" s="617"/>
      <c r="E146" s="617"/>
      <c r="F146" s="617"/>
      <c r="G146" s="617"/>
      <c r="H146" s="466"/>
      <c r="I146" s="468"/>
      <c r="J146" s="617"/>
      <c r="K146" s="1691">
        <f>SUM(H146)</f>
        <v>0</v>
      </c>
      <c r="L146" s="466">
        <v>0</v>
      </c>
    </row>
    <row r="147" spans="1:14" ht="12.75" customHeight="1" thickBot="1" x14ac:dyDescent="0.25">
      <c r="A147" s="1537"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v>0</v>
      </c>
    </row>
    <row r="149" spans="1:14" ht="12.75" customHeight="1" thickBot="1" x14ac:dyDescent="0.25">
      <c r="A149" s="1529"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7" t="s">
        <v>641</v>
      </c>
      <c r="B151" s="2167"/>
      <c r="C151" s="1689">
        <f>SUM(C129,C130,C139,C149,C150)</f>
        <v>131750</v>
      </c>
      <c r="D151" s="1689">
        <f t="shared" ref="D151:K151" si="16">SUM(D129,D130,D139,D149,D150)</f>
        <v>3485</v>
      </c>
      <c r="E151" s="1689">
        <f t="shared" si="16"/>
        <v>105971</v>
      </c>
      <c r="F151" s="1689">
        <f t="shared" si="16"/>
        <v>18821</v>
      </c>
      <c r="G151" s="1689">
        <f t="shared" si="16"/>
        <v>27959</v>
      </c>
      <c r="H151" s="1689">
        <f t="shared" si="16"/>
        <v>0</v>
      </c>
      <c r="I151" s="1689">
        <f t="shared" si="16"/>
        <v>0</v>
      </c>
      <c r="J151" s="1689">
        <f t="shared" si="16"/>
        <v>0</v>
      </c>
      <c r="K151" s="1689">
        <f t="shared" si="16"/>
        <v>287986</v>
      </c>
      <c r="L151" s="1689">
        <f>SUM(L129,L130,L139,L149,L150)</f>
        <v>269400</v>
      </c>
    </row>
    <row r="152" spans="1:14" ht="12.75" customHeight="1" thickTop="1" x14ac:dyDescent="0.2">
      <c r="A152" s="2190" t="s">
        <v>1240</v>
      </c>
      <c r="B152" s="2191"/>
      <c r="C152" s="619"/>
      <c r="D152" s="619"/>
      <c r="E152" s="619"/>
      <c r="F152" s="619"/>
      <c r="G152" s="619"/>
      <c r="H152" s="619"/>
      <c r="I152" s="619"/>
      <c r="J152" s="617"/>
      <c r="K152" s="1703">
        <f>'Revenues 9-14'!D275-'Expenditures 15-22'!K151</f>
        <v>-3143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1"/>
      <c r="I155" s="617"/>
      <c r="J155" s="617"/>
      <c r="K155" s="1845"/>
      <c r="L155" s="1861"/>
      <c r="M155" s="620"/>
      <c r="N155" s="620"/>
    </row>
    <row r="156" spans="1:14" s="621" customFormat="1" ht="15.75" customHeight="1" thickTop="1" x14ac:dyDescent="0.2">
      <c r="A156" s="1842" t="s">
        <v>1954</v>
      </c>
      <c r="B156" s="1843"/>
      <c r="C156" s="617"/>
      <c r="D156" s="617"/>
      <c r="E156" s="617"/>
      <c r="F156" s="617"/>
      <c r="G156" s="617"/>
      <c r="H156" s="1862"/>
      <c r="I156" s="617"/>
      <c r="J156" s="617"/>
      <c r="K156" s="1844"/>
      <c r="L156" s="1862"/>
      <c r="M156" s="620"/>
      <c r="N156" s="620"/>
    </row>
    <row r="157" spans="1:14" s="621" customFormat="1" ht="12" x14ac:dyDescent="0.2">
      <c r="A157" s="1846" t="s">
        <v>517</v>
      </c>
      <c r="B157" s="1847" t="s">
        <v>1953</v>
      </c>
      <c r="C157" s="617"/>
      <c r="D157" s="617"/>
      <c r="E157" s="617"/>
      <c r="F157" s="617"/>
      <c r="G157" s="617"/>
      <c r="H157" s="642"/>
      <c r="I157" s="617"/>
      <c r="J157" s="617"/>
      <c r="K157" s="1690">
        <f>H157</f>
        <v>0</v>
      </c>
      <c r="L157" s="467">
        <v>0</v>
      </c>
      <c r="M157" s="620"/>
      <c r="N157" s="620"/>
    </row>
    <row r="158" spans="1:14" s="621" customFormat="1" ht="12" x14ac:dyDescent="0.2">
      <c r="A158" s="1846" t="s">
        <v>322</v>
      </c>
      <c r="B158" s="1847" t="s">
        <v>1955</v>
      </c>
      <c r="C158" s="617"/>
      <c r="D158" s="617"/>
      <c r="E158" s="617"/>
      <c r="F158" s="617"/>
      <c r="G158" s="617"/>
      <c r="H158" s="467"/>
      <c r="I158" s="617"/>
      <c r="J158" s="617"/>
      <c r="K158" s="1690">
        <f>H158</f>
        <v>0</v>
      </c>
      <c r="L158" s="467">
        <v>0</v>
      </c>
      <c r="M158" s="620"/>
      <c r="N158" s="620"/>
    </row>
    <row r="159" spans="1:14" s="621" customFormat="1" ht="12" x14ac:dyDescent="0.2">
      <c r="A159" s="1846" t="s">
        <v>1956</v>
      </c>
      <c r="B159" s="1847" t="s">
        <v>579</v>
      </c>
      <c r="C159" s="617"/>
      <c r="D159" s="617"/>
      <c r="E159" s="617"/>
      <c r="F159" s="617"/>
      <c r="G159" s="617"/>
      <c r="H159" s="467"/>
      <c r="I159" s="617"/>
      <c r="J159" s="617"/>
      <c r="K159" s="1690">
        <f>H159</f>
        <v>0</v>
      </c>
      <c r="L159" s="467">
        <v>0</v>
      </c>
      <c r="M159" s="620"/>
      <c r="N159" s="620"/>
    </row>
    <row r="160" spans="1:14" s="621" customFormat="1" ht="15.75" customHeight="1" thickBot="1" x14ac:dyDescent="0.25">
      <c r="A160" s="1848" t="s">
        <v>1957</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0">
        <f>SUM(C163:J163)</f>
        <v>0</v>
      </c>
      <c r="L163" s="466">
        <v>0</v>
      </c>
    </row>
    <row r="164" spans="1:14" x14ac:dyDescent="0.2">
      <c r="A164" s="1526" t="s">
        <v>90</v>
      </c>
      <c r="B164" s="615">
        <v>5120</v>
      </c>
      <c r="C164" s="617"/>
      <c r="D164" s="617"/>
      <c r="E164" s="617"/>
      <c r="F164" s="617"/>
      <c r="G164" s="617"/>
      <c r="H164" s="466"/>
      <c r="I164" s="617"/>
      <c r="J164" s="617"/>
      <c r="K164" s="1690">
        <f>SUM(C164:J164)</f>
        <v>0</v>
      </c>
      <c r="L164" s="466">
        <v>0</v>
      </c>
    </row>
    <row r="165" spans="1:14" ht="12.75" customHeight="1" x14ac:dyDescent="0.2">
      <c r="A165" s="1526" t="s">
        <v>1232</v>
      </c>
      <c r="B165" s="615" t="s">
        <v>638</v>
      </c>
      <c r="C165" s="617"/>
      <c r="D165" s="617"/>
      <c r="E165" s="617"/>
      <c r="F165" s="617"/>
      <c r="G165" s="617"/>
      <c r="H165" s="466"/>
      <c r="I165" s="617"/>
      <c r="J165" s="617"/>
      <c r="K165" s="1690">
        <f>SUM(C165:J165)</f>
        <v>0</v>
      </c>
      <c r="L165" s="466">
        <v>0</v>
      </c>
    </row>
    <row r="166" spans="1:14" x14ac:dyDescent="0.2">
      <c r="A166" s="1526" t="s">
        <v>91</v>
      </c>
      <c r="B166" s="629" t="s">
        <v>610</v>
      </c>
      <c r="C166" s="617"/>
      <c r="D166" s="617"/>
      <c r="E166" s="617"/>
      <c r="F166" s="617"/>
      <c r="G166" s="617"/>
      <c r="H166" s="466"/>
      <c r="I166" s="617"/>
      <c r="J166" s="617"/>
      <c r="K166" s="1690">
        <f>SUM(C166:J166)</f>
        <v>0</v>
      </c>
      <c r="L166" s="466">
        <v>0</v>
      </c>
    </row>
    <row r="167" spans="1:14" ht="12.75" customHeight="1" x14ac:dyDescent="0.2">
      <c r="A167" s="1526" t="s">
        <v>640</v>
      </c>
      <c r="B167" s="615" t="s">
        <v>639</v>
      </c>
      <c r="C167" s="617"/>
      <c r="D167" s="617"/>
      <c r="E167" s="617"/>
      <c r="F167" s="617"/>
      <c r="G167" s="617"/>
      <c r="H167" s="466"/>
      <c r="I167" s="617"/>
      <c r="J167" s="617"/>
      <c r="K167" s="1690">
        <f>SUM(C167:J167)</f>
        <v>0</v>
      </c>
      <c r="L167" s="466">
        <v>0</v>
      </c>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c r="I169" s="617"/>
      <c r="J169" s="617"/>
      <c r="K169" s="1690">
        <f>SUM(C169:H169)</f>
        <v>0</v>
      </c>
      <c r="L169" s="657">
        <v>0</v>
      </c>
    </row>
    <row r="170" spans="1:14" ht="33.75" customHeight="1" x14ac:dyDescent="0.2">
      <c r="A170" s="670" t="s">
        <v>1769</v>
      </c>
      <c r="B170" s="672" t="s">
        <v>31</v>
      </c>
      <c r="C170" s="617"/>
      <c r="D170" s="617"/>
      <c r="E170" s="617"/>
      <c r="F170" s="617"/>
      <c r="G170" s="617"/>
      <c r="H170" s="569"/>
      <c r="I170" s="617"/>
      <c r="J170" s="617"/>
      <c r="K170" s="1690">
        <f>SUM(C170:J170)</f>
        <v>0</v>
      </c>
      <c r="L170" s="569">
        <v>0</v>
      </c>
    </row>
    <row r="171" spans="1:14" ht="15.75" customHeight="1" x14ac:dyDescent="0.2">
      <c r="A171" s="622" t="s">
        <v>790</v>
      </c>
      <c r="B171" s="673" t="s">
        <v>86</v>
      </c>
      <c r="C171" s="617"/>
      <c r="D171" s="617"/>
      <c r="E171" s="466"/>
      <c r="F171" s="617"/>
      <c r="G171" s="617"/>
      <c r="H171" s="569"/>
      <c r="I171" s="477"/>
      <c r="J171" s="617"/>
      <c r="K171" s="1690">
        <f>SUM(C171:J171)</f>
        <v>0</v>
      </c>
      <c r="L171" s="569">
        <v>0</v>
      </c>
    </row>
    <row r="172" spans="1:14" ht="12.75" customHeight="1" thickBot="1" x14ac:dyDescent="0.25">
      <c r="A172" s="1687" t="s">
        <v>659</v>
      </c>
      <c r="B172" s="1688" t="s">
        <v>513</v>
      </c>
      <c r="C172" s="617"/>
      <c r="D172" s="617"/>
      <c r="E172" s="1696">
        <f>SUM(E168,E169,E170,E171)</f>
        <v>0</v>
      </c>
      <c r="F172" s="617"/>
      <c r="G172" s="617"/>
      <c r="H172" s="1696">
        <f>SUM(H168,H169,H170,H171)</f>
        <v>0</v>
      </c>
      <c r="I172" s="639"/>
      <c r="J172" s="617"/>
      <c r="K172" s="1696">
        <f>SUM(K168,K169,K170,K171)</f>
        <v>0</v>
      </c>
      <c r="L172" s="1696">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8" t="s">
        <v>92</v>
      </c>
      <c r="B174" s="1709"/>
      <c r="C174" s="617"/>
      <c r="D174" s="617"/>
      <c r="E174" s="1696">
        <f>SUM(E155,E172,E173)</f>
        <v>0</v>
      </c>
      <c r="F174" s="617"/>
      <c r="G174" s="617"/>
      <c r="H174" s="1696">
        <f>SUM(H160,H172,H173)</f>
        <v>0</v>
      </c>
      <c r="I174" s="639"/>
      <c r="J174" s="617"/>
      <c r="K174" s="1696">
        <f>SUM(K160,K172,K173)</f>
        <v>0</v>
      </c>
      <c r="L174" s="1696">
        <f>SUM(L160,L172,L173)</f>
        <v>0</v>
      </c>
    </row>
    <row r="175" spans="1:14" ht="13.5" thickTop="1" x14ac:dyDescent="0.2">
      <c r="A175" s="2170" t="s">
        <v>1053</v>
      </c>
      <c r="B175" s="2171"/>
      <c r="C175" s="617"/>
      <c r="D175" s="617"/>
      <c r="E175" s="617"/>
      <c r="F175" s="617"/>
      <c r="G175" s="617"/>
      <c r="H175" s="619"/>
      <c r="I175" s="617"/>
      <c r="J175" s="617"/>
      <c r="K175" s="1703">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0">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55841</v>
      </c>
      <c r="D182" s="466">
        <v>901</v>
      </c>
      <c r="E182" s="466">
        <v>8272</v>
      </c>
      <c r="F182" s="466">
        <v>24312</v>
      </c>
      <c r="G182" s="466">
        <v>83979</v>
      </c>
      <c r="H182" s="466"/>
      <c r="I182" s="467"/>
      <c r="J182" s="467"/>
      <c r="K182" s="1690">
        <f>SUM(C182:J182)</f>
        <v>173305</v>
      </c>
      <c r="L182" s="466">
        <v>183102</v>
      </c>
    </row>
    <row r="183" spans="1:14" ht="12.75" customHeight="1" thickBot="1" x14ac:dyDescent="0.25">
      <c r="A183" s="1531" t="s">
        <v>1037</v>
      </c>
      <c r="B183" s="678">
        <v>2900</v>
      </c>
      <c r="C183" s="573"/>
      <c r="D183" s="573"/>
      <c r="E183" s="573">
        <v>15733</v>
      </c>
      <c r="F183" s="573"/>
      <c r="G183" s="573"/>
      <c r="H183" s="573"/>
      <c r="I183" s="532"/>
      <c r="J183" s="532"/>
      <c r="K183" s="1696">
        <f>SUM(C183:J183)</f>
        <v>15733</v>
      </c>
      <c r="L183" s="573">
        <v>15500</v>
      </c>
    </row>
    <row r="184" spans="1:14" ht="12.75" customHeight="1" thickTop="1" thickBot="1" x14ac:dyDescent="0.25">
      <c r="A184" s="1710" t="s">
        <v>865</v>
      </c>
      <c r="B184" s="1688" t="s">
        <v>590</v>
      </c>
      <c r="C184" s="1696">
        <f>SUM(C180,C182,C183)</f>
        <v>55841</v>
      </c>
      <c r="D184" s="1696">
        <f t="shared" ref="D184:J184" si="17">SUM(D180,D182,D183)</f>
        <v>901</v>
      </c>
      <c r="E184" s="1696">
        <f t="shared" si="17"/>
        <v>24005</v>
      </c>
      <c r="F184" s="1696">
        <f t="shared" si="17"/>
        <v>24312</v>
      </c>
      <c r="G184" s="1696">
        <f t="shared" si="17"/>
        <v>83979</v>
      </c>
      <c r="H184" s="1696">
        <f t="shared" si="17"/>
        <v>0</v>
      </c>
      <c r="I184" s="1696">
        <f t="shared" si="17"/>
        <v>0</v>
      </c>
      <c r="J184" s="1696">
        <f t="shared" si="17"/>
        <v>0</v>
      </c>
      <c r="K184" s="1696">
        <f>SUM(K180,K182,K183)</f>
        <v>189038</v>
      </c>
      <c r="L184" s="1696">
        <f>SUM(L180, L182:L183)</f>
        <v>198602</v>
      </c>
    </row>
    <row r="185" spans="1:14" ht="15.75" customHeight="1" thickTop="1" thickBot="1" x14ac:dyDescent="0.25">
      <c r="A185" s="1644" t="s">
        <v>996</v>
      </c>
      <c r="B185" s="1633">
        <v>3000</v>
      </c>
      <c r="C185" s="576"/>
      <c r="D185" s="576"/>
      <c r="E185" s="576"/>
      <c r="F185" s="576"/>
      <c r="G185" s="576"/>
      <c r="H185" s="576"/>
      <c r="I185" s="531"/>
      <c r="J185" s="531"/>
      <c r="K185" s="1689">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0">
        <f t="shared" ref="K188:K193" si="18">SUM(E188,H188)</f>
        <v>0</v>
      </c>
      <c r="L188" s="466">
        <v>0</v>
      </c>
    </row>
    <row r="189" spans="1:14" x14ac:dyDescent="0.2">
      <c r="A189" s="1526" t="s">
        <v>322</v>
      </c>
      <c r="B189" s="615">
        <v>4120</v>
      </c>
      <c r="C189" s="617"/>
      <c r="D189" s="617"/>
      <c r="E189" s="466"/>
      <c r="F189" s="617"/>
      <c r="G189" s="617"/>
      <c r="H189" s="466"/>
      <c r="I189" s="477"/>
      <c r="J189" s="617"/>
      <c r="K189" s="1690">
        <f t="shared" si="18"/>
        <v>0</v>
      </c>
      <c r="L189" s="466">
        <v>0</v>
      </c>
    </row>
    <row r="190" spans="1:14" x14ac:dyDescent="0.2">
      <c r="A190" s="1526" t="s">
        <v>323</v>
      </c>
      <c r="B190" s="629">
        <v>4130</v>
      </c>
      <c r="C190" s="617"/>
      <c r="D190" s="617"/>
      <c r="E190" s="466"/>
      <c r="F190" s="617"/>
      <c r="G190" s="617"/>
      <c r="H190" s="466"/>
      <c r="I190" s="477"/>
      <c r="J190" s="617"/>
      <c r="K190" s="1690">
        <f t="shared" si="18"/>
        <v>0</v>
      </c>
      <c r="L190" s="466">
        <v>0</v>
      </c>
    </row>
    <row r="191" spans="1:14" x14ac:dyDescent="0.2">
      <c r="A191" s="1526" t="s">
        <v>721</v>
      </c>
      <c r="B191" s="615">
        <v>4140</v>
      </c>
      <c r="C191" s="617"/>
      <c r="D191" s="617"/>
      <c r="E191" s="466"/>
      <c r="F191" s="617"/>
      <c r="G191" s="617"/>
      <c r="H191" s="466"/>
      <c r="I191" s="477"/>
      <c r="J191" s="617"/>
      <c r="K191" s="1690">
        <f t="shared" si="18"/>
        <v>0</v>
      </c>
      <c r="L191" s="466">
        <v>0</v>
      </c>
    </row>
    <row r="192" spans="1:14" x14ac:dyDescent="0.2">
      <c r="A192" s="1526" t="s">
        <v>88</v>
      </c>
      <c r="B192" s="615">
        <v>4170</v>
      </c>
      <c r="C192" s="617"/>
      <c r="D192" s="617"/>
      <c r="E192" s="466"/>
      <c r="F192" s="617"/>
      <c r="G192" s="617"/>
      <c r="H192" s="466"/>
      <c r="I192" s="477"/>
      <c r="J192" s="617"/>
      <c r="K192" s="1690">
        <f t="shared" si="18"/>
        <v>0</v>
      </c>
      <c r="L192" s="466">
        <v>0</v>
      </c>
    </row>
    <row r="193" spans="1:14" x14ac:dyDescent="0.2">
      <c r="A193" s="1530" t="s">
        <v>722</v>
      </c>
      <c r="B193" s="629">
        <v>4190</v>
      </c>
      <c r="C193" s="617"/>
      <c r="D193" s="617"/>
      <c r="E193" s="466"/>
      <c r="F193" s="617"/>
      <c r="G193" s="617"/>
      <c r="H193" s="466"/>
      <c r="I193" s="477"/>
      <c r="J193" s="617"/>
      <c r="K193" s="1690">
        <f t="shared" si="18"/>
        <v>0</v>
      </c>
      <c r="L193" s="466">
        <v>0</v>
      </c>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v>0</v>
      </c>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0">
        <f>SUM(H199)</f>
        <v>0</v>
      </c>
      <c r="L199" s="466">
        <v>0</v>
      </c>
    </row>
    <row r="200" spans="1:14" x14ac:dyDescent="0.2">
      <c r="A200" s="1526" t="s">
        <v>90</v>
      </c>
      <c r="B200" s="615">
        <v>5120</v>
      </c>
      <c r="C200" s="617"/>
      <c r="D200" s="617"/>
      <c r="E200" s="617"/>
      <c r="F200" s="617"/>
      <c r="G200" s="617"/>
      <c r="H200" s="466"/>
      <c r="I200" s="617"/>
      <c r="J200" s="617"/>
      <c r="K200" s="1690">
        <f>SUM(H200)</f>
        <v>0</v>
      </c>
      <c r="L200" s="466">
        <v>0</v>
      </c>
    </row>
    <row r="201" spans="1:14" ht="12.75" customHeight="1" x14ac:dyDescent="0.2">
      <c r="A201" s="1526" t="s">
        <v>1232</v>
      </c>
      <c r="B201" s="629" t="s">
        <v>638</v>
      </c>
      <c r="C201" s="617"/>
      <c r="D201" s="617"/>
      <c r="E201" s="617"/>
      <c r="F201" s="617"/>
      <c r="G201" s="617"/>
      <c r="H201" s="466"/>
      <c r="I201" s="617"/>
      <c r="J201" s="617"/>
      <c r="K201" s="1690">
        <f>SUM(H201)</f>
        <v>0</v>
      </c>
      <c r="L201" s="466">
        <v>0</v>
      </c>
    </row>
    <row r="202" spans="1:14" x14ac:dyDescent="0.2">
      <c r="A202" s="1526" t="s">
        <v>91</v>
      </c>
      <c r="B202" s="615" t="s">
        <v>610</v>
      </c>
      <c r="C202" s="617"/>
      <c r="D202" s="617"/>
      <c r="E202" s="617"/>
      <c r="F202" s="617"/>
      <c r="G202" s="617"/>
      <c r="H202" s="466"/>
      <c r="I202" s="617"/>
      <c r="J202" s="617"/>
      <c r="K202" s="1690">
        <f>SUM(H202)</f>
        <v>0</v>
      </c>
      <c r="L202" s="466">
        <v>0</v>
      </c>
    </row>
    <row r="203" spans="1:14" x14ac:dyDescent="0.2">
      <c r="A203" s="1538" t="s">
        <v>640</v>
      </c>
      <c r="B203" s="615" t="s">
        <v>639</v>
      </c>
      <c r="C203" s="617"/>
      <c r="D203" s="617"/>
      <c r="E203" s="617"/>
      <c r="F203" s="617"/>
      <c r="G203" s="617"/>
      <c r="H203" s="471"/>
      <c r="I203" s="617"/>
      <c r="J203" s="617"/>
      <c r="K203" s="1690">
        <f>SUM(H203)</f>
        <v>0</v>
      </c>
      <c r="L203" s="471">
        <v>0</v>
      </c>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v>9455</v>
      </c>
      <c r="I205" s="617"/>
      <c r="J205" s="617"/>
      <c r="K205" s="1704">
        <f>SUM(H205)</f>
        <v>9455</v>
      </c>
      <c r="L205" s="535">
        <v>0</v>
      </c>
    </row>
    <row r="206" spans="1:14" ht="30" customHeight="1" x14ac:dyDescent="0.2">
      <c r="A206" s="682" t="s">
        <v>1770</v>
      </c>
      <c r="B206" s="673" t="s">
        <v>31</v>
      </c>
      <c r="C206" s="617"/>
      <c r="D206" s="617"/>
      <c r="E206" s="617"/>
      <c r="F206" s="617"/>
      <c r="G206" s="617"/>
      <c r="H206" s="466"/>
      <c r="I206" s="617"/>
      <c r="J206" s="617"/>
      <c r="K206" s="1690">
        <f>SUM(H206)</f>
        <v>0</v>
      </c>
      <c r="L206" s="466">
        <v>0</v>
      </c>
    </row>
    <row r="207" spans="1:14" ht="15.75" customHeight="1" x14ac:dyDescent="0.2">
      <c r="A207" s="622" t="s">
        <v>790</v>
      </c>
      <c r="B207" s="673" t="s">
        <v>86</v>
      </c>
      <c r="C207" s="617"/>
      <c r="D207" s="617"/>
      <c r="E207" s="617"/>
      <c r="F207" s="617"/>
      <c r="G207" s="617"/>
      <c r="H207" s="467"/>
      <c r="I207" s="617"/>
      <c r="J207" s="617"/>
      <c r="K207" s="1690">
        <f>H207</f>
        <v>0</v>
      </c>
      <c r="L207" s="466">
        <v>0</v>
      </c>
    </row>
    <row r="208" spans="1:14" ht="12.75" customHeight="1" thickBot="1" x14ac:dyDescent="0.25">
      <c r="A208" s="1705" t="s">
        <v>659</v>
      </c>
      <c r="B208" s="1706" t="s">
        <v>513</v>
      </c>
      <c r="C208" s="617"/>
      <c r="D208" s="617"/>
      <c r="E208" s="617"/>
      <c r="F208" s="617"/>
      <c r="G208" s="617"/>
      <c r="H208" s="1696">
        <f>SUM(H204,H205,H206,H207)</f>
        <v>9455</v>
      </c>
      <c r="I208" s="617"/>
      <c r="J208" s="617"/>
      <c r="K208" s="1696">
        <f>SUM(K204,K205,K206,K207)</f>
        <v>9455</v>
      </c>
      <c r="L208" s="1696">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1" t="s">
        <v>295</v>
      </c>
      <c r="B210" s="1712"/>
      <c r="C210" s="1689">
        <f>SUM(C184,C185)</f>
        <v>55841</v>
      </c>
      <c r="D210" s="1689">
        <f>SUM(D184,D185)</f>
        <v>901</v>
      </c>
      <c r="E210" s="1689">
        <f>SUM(E184,E185,E196)</f>
        <v>24005</v>
      </c>
      <c r="F210" s="1689">
        <f>SUM(F184,F185)</f>
        <v>24312</v>
      </c>
      <c r="G210" s="1689">
        <f>SUM(G184,G185)</f>
        <v>83979</v>
      </c>
      <c r="H210" s="1689">
        <f>SUM(H184,H185,H196,H208,H209)</f>
        <v>9455</v>
      </c>
      <c r="I210" s="1689">
        <f>SUM(I184,I185)</f>
        <v>0</v>
      </c>
      <c r="J210" s="1689">
        <f>SUM(J184,J185)</f>
        <v>0</v>
      </c>
      <c r="K210" s="1690">
        <f>SUM(K184,K185,K196,K208,K209)</f>
        <v>198493</v>
      </c>
      <c r="L210" s="1689">
        <f>SUM(L184,L185,L196,L208,L209)</f>
        <v>198602</v>
      </c>
    </row>
    <row r="211" spans="1:14" ht="13.5" thickTop="1" x14ac:dyDescent="0.2">
      <c r="A211" s="2170" t="s">
        <v>1053</v>
      </c>
      <c r="B211" s="2171"/>
      <c r="C211" s="619"/>
      <c r="D211" s="619"/>
      <c r="E211" s="619"/>
      <c r="F211" s="619"/>
      <c r="G211" s="619"/>
      <c r="H211" s="619"/>
      <c r="I211" s="617"/>
      <c r="J211" s="617"/>
      <c r="K211" s="1703">
        <f>'Revenues 9-14'!F275-'Expenditures 15-22'!K210</f>
        <v>5655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11981</v>
      </c>
      <c r="E215" s="617"/>
      <c r="F215" s="617"/>
      <c r="G215" s="617"/>
      <c r="H215" s="617"/>
      <c r="I215" s="617"/>
      <c r="J215" s="617"/>
      <c r="K215" s="1690">
        <f>D215</f>
        <v>11981</v>
      </c>
      <c r="L215" s="466">
        <v>10700</v>
      </c>
    </row>
    <row r="216" spans="1:14" x14ac:dyDescent="0.2">
      <c r="A216" s="1526" t="s">
        <v>165</v>
      </c>
      <c r="B216" s="615" t="s">
        <v>1024</v>
      </c>
      <c r="C216" s="617"/>
      <c r="D216" s="467"/>
      <c r="E216" s="617"/>
      <c r="F216" s="617"/>
      <c r="G216" s="617"/>
      <c r="H216" s="617"/>
      <c r="I216" s="617"/>
      <c r="J216" s="617"/>
      <c r="K216" s="1690">
        <f t="shared" ref="K216:K228" si="19">D216</f>
        <v>0</v>
      </c>
      <c r="L216" s="466">
        <v>0</v>
      </c>
    </row>
    <row r="217" spans="1:14" x14ac:dyDescent="0.2">
      <c r="A217" s="1526" t="s">
        <v>166</v>
      </c>
      <c r="B217" s="615">
        <v>1200</v>
      </c>
      <c r="C217" s="617"/>
      <c r="D217" s="466">
        <v>3917</v>
      </c>
      <c r="E217" s="617"/>
      <c r="F217" s="617"/>
      <c r="G217" s="617"/>
      <c r="H217" s="617"/>
      <c r="I217" s="617"/>
      <c r="J217" s="617"/>
      <c r="K217" s="1690">
        <f t="shared" si="19"/>
        <v>3917</v>
      </c>
      <c r="L217" s="466">
        <v>3600</v>
      </c>
    </row>
    <row r="218" spans="1:14" x14ac:dyDescent="0.2">
      <c r="A218" s="1526" t="s">
        <v>296</v>
      </c>
      <c r="B218" s="615" t="s">
        <v>1025</v>
      </c>
      <c r="C218" s="617"/>
      <c r="D218" s="467"/>
      <c r="E218" s="617"/>
      <c r="F218" s="617"/>
      <c r="G218" s="617"/>
      <c r="H218" s="617"/>
      <c r="I218" s="617"/>
      <c r="J218" s="617"/>
      <c r="K218" s="1690">
        <f t="shared" si="19"/>
        <v>0</v>
      </c>
      <c r="L218" s="466">
        <v>0</v>
      </c>
    </row>
    <row r="219" spans="1:14" x14ac:dyDescent="0.2">
      <c r="A219" s="1526" t="s">
        <v>297</v>
      </c>
      <c r="B219" s="615">
        <v>1250</v>
      </c>
      <c r="C219" s="617"/>
      <c r="D219" s="466">
        <v>334</v>
      </c>
      <c r="E219" s="617"/>
      <c r="F219" s="617"/>
      <c r="G219" s="617"/>
      <c r="H219" s="617"/>
      <c r="I219" s="617"/>
      <c r="J219" s="617"/>
      <c r="K219" s="1690">
        <f t="shared" si="19"/>
        <v>334</v>
      </c>
      <c r="L219" s="466">
        <v>425</v>
      </c>
    </row>
    <row r="220" spans="1:14" x14ac:dyDescent="0.2">
      <c r="A220" s="1526" t="s">
        <v>298</v>
      </c>
      <c r="B220" s="615" t="s">
        <v>163</v>
      </c>
      <c r="C220" s="617"/>
      <c r="D220" s="467"/>
      <c r="E220" s="617"/>
      <c r="F220" s="617"/>
      <c r="G220" s="617"/>
      <c r="H220" s="617"/>
      <c r="I220" s="617"/>
      <c r="J220" s="617"/>
      <c r="K220" s="1690">
        <f t="shared" si="19"/>
        <v>0</v>
      </c>
      <c r="L220" s="466">
        <v>0</v>
      </c>
    </row>
    <row r="221" spans="1:14" x14ac:dyDescent="0.2">
      <c r="A221" s="1526" t="s">
        <v>1019</v>
      </c>
      <c r="B221" s="615">
        <v>1300</v>
      </c>
      <c r="C221" s="617"/>
      <c r="D221" s="466"/>
      <c r="E221" s="617"/>
      <c r="F221" s="617"/>
      <c r="G221" s="617"/>
      <c r="H221" s="617"/>
      <c r="I221" s="617"/>
      <c r="J221" s="617"/>
      <c r="K221" s="1690">
        <f t="shared" si="19"/>
        <v>0</v>
      </c>
      <c r="L221" s="466">
        <v>0</v>
      </c>
    </row>
    <row r="222" spans="1:14" x14ac:dyDescent="0.2">
      <c r="A222" s="1526" t="s">
        <v>747</v>
      </c>
      <c r="B222" s="615">
        <v>1400</v>
      </c>
      <c r="C222" s="617"/>
      <c r="D222" s="466"/>
      <c r="E222" s="617"/>
      <c r="F222" s="617"/>
      <c r="G222" s="617"/>
      <c r="H222" s="617"/>
      <c r="I222" s="617"/>
      <c r="J222" s="617"/>
      <c r="K222" s="1690">
        <f t="shared" si="19"/>
        <v>0</v>
      </c>
      <c r="L222" s="466">
        <v>0</v>
      </c>
    </row>
    <row r="223" spans="1:14" x14ac:dyDescent="0.2">
      <c r="A223" s="1526" t="s">
        <v>1020</v>
      </c>
      <c r="B223" s="615">
        <v>1500</v>
      </c>
      <c r="C223" s="617"/>
      <c r="D223" s="466">
        <v>2188</v>
      </c>
      <c r="E223" s="617"/>
      <c r="F223" s="617"/>
      <c r="G223" s="617"/>
      <c r="H223" s="617"/>
      <c r="I223" s="617"/>
      <c r="J223" s="617"/>
      <c r="K223" s="1690">
        <f t="shared" si="19"/>
        <v>2188</v>
      </c>
      <c r="L223" s="466">
        <v>2600</v>
      </c>
    </row>
    <row r="224" spans="1:14" x14ac:dyDescent="0.2">
      <c r="A224" s="1526" t="s">
        <v>1021</v>
      </c>
      <c r="B224" s="615">
        <v>1600</v>
      </c>
      <c r="C224" s="617"/>
      <c r="D224" s="466"/>
      <c r="E224" s="617"/>
      <c r="F224" s="617"/>
      <c r="G224" s="617"/>
      <c r="H224" s="617"/>
      <c r="I224" s="617"/>
      <c r="J224" s="617"/>
      <c r="K224" s="1690">
        <f t="shared" si="19"/>
        <v>0</v>
      </c>
      <c r="L224" s="466">
        <v>0</v>
      </c>
    </row>
    <row r="225" spans="1:12" x14ac:dyDescent="0.2">
      <c r="A225" s="1526" t="s">
        <v>1044</v>
      </c>
      <c r="B225" s="615">
        <v>1650</v>
      </c>
      <c r="C225" s="617"/>
      <c r="D225" s="466"/>
      <c r="E225" s="617"/>
      <c r="F225" s="617"/>
      <c r="G225" s="617"/>
      <c r="H225" s="617"/>
      <c r="I225" s="617"/>
      <c r="J225" s="617"/>
      <c r="K225" s="1690">
        <f t="shared" si="19"/>
        <v>0</v>
      </c>
      <c r="L225" s="466">
        <v>0</v>
      </c>
    </row>
    <row r="226" spans="1:12" x14ac:dyDescent="0.2">
      <c r="A226" s="1526" t="s">
        <v>748</v>
      </c>
      <c r="B226" s="615" t="s">
        <v>164</v>
      </c>
      <c r="C226" s="617"/>
      <c r="D226" s="467">
        <v>115</v>
      </c>
      <c r="E226" s="617"/>
      <c r="F226" s="617"/>
      <c r="G226" s="617"/>
      <c r="H226" s="617"/>
      <c r="I226" s="617"/>
      <c r="J226" s="617"/>
      <c r="K226" s="1690">
        <f t="shared" si="19"/>
        <v>115</v>
      </c>
      <c r="L226" s="466">
        <v>100</v>
      </c>
    </row>
    <row r="227" spans="1:12" x14ac:dyDescent="0.2">
      <c r="A227" s="1526" t="s">
        <v>1148</v>
      </c>
      <c r="B227" s="615">
        <v>1800</v>
      </c>
      <c r="C227" s="617"/>
      <c r="D227" s="466"/>
      <c r="E227" s="617"/>
      <c r="F227" s="617"/>
      <c r="G227" s="617"/>
      <c r="H227" s="617"/>
      <c r="I227" s="617"/>
      <c r="J227" s="617"/>
      <c r="K227" s="1690">
        <f t="shared" si="19"/>
        <v>0</v>
      </c>
      <c r="L227" s="466">
        <v>0</v>
      </c>
    </row>
    <row r="228" spans="1:12" x14ac:dyDescent="0.2">
      <c r="A228" s="1526" t="s">
        <v>1149</v>
      </c>
      <c r="B228" s="615">
        <v>1900</v>
      </c>
      <c r="C228" s="617"/>
      <c r="D228" s="466"/>
      <c r="E228" s="617"/>
      <c r="F228" s="617"/>
      <c r="G228" s="617"/>
      <c r="H228" s="617"/>
      <c r="I228" s="617"/>
      <c r="J228" s="617"/>
      <c r="K228" s="1690">
        <f t="shared" si="19"/>
        <v>0</v>
      </c>
      <c r="L228" s="466">
        <v>0</v>
      </c>
    </row>
    <row r="229" spans="1:12" ht="12.75" customHeight="1" thickBot="1" x14ac:dyDescent="0.25">
      <c r="A229" s="1687" t="s">
        <v>739</v>
      </c>
      <c r="B229" s="1694" t="s">
        <v>591</v>
      </c>
      <c r="C229" s="617"/>
      <c r="D229" s="1689">
        <f>SUM(D215:D228)</f>
        <v>18535</v>
      </c>
      <c r="E229" s="617"/>
      <c r="F229" s="617"/>
      <c r="G229" s="617"/>
      <c r="H229" s="617"/>
      <c r="I229" s="617"/>
      <c r="J229" s="617"/>
      <c r="K229" s="1689">
        <f>SUM(K215:K228)</f>
        <v>18535</v>
      </c>
      <c r="L229" s="1689">
        <f>SUM(L215:L228)</f>
        <v>17425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0">
        <f t="shared" ref="K232:K237" si="20">D232</f>
        <v>0</v>
      </c>
      <c r="L232" s="466">
        <v>0</v>
      </c>
    </row>
    <row r="233" spans="1:12" x14ac:dyDescent="0.2">
      <c r="A233" s="1526" t="s">
        <v>1151</v>
      </c>
      <c r="B233" s="615">
        <v>2120</v>
      </c>
      <c r="C233" s="617"/>
      <c r="D233" s="466">
        <v>530</v>
      </c>
      <c r="E233" s="617"/>
      <c r="F233" s="617"/>
      <c r="G233" s="617"/>
      <c r="H233" s="617"/>
      <c r="I233" s="617"/>
      <c r="J233" s="617"/>
      <c r="K233" s="1690">
        <f t="shared" si="20"/>
        <v>530</v>
      </c>
      <c r="L233" s="466">
        <v>650</v>
      </c>
    </row>
    <row r="234" spans="1:12" x14ac:dyDescent="0.2">
      <c r="A234" s="1526" t="s">
        <v>207</v>
      </c>
      <c r="B234" s="615">
        <v>2130</v>
      </c>
      <c r="C234" s="617"/>
      <c r="D234" s="466"/>
      <c r="E234" s="617"/>
      <c r="F234" s="617"/>
      <c r="G234" s="617"/>
      <c r="H234" s="617"/>
      <c r="I234" s="617"/>
      <c r="J234" s="617"/>
      <c r="K234" s="1690">
        <f t="shared" si="20"/>
        <v>0</v>
      </c>
      <c r="L234" s="466">
        <v>0</v>
      </c>
    </row>
    <row r="235" spans="1:12" x14ac:dyDescent="0.2">
      <c r="A235" s="1526" t="s">
        <v>208</v>
      </c>
      <c r="B235" s="615">
        <v>2140</v>
      </c>
      <c r="C235" s="617"/>
      <c r="D235" s="466"/>
      <c r="E235" s="617"/>
      <c r="F235" s="617"/>
      <c r="G235" s="617"/>
      <c r="H235" s="617"/>
      <c r="I235" s="617"/>
      <c r="J235" s="617"/>
      <c r="K235" s="1690">
        <f t="shared" si="20"/>
        <v>0</v>
      </c>
      <c r="L235" s="466">
        <v>0</v>
      </c>
    </row>
    <row r="236" spans="1:12" x14ac:dyDescent="0.2">
      <c r="A236" s="1526" t="s">
        <v>209</v>
      </c>
      <c r="B236" s="615">
        <v>2150</v>
      </c>
      <c r="C236" s="617"/>
      <c r="D236" s="466"/>
      <c r="E236" s="617"/>
      <c r="F236" s="617"/>
      <c r="G236" s="617"/>
      <c r="H236" s="617"/>
      <c r="I236" s="617"/>
      <c r="J236" s="617"/>
      <c r="K236" s="1690">
        <f t="shared" si="20"/>
        <v>0</v>
      </c>
      <c r="L236" s="466">
        <v>0</v>
      </c>
    </row>
    <row r="237" spans="1:12" x14ac:dyDescent="0.2">
      <c r="A237" s="1526" t="s">
        <v>167</v>
      </c>
      <c r="B237" s="615">
        <v>2190</v>
      </c>
      <c r="C237" s="617"/>
      <c r="D237" s="466"/>
      <c r="E237" s="617"/>
      <c r="F237" s="617"/>
      <c r="G237" s="617"/>
      <c r="H237" s="617"/>
      <c r="I237" s="617"/>
      <c r="J237" s="617"/>
      <c r="K237" s="1690">
        <f t="shared" si="20"/>
        <v>0</v>
      </c>
      <c r="L237" s="466">
        <v>0</v>
      </c>
    </row>
    <row r="238" spans="1:12" ht="12.75" customHeight="1" thickBot="1" x14ac:dyDescent="0.25">
      <c r="A238" s="1687" t="s">
        <v>581</v>
      </c>
      <c r="B238" s="1694" t="s">
        <v>740</v>
      </c>
      <c r="C238" s="617"/>
      <c r="D238" s="1689">
        <f>SUM(D232:D237)</f>
        <v>530</v>
      </c>
      <c r="E238" s="617"/>
      <c r="F238" s="617"/>
      <c r="G238" s="617"/>
      <c r="H238" s="617"/>
      <c r="I238" s="617"/>
      <c r="J238" s="617"/>
      <c r="K238" s="1689">
        <f>SUM(K232:K237)</f>
        <v>530</v>
      </c>
      <c r="L238" s="1689">
        <f>SUM(L232:L237)</f>
        <v>650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1">
        <f>D240</f>
        <v>0</v>
      </c>
      <c r="L240" s="481">
        <v>0</v>
      </c>
    </row>
    <row r="241" spans="1:12" x14ac:dyDescent="0.2">
      <c r="A241" s="1526" t="s">
        <v>869</v>
      </c>
      <c r="B241" s="615">
        <v>2220</v>
      </c>
      <c r="C241" s="617"/>
      <c r="D241" s="466">
        <v>951</v>
      </c>
      <c r="E241" s="617"/>
      <c r="F241" s="617"/>
      <c r="G241" s="617"/>
      <c r="H241" s="617"/>
      <c r="I241" s="617"/>
      <c r="J241" s="617"/>
      <c r="K241" s="1691">
        <f>D241</f>
        <v>951</v>
      </c>
      <c r="L241" s="466">
        <v>900</v>
      </c>
    </row>
    <row r="242" spans="1:12" x14ac:dyDescent="0.2">
      <c r="A242" s="1526" t="s">
        <v>870</v>
      </c>
      <c r="B242" s="615">
        <v>2230</v>
      </c>
      <c r="C242" s="617"/>
      <c r="D242" s="466"/>
      <c r="E242" s="617"/>
      <c r="F242" s="617"/>
      <c r="G242" s="617"/>
      <c r="H242" s="617"/>
      <c r="I242" s="617"/>
      <c r="J242" s="617"/>
      <c r="K242" s="1691">
        <f>D242</f>
        <v>0</v>
      </c>
      <c r="L242" s="466">
        <v>0</v>
      </c>
    </row>
    <row r="243" spans="1:12" ht="12.75" customHeight="1" thickBot="1" x14ac:dyDescent="0.25">
      <c r="A243" s="1713" t="s">
        <v>582</v>
      </c>
      <c r="B243" s="1714">
        <v>2200</v>
      </c>
      <c r="C243" s="617"/>
      <c r="D243" s="1689">
        <f>SUM(D240:D242)</f>
        <v>951</v>
      </c>
      <c r="E243" s="617"/>
      <c r="F243" s="617"/>
      <c r="G243" s="617"/>
      <c r="H243" s="617"/>
      <c r="I243" s="617"/>
      <c r="J243" s="617"/>
      <c r="K243" s="1689">
        <f>SUM(K240:K242)</f>
        <v>951</v>
      </c>
      <c r="L243" s="1689">
        <f>SUM(L240:L242)</f>
        <v>900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1">
        <f>D245</f>
        <v>0</v>
      </c>
      <c r="L245" s="481">
        <v>0</v>
      </c>
    </row>
    <row r="246" spans="1:12" x14ac:dyDescent="0.2">
      <c r="A246" s="1526" t="s">
        <v>872</v>
      </c>
      <c r="B246" s="615">
        <v>2320</v>
      </c>
      <c r="C246" s="617"/>
      <c r="D246" s="466">
        <v>3130</v>
      </c>
      <c r="E246" s="617"/>
      <c r="F246" s="617"/>
      <c r="G246" s="617"/>
      <c r="H246" s="617"/>
      <c r="I246" s="617"/>
      <c r="J246" s="617"/>
      <c r="K246" s="1691">
        <f t="shared" ref="K246:K256" si="21">D246</f>
        <v>3130</v>
      </c>
      <c r="L246" s="466">
        <v>3700</v>
      </c>
    </row>
    <row r="247" spans="1:12" x14ac:dyDescent="0.2">
      <c r="A247" s="1526" t="s">
        <v>873</v>
      </c>
      <c r="B247" s="615">
        <v>2330</v>
      </c>
      <c r="C247" s="617"/>
      <c r="D247" s="466"/>
      <c r="E247" s="617"/>
      <c r="F247" s="617"/>
      <c r="G247" s="617"/>
      <c r="H247" s="617"/>
      <c r="I247" s="617"/>
      <c r="J247" s="617"/>
      <c r="K247" s="1691">
        <f t="shared" si="21"/>
        <v>0</v>
      </c>
      <c r="L247" s="466">
        <v>0</v>
      </c>
    </row>
    <row r="248" spans="1:12" x14ac:dyDescent="0.2">
      <c r="A248" s="1527" t="s">
        <v>317</v>
      </c>
      <c r="B248" s="603" t="s">
        <v>299</v>
      </c>
      <c r="C248" s="617"/>
      <c r="D248" s="474"/>
      <c r="E248" s="617"/>
      <c r="F248" s="617"/>
      <c r="G248" s="617"/>
      <c r="H248" s="617"/>
      <c r="I248" s="617"/>
      <c r="J248" s="617"/>
      <c r="K248" s="1691">
        <f t="shared" si="21"/>
        <v>0</v>
      </c>
      <c r="L248" s="466">
        <v>0</v>
      </c>
    </row>
    <row r="249" spans="1:12" x14ac:dyDescent="0.2">
      <c r="A249" s="1528" t="s">
        <v>1907</v>
      </c>
      <c r="B249" s="684" t="s">
        <v>300</v>
      </c>
      <c r="C249" s="617"/>
      <c r="D249" s="474"/>
      <c r="E249" s="617"/>
      <c r="F249" s="617"/>
      <c r="G249" s="617"/>
      <c r="H249" s="617"/>
      <c r="I249" s="617"/>
      <c r="J249" s="617"/>
      <c r="K249" s="1691">
        <f t="shared" si="21"/>
        <v>0</v>
      </c>
      <c r="L249" s="466">
        <v>0</v>
      </c>
    </row>
    <row r="250" spans="1:12" x14ac:dyDescent="0.2">
      <c r="A250" s="1527" t="s">
        <v>1908</v>
      </c>
      <c r="B250" s="603" t="s">
        <v>301</v>
      </c>
      <c r="C250" s="617"/>
      <c r="D250" s="474"/>
      <c r="E250" s="617"/>
      <c r="F250" s="617"/>
      <c r="G250" s="617"/>
      <c r="H250" s="617"/>
      <c r="I250" s="617"/>
      <c r="J250" s="617"/>
      <c r="K250" s="1691">
        <f t="shared" si="21"/>
        <v>0</v>
      </c>
      <c r="L250" s="466">
        <v>0</v>
      </c>
    </row>
    <row r="251" spans="1:12" x14ac:dyDescent="0.2">
      <c r="A251" s="1527" t="s">
        <v>256</v>
      </c>
      <c r="B251" s="603" t="s">
        <v>302</v>
      </c>
      <c r="C251" s="617"/>
      <c r="D251" s="474"/>
      <c r="E251" s="617"/>
      <c r="F251" s="617"/>
      <c r="G251" s="617"/>
      <c r="H251" s="617"/>
      <c r="I251" s="617"/>
      <c r="J251" s="617"/>
      <c r="K251" s="1691">
        <f t="shared" si="21"/>
        <v>0</v>
      </c>
      <c r="L251" s="466">
        <v>0</v>
      </c>
    </row>
    <row r="252" spans="1:12" x14ac:dyDescent="0.2">
      <c r="A252" s="1527" t="s">
        <v>726</v>
      </c>
      <c r="B252" s="603" t="s">
        <v>303</v>
      </c>
      <c r="C252" s="617"/>
      <c r="D252" s="474"/>
      <c r="E252" s="617"/>
      <c r="F252" s="617"/>
      <c r="G252" s="617"/>
      <c r="H252" s="617"/>
      <c r="I252" s="617"/>
      <c r="J252" s="617"/>
      <c r="K252" s="1691">
        <f t="shared" si="21"/>
        <v>0</v>
      </c>
      <c r="L252" s="466">
        <v>0</v>
      </c>
    </row>
    <row r="253" spans="1:12" x14ac:dyDescent="0.2">
      <c r="A253" s="1527" t="s">
        <v>257</v>
      </c>
      <c r="B253" s="603" t="s">
        <v>304</v>
      </c>
      <c r="C253" s="617"/>
      <c r="D253" s="474"/>
      <c r="E253" s="617"/>
      <c r="F253" s="617"/>
      <c r="G253" s="617"/>
      <c r="H253" s="617"/>
      <c r="I253" s="617"/>
      <c r="J253" s="617"/>
      <c r="K253" s="1691">
        <f t="shared" si="21"/>
        <v>0</v>
      </c>
      <c r="L253" s="466">
        <v>0</v>
      </c>
    </row>
    <row r="254" spans="1:12" ht="22.5" x14ac:dyDescent="0.2">
      <c r="A254" s="1527" t="s">
        <v>1087</v>
      </c>
      <c r="B254" s="684" t="s">
        <v>305</v>
      </c>
      <c r="C254" s="617"/>
      <c r="D254" s="474"/>
      <c r="E254" s="617"/>
      <c r="F254" s="617"/>
      <c r="G254" s="617"/>
      <c r="H254" s="617"/>
      <c r="I254" s="617"/>
      <c r="J254" s="617"/>
      <c r="K254" s="1691">
        <f t="shared" si="21"/>
        <v>0</v>
      </c>
      <c r="L254" s="466">
        <v>0</v>
      </c>
    </row>
    <row r="255" spans="1:12" x14ac:dyDescent="0.2">
      <c r="A255" s="1527" t="s">
        <v>1088</v>
      </c>
      <c r="B255" s="603" t="s">
        <v>306</v>
      </c>
      <c r="C255" s="617"/>
      <c r="D255" s="474"/>
      <c r="E255" s="617"/>
      <c r="F255" s="617"/>
      <c r="G255" s="617"/>
      <c r="H255" s="617"/>
      <c r="I255" s="617"/>
      <c r="J255" s="617"/>
      <c r="K255" s="1691">
        <f t="shared" si="21"/>
        <v>0</v>
      </c>
      <c r="L255" s="466">
        <v>0</v>
      </c>
    </row>
    <row r="256" spans="1:12" x14ac:dyDescent="0.2">
      <c r="A256" s="1527" t="s">
        <v>1028</v>
      </c>
      <c r="B256" s="615" t="s">
        <v>307</v>
      </c>
      <c r="C256" s="617"/>
      <c r="D256" s="474"/>
      <c r="E256" s="617"/>
      <c r="F256" s="617"/>
      <c r="G256" s="617"/>
      <c r="H256" s="617"/>
      <c r="I256" s="617"/>
      <c r="J256" s="617"/>
      <c r="K256" s="1691">
        <f t="shared" si="21"/>
        <v>0</v>
      </c>
      <c r="L256" s="466">
        <v>0</v>
      </c>
    </row>
    <row r="257" spans="1:14" ht="12.75" customHeight="1" thickBot="1" x14ac:dyDescent="0.25">
      <c r="A257" s="1687" t="s">
        <v>741</v>
      </c>
      <c r="B257" s="1715">
        <v>2300</v>
      </c>
      <c r="C257" s="617"/>
      <c r="D257" s="1689">
        <f>SUM(D245:D256)</f>
        <v>3130</v>
      </c>
      <c r="E257" s="617"/>
      <c r="F257" s="617"/>
      <c r="G257" s="617"/>
      <c r="H257" s="617"/>
      <c r="I257" s="617"/>
      <c r="J257" s="617"/>
      <c r="K257" s="1689">
        <f>SUM(K245:K256)</f>
        <v>3130</v>
      </c>
      <c r="L257" s="1689">
        <f>SUM(L245:L256)</f>
        <v>3700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6401</v>
      </c>
      <c r="E259" s="617"/>
      <c r="F259" s="617"/>
      <c r="G259" s="617"/>
      <c r="H259" s="617"/>
      <c r="I259" s="617"/>
      <c r="J259" s="617"/>
      <c r="K259" s="1691">
        <f>D259</f>
        <v>6401</v>
      </c>
      <c r="L259" s="481">
        <v>6900</v>
      </c>
    </row>
    <row r="260" spans="1:14" s="598" customFormat="1" x14ac:dyDescent="0.2">
      <c r="A260" s="1544" t="s">
        <v>1906</v>
      </c>
      <c r="B260" s="629">
        <v>2490</v>
      </c>
      <c r="C260" s="617"/>
      <c r="D260" s="466"/>
      <c r="E260" s="617"/>
      <c r="F260" s="617"/>
      <c r="G260" s="617"/>
      <c r="H260" s="617"/>
      <c r="I260" s="617"/>
      <c r="J260" s="617"/>
      <c r="K260" s="1691">
        <f>D260</f>
        <v>0</v>
      </c>
      <c r="L260" s="466">
        <v>0</v>
      </c>
      <c r="M260" s="210"/>
      <c r="N260" s="210"/>
    </row>
    <row r="261" spans="1:14" ht="12.75" customHeight="1" thickBot="1" x14ac:dyDescent="0.25">
      <c r="A261" s="1711" t="s">
        <v>281</v>
      </c>
      <c r="B261" s="1716" t="s">
        <v>34</v>
      </c>
      <c r="C261" s="617"/>
      <c r="D261" s="1689">
        <f>SUM(D259:D260)</f>
        <v>6401</v>
      </c>
      <c r="E261" s="617"/>
      <c r="F261" s="617"/>
      <c r="G261" s="617"/>
      <c r="H261" s="617"/>
      <c r="I261" s="617"/>
      <c r="J261" s="617"/>
      <c r="K261" s="1689">
        <f>SUM(K259:K260)</f>
        <v>6401</v>
      </c>
      <c r="L261" s="1689">
        <f>SUM(L259:L260)</f>
        <v>6900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1">
        <f>D263</f>
        <v>0</v>
      </c>
      <c r="L263" s="481">
        <v>0</v>
      </c>
    </row>
    <row r="264" spans="1:14" x14ac:dyDescent="0.2">
      <c r="A264" s="1526" t="s">
        <v>483</v>
      </c>
      <c r="B264" s="686">
        <v>2520</v>
      </c>
      <c r="C264" s="617"/>
      <c r="D264" s="466">
        <v>5319</v>
      </c>
      <c r="E264" s="617"/>
      <c r="F264" s="617"/>
      <c r="G264" s="617"/>
      <c r="H264" s="617"/>
      <c r="I264" s="617"/>
      <c r="J264" s="617"/>
      <c r="K264" s="1691">
        <f t="shared" ref="K264:K269" si="22">D264</f>
        <v>5319</v>
      </c>
      <c r="L264" s="466">
        <v>5400</v>
      </c>
    </row>
    <row r="265" spans="1:14" x14ac:dyDescent="0.2">
      <c r="A265" s="1526" t="s">
        <v>4</v>
      </c>
      <c r="B265" s="615">
        <v>2530</v>
      </c>
      <c r="C265" s="617"/>
      <c r="D265" s="466"/>
      <c r="E265" s="617"/>
      <c r="F265" s="617"/>
      <c r="G265" s="617"/>
      <c r="H265" s="617"/>
      <c r="I265" s="617"/>
      <c r="J265" s="617"/>
      <c r="K265" s="1691">
        <f t="shared" si="22"/>
        <v>0</v>
      </c>
      <c r="L265" s="466">
        <v>0</v>
      </c>
    </row>
    <row r="266" spans="1:14" x14ac:dyDescent="0.2">
      <c r="A266" s="1526" t="s">
        <v>206</v>
      </c>
      <c r="B266" s="615">
        <v>2540</v>
      </c>
      <c r="C266" s="617"/>
      <c r="D266" s="466">
        <v>17059</v>
      </c>
      <c r="E266" s="617"/>
      <c r="F266" s="617"/>
      <c r="G266" s="617"/>
      <c r="H266" s="617"/>
      <c r="I266" s="617"/>
      <c r="J266" s="617"/>
      <c r="K266" s="1691">
        <f t="shared" si="22"/>
        <v>17059</v>
      </c>
      <c r="L266" s="466">
        <v>17000</v>
      </c>
    </row>
    <row r="267" spans="1:14" x14ac:dyDescent="0.2">
      <c r="A267" s="1526" t="s">
        <v>1010</v>
      </c>
      <c r="B267" s="615">
        <v>2550</v>
      </c>
      <c r="C267" s="617"/>
      <c r="D267" s="466">
        <v>6424</v>
      </c>
      <c r="E267" s="617"/>
      <c r="F267" s="617"/>
      <c r="G267" s="617"/>
      <c r="H267" s="617"/>
      <c r="I267" s="617"/>
      <c r="J267" s="617"/>
      <c r="K267" s="1691">
        <f t="shared" si="22"/>
        <v>6424</v>
      </c>
      <c r="L267" s="466">
        <v>7100</v>
      </c>
    </row>
    <row r="268" spans="1:14" x14ac:dyDescent="0.2">
      <c r="A268" s="1526" t="s">
        <v>102</v>
      </c>
      <c r="B268" s="615">
        <v>2560</v>
      </c>
      <c r="C268" s="617"/>
      <c r="D268" s="466">
        <v>9642</v>
      </c>
      <c r="E268" s="617"/>
      <c r="F268" s="617"/>
      <c r="G268" s="617"/>
      <c r="H268" s="617"/>
      <c r="I268" s="617"/>
      <c r="J268" s="617"/>
      <c r="K268" s="1691">
        <f t="shared" si="22"/>
        <v>9642</v>
      </c>
      <c r="L268" s="466">
        <v>10000</v>
      </c>
    </row>
    <row r="269" spans="1:14" x14ac:dyDescent="0.2">
      <c r="A269" s="1526" t="s">
        <v>103</v>
      </c>
      <c r="B269" s="615">
        <v>2570</v>
      </c>
      <c r="C269" s="617"/>
      <c r="D269" s="466"/>
      <c r="E269" s="617"/>
      <c r="F269" s="617"/>
      <c r="G269" s="617"/>
      <c r="H269" s="617"/>
      <c r="I269" s="617"/>
      <c r="J269" s="617"/>
      <c r="K269" s="1691">
        <f t="shared" si="22"/>
        <v>0</v>
      </c>
      <c r="L269" s="466">
        <v>0</v>
      </c>
    </row>
    <row r="270" spans="1:14" ht="12.75" customHeight="1" thickBot="1" x14ac:dyDescent="0.25">
      <c r="A270" s="1687" t="s">
        <v>743</v>
      </c>
      <c r="B270" s="1694" t="s">
        <v>35</v>
      </c>
      <c r="C270" s="617"/>
      <c r="D270" s="1689">
        <f>SUM(D263:D269)</f>
        <v>38444</v>
      </c>
      <c r="E270" s="617"/>
      <c r="F270" s="617"/>
      <c r="G270" s="617"/>
      <c r="H270" s="617"/>
      <c r="I270" s="617"/>
      <c r="J270" s="617"/>
      <c r="K270" s="1689">
        <f>SUM(K263:K269)</f>
        <v>38444</v>
      </c>
      <c r="L270" s="1689">
        <f>SUM(L263:L269)</f>
        <v>39500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1">
        <f>D272</f>
        <v>0</v>
      </c>
      <c r="L272" s="481">
        <v>0</v>
      </c>
    </row>
    <row r="273" spans="1:12" x14ac:dyDescent="0.2">
      <c r="A273" s="1526" t="s">
        <v>628</v>
      </c>
      <c r="B273" s="629">
        <v>2620</v>
      </c>
      <c r="C273" s="617"/>
      <c r="D273" s="466"/>
      <c r="E273" s="617"/>
      <c r="F273" s="617"/>
      <c r="G273" s="617"/>
      <c r="H273" s="617"/>
      <c r="I273" s="617"/>
      <c r="J273" s="617"/>
      <c r="K273" s="1691">
        <f>D273</f>
        <v>0</v>
      </c>
      <c r="L273" s="466">
        <v>0</v>
      </c>
    </row>
    <row r="274" spans="1:12" ht="12" customHeight="1" x14ac:dyDescent="0.2">
      <c r="A274" s="1526" t="s">
        <v>1121</v>
      </c>
      <c r="B274" s="615">
        <v>2630</v>
      </c>
      <c r="C274" s="617"/>
      <c r="D274" s="466"/>
      <c r="E274" s="617"/>
      <c r="F274" s="617"/>
      <c r="G274" s="617"/>
      <c r="H274" s="617"/>
      <c r="I274" s="617"/>
      <c r="J274" s="617"/>
      <c r="K274" s="1691">
        <f>D274</f>
        <v>0</v>
      </c>
      <c r="L274" s="466">
        <v>0</v>
      </c>
    </row>
    <row r="275" spans="1:12" x14ac:dyDescent="0.2">
      <c r="A275" s="1526" t="s">
        <v>423</v>
      </c>
      <c r="B275" s="615">
        <v>2640</v>
      </c>
      <c r="C275" s="617"/>
      <c r="D275" s="466"/>
      <c r="E275" s="617"/>
      <c r="F275" s="617"/>
      <c r="G275" s="617"/>
      <c r="H275" s="617"/>
      <c r="I275" s="617"/>
      <c r="J275" s="617"/>
      <c r="K275" s="1691">
        <f>D275</f>
        <v>0</v>
      </c>
      <c r="L275" s="466">
        <v>0</v>
      </c>
    </row>
    <row r="276" spans="1:12" x14ac:dyDescent="0.2">
      <c r="A276" s="1526" t="s">
        <v>424</v>
      </c>
      <c r="B276" s="615">
        <v>2660</v>
      </c>
      <c r="C276" s="617"/>
      <c r="D276" s="466"/>
      <c r="E276" s="617"/>
      <c r="F276" s="617"/>
      <c r="G276" s="617"/>
      <c r="H276" s="617"/>
      <c r="I276" s="617"/>
      <c r="J276" s="617"/>
      <c r="K276" s="1691">
        <f>D276</f>
        <v>0</v>
      </c>
      <c r="L276" s="466">
        <v>0</v>
      </c>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32" t="s">
        <v>1037</v>
      </c>
      <c r="B278" s="656" t="s">
        <v>595</v>
      </c>
      <c r="C278" s="617"/>
      <c r="D278" s="657"/>
      <c r="E278" s="617"/>
      <c r="F278" s="617"/>
      <c r="G278" s="617"/>
      <c r="H278" s="617"/>
      <c r="I278" s="617"/>
      <c r="J278" s="617"/>
      <c r="K278" s="1704">
        <f>D278</f>
        <v>0</v>
      </c>
      <c r="L278" s="657">
        <v>0</v>
      </c>
    </row>
    <row r="279" spans="1:12" ht="12.75" customHeight="1" thickBot="1" x14ac:dyDescent="0.25">
      <c r="A279" s="1717" t="s">
        <v>865</v>
      </c>
      <c r="B279" s="1700">
        <v>2000</v>
      </c>
      <c r="C279" s="617"/>
      <c r="D279" s="1696">
        <f>SUM(D238,D243,D257,D261,D270,D277,D278)</f>
        <v>49456</v>
      </c>
      <c r="E279" s="617"/>
      <c r="F279" s="617"/>
      <c r="G279" s="617"/>
      <c r="H279" s="617"/>
      <c r="I279" s="617"/>
      <c r="J279" s="617"/>
      <c r="K279" s="1696">
        <f>SUM(K238,K243,K257,K261,K270,K277,K278)</f>
        <v>49456</v>
      </c>
      <c r="L279" s="1696">
        <f>SUM(L238,L243,L257,L261,L270,L277,L278)</f>
        <v>51650</v>
      </c>
    </row>
    <row r="280" spans="1:12" ht="15.75" customHeight="1" thickTop="1" thickBot="1" x14ac:dyDescent="0.25">
      <c r="A280" s="1646" t="s">
        <v>930</v>
      </c>
      <c r="B280" s="1635">
        <v>3000</v>
      </c>
      <c r="C280" s="617"/>
      <c r="D280" s="576"/>
      <c r="E280" s="617"/>
      <c r="F280" s="617"/>
      <c r="G280" s="617"/>
      <c r="H280" s="617"/>
      <c r="I280" s="617"/>
      <c r="J280" s="617"/>
      <c r="K280" s="1698">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0" t="s">
        <v>517</v>
      </c>
      <c r="B282" s="691" t="s">
        <v>1953</v>
      </c>
      <c r="C282" s="617"/>
      <c r="D282" s="467"/>
      <c r="E282" s="617"/>
      <c r="F282" s="617"/>
      <c r="G282" s="617"/>
      <c r="H282" s="617"/>
      <c r="I282" s="617"/>
      <c r="J282" s="617"/>
      <c r="K282" s="1690">
        <f>D282</f>
        <v>0</v>
      </c>
      <c r="L282" s="467">
        <v>0</v>
      </c>
    </row>
    <row r="283" spans="1:12" x14ac:dyDescent="0.2">
      <c r="A283" s="1526" t="s">
        <v>322</v>
      </c>
      <c r="B283" s="615">
        <v>4120</v>
      </c>
      <c r="C283" s="617"/>
      <c r="D283" s="466"/>
      <c r="E283" s="617"/>
      <c r="F283" s="617"/>
      <c r="G283" s="617"/>
      <c r="H283" s="617"/>
      <c r="I283" s="617"/>
      <c r="J283" s="617"/>
      <c r="K283" s="1690">
        <f>D283</f>
        <v>0</v>
      </c>
      <c r="L283" s="466">
        <v>0</v>
      </c>
    </row>
    <row r="284" spans="1:12" x14ac:dyDescent="0.2">
      <c r="A284" s="1526" t="s">
        <v>721</v>
      </c>
      <c r="B284" s="615">
        <v>4140</v>
      </c>
      <c r="C284" s="617"/>
      <c r="D284" s="467"/>
      <c r="E284" s="617"/>
      <c r="F284" s="617"/>
      <c r="G284" s="617"/>
      <c r="H284" s="617"/>
      <c r="I284" s="617"/>
      <c r="J284" s="617"/>
      <c r="K284" s="1690">
        <f>D284</f>
        <v>0</v>
      </c>
      <c r="L284" s="466">
        <v>0</v>
      </c>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0">
        <f>H288</f>
        <v>0</v>
      </c>
      <c r="L288" s="466">
        <v>0</v>
      </c>
    </row>
    <row r="289" spans="1:14" x14ac:dyDescent="0.2">
      <c r="A289" s="1526" t="s">
        <v>90</v>
      </c>
      <c r="B289" s="615">
        <v>5120</v>
      </c>
      <c r="C289" s="617"/>
      <c r="D289" s="617"/>
      <c r="E289" s="617"/>
      <c r="F289" s="617"/>
      <c r="G289" s="617"/>
      <c r="H289" s="466"/>
      <c r="I289" s="617"/>
      <c r="J289" s="617"/>
      <c r="K289" s="1690">
        <f>H289</f>
        <v>0</v>
      </c>
      <c r="L289" s="466">
        <v>0</v>
      </c>
    </row>
    <row r="290" spans="1:14" ht="12.75" customHeight="1" x14ac:dyDescent="0.2">
      <c r="A290" s="1526" t="s">
        <v>1232</v>
      </c>
      <c r="B290" s="629" t="s">
        <v>638</v>
      </c>
      <c r="C290" s="617"/>
      <c r="D290" s="617"/>
      <c r="E290" s="617"/>
      <c r="F290" s="617"/>
      <c r="G290" s="617"/>
      <c r="H290" s="466"/>
      <c r="I290" s="617"/>
      <c r="J290" s="617"/>
      <c r="K290" s="1690">
        <f>H290</f>
        <v>0</v>
      </c>
      <c r="L290" s="466">
        <v>0</v>
      </c>
    </row>
    <row r="291" spans="1:14" x14ac:dyDescent="0.2">
      <c r="A291" s="1526" t="s">
        <v>91</v>
      </c>
      <c r="B291" s="615" t="s">
        <v>610</v>
      </c>
      <c r="C291" s="617"/>
      <c r="D291" s="617"/>
      <c r="E291" s="617"/>
      <c r="F291" s="617"/>
      <c r="G291" s="617"/>
      <c r="H291" s="466"/>
      <c r="I291" s="617"/>
      <c r="J291" s="617"/>
      <c r="K291" s="1690">
        <f>H291</f>
        <v>0</v>
      </c>
      <c r="L291" s="466">
        <v>0</v>
      </c>
    </row>
    <row r="292" spans="1:14" x14ac:dyDescent="0.2">
      <c r="A292" s="1526" t="s">
        <v>786</v>
      </c>
      <c r="B292" s="615" t="s">
        <v>639</v>
      </c>
      <c r="C292" s="617"/>
      <c r="D292" s="617"/>
      <c r="E292" s="617"/>
      <c r="F292" s="617"/>
      <c r="G292" s="617"/>
      <c r="H292" s="466"/>
      <c r="I292" s="617"/>
      <c r="J292" s="617"/>
      <c r="K292" s="1690">
        <f>H292</f>
        <v>0</v>
      </c>
      <c r="L292" s="466">
        <v>0</v>
      </c>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8" t="s">
        <v>526</v>
      </c>
      <c r="B295" s="2189"/>
      <c r="C295" s="617"/>
      <c r="D295" s="1689">
        <f>SUM(D229,D279,D280,D285)</f>
        <v>67991</v>
      </c>
      <c r="E295" s="617"/>
      <c r="F295" s="617"/>
      <c r="G295" s="617"/>
      <c r="H295" s="1689">
        <f>H293</f>
        <v>0</v>
      </c>
      <c r="I295" s="617"/>
      <c r="J295" s="617"/>
      <c r="K295" s="1689">
        <f>SUM(K229,K279,K280,K285,K293,K294)</f>
        <v>67991</v>
      </c>
      <c r="L295" s="1689">
        <f>SUM(L229,L279,L280,L285,L293,L294)</f>
        <v>69075</v>
      </c>
    </row>
    <row r="296" spans="1:14" ht="13.5" thickTop="1" x14ac:dyDescent="0.2">
      <c r="A296" s="2170" t="s">
        <v>1053</v>
      </c>
      <c r="B296" s="2171"/>
      <c r="C296" s="617"/>
      <c r="D296" s="619"/>
      <c r="E296" s="617"/>
      <c r="F296" s="617"/>
      <c r="G296" s="617"/>
      <c r="H296" s="688"/>
      <c r="I296" s="617"/>
      <c r="J296" s="617"/>
      <c r="K296" s="1703">
        <f>'Revenues 9-14'!G275-'Expenditures 15-22'!K295</f>
        <v>21259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2942</v>
      </c>
      <c r="F301" s="466">
        <v>845</v>
      </c>
      <c r="G301" s="466">
        <v>20850</v>
      </c>
      <c r="H301" s="466"/>
      <c r="I301" s="467"/>
      <c r="J301" s="467"/>
      <c r="K301" s="1690">
        <f>SUM(C301:J301)</f>
        <v>24637</v>
      </c>
      <c r="L301" s="467">
        <v>33000</v>
      </c>
    </row>
    <row r="302" spans="1:14" ht="13.5" customHeight="1" x14ac:dyDescent="0.2">
      <c r="A302" s="1539" t="s">
        <v>1037</v>
      </c>
      <c r="B302" s="615" t="s">
        <v>595</v>
      </c>
      <c r="C302" s="466"/>
      <c r="D302" s="466"/>
      <c r="E302" s="466"/>
      <c r="F302" s="466"/>
      <c r="G302" s="466"/>
      <c r="H302" s="466"/>
      <c r="I302" s="467"/>
      <c r="J302" s="467"/>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2942</v>
      </c>
      <c r="F303" s="1696">
        <f t="shared" si="23"/>
        <v>845</v>
      </c>
      <c r="G303" s="1696">
        <f t="shared" si="23"/>
        <v>20850</v>
      </c>
      <c r="H303" s="1696">
        <f t="shared" si="23"/>
        <v>0</v>
      </c>
      <c r="I303" s="1696">
        <f t="shared" si="23"/>
        <v>0</v>
      </c>
      <c r="J303" s="1696">
        <f t="shared" si="23"/>
        <v>0</v>
      </c>
      <c r="K303" s="1696">
        <f t="shared" si="23"/>
        <v>24637</v>
      </c>
      <c r="L303" s="1696">
        <f t="shared" si="23"/>
        <v>33000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0">
        <f>SUM(E306,H306)</f>
        <v>0</v>
      </c>
      <c r="L306" s="467">
        <v>0</v>
      </c>
    </row>
    <row r="307" spans="1:14" x14ac:dyDescent="0.2">
      <c r="A307" s="1526" t="s">
        <v>322</v>
      </c>
      <c r="B307" s="615">
        <v>4120</v>
      </c>
      <c r="C307" s="617"/>
      <c r="D307" s="617"/>
      <c r="E307" s="467"/>
      <c r="F307" s="617"/>
      <c r="G307" s="617"/>
      <c r="H307" s="467"/>
      <c r="I307" s="477"/>
      <c r="J307" s="617"/>
      <c r="K307" s="1690">
        <f>SUM(E307,H307)</f>
        <v>0</v>
      </c>
      <c r="L307" s="466">
        <v>0</v>
      </c>
    </row>
    <row r="308" spans="1:14" x14ac:dyDescent="0.2">
      <c r="A308" s="1526" t="s">
        <v>721</v>
      </c>
      <c r="B308" s="615">
        <v>4140</v>
      </c>
      <c r="C308" s="617"/>
      <c r="D308" s="617"/>
      <c r="E308" s="467"/>
      <c r="F308" s="617"/>
      <c r="G308" s="617"/>
      <c r="H308" s="467"/>
      <c r="I308" s="477"/>
      <c r="J308" s="617"/>
      <c r="K308" s="1690">
        <f>SUM(E308,H308)</f>
        <v>0</v>
      </c>
      <c r="L308" s="466">
        <v>0</v>
      </c>
    </row>
    <row r="309" spans="1:14" ht="12.75" customHeight="1" x14ac:dyDescent="0.2">
      <c r="A309" s="1530" t="s">
        <v>722</v>
      </c>
      <c r="B309" s="629">
        <v>4190</v>
      </c>
      <c r="C309" s="617"/>
      <c r="D309" s="617"/>
      <c r="E309" s="467"/>
      <c r="F309" s="617"/>
      <c r="G309" s="617"/>
      <c r="H309" s="467"/>
      <c r="I309" s="477"/>
      <c r="J309" s="617"/>
      <c r="K309" s="1690">
        <f>SUM(E309,H309)</f>
        <v>0</v>
      </c>
      <c r="L309" s="466">
        <v>0</v>
      </c>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5" t="s">
        <v>295</v>
      </c>
      <c r="B312" s="2186"/>
      <c r="C312" s="1689">
        <f>SUM(C303)</f>
        <v>0</v>
      </c>
      <c r="D312" s="1689">
        <f>SUM(D303)</f>
        <v>0</v>
      </c>
      <c r="E312" s="1689">
        <f>SUM(E303,E310)</f>
        <v>2942</v>
      </c>
      <c r="F312" s="1689">
        <f>SUM(F303)</f>
        <v>845</v>
      </c>
      <c r="G312" s="1689">
        <f>SUM(G303)</f>
        <v>20850</v>
      </c>
      <c r="H312" s="1689">
        <f>SUM(H303,H310)</f>
        <v>0</v>
      </c>
      <c r="I312" s="1689">
        <f>SUM(I303)</f>
        <v>0</v>
      </c>
      <c r="J312" s="1689">
        <f>SUM(J303)</f>
        <v>0</v>
      </c>
      <c r="K312" s="1689">
        <f>SUM(K303,K310,K311)</f>
        <v>24637</v>
      </c>
      <c r="L312" s="1689">
        <f>SUM(L303,L310,L311)</f>
        <v>33000</v>
      </c>
      <c r="M312" s="666"/>
      <c r="N312" s="666"/>
    </row>
    <row r="313" spans="1:14" ht="13.5" thickTop="1" x14ac:dyDescent="0.2">
      <c r="A313" s="2181" t="s">
        <v>1053</v>
      </c>
      <c r="B313" s="2182"/>
      <c r="C313" s="627"/>
      <c r="D313" s="627"/>
      <c r="E313" s="627"/>
      <c r="F313" s="627"/>
      <c r="G313" s="627"/>
      <c r="H313" s="627"/>
      <c r="I313" s="627"/>
      <c r="J313" s="627"/>
      <c r="K313" s="1704">
        <f>'Revenues 9-14'!H275-'Expenditures 15-22'!K312</f>
        <v>67937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0">
        <f>SUM(C319:J319)</f>
        <v>0</v>
      </c>
      <c r="L319" s="467">
        <v>0</v>
      </c>
      <c r="M319" s="666"/>
      <c r="N319" s="666"/>
    </row>
    <row r="320" spans="1:14" s="675" customFormat="1" x14ac:dyDescent="0.2">
      <c r="A320" s="1545" t="s">
        <v>1907</v>
      </c>
      <c r="B320" s="699" t="s">
        <v>300</v>
      </c>
      <c r="C320" s="467"/>
      <c r="D320" s="467"/>
      <c r="E320" s="467"/>
      <c r="F320" s="467"/>
      <c r="G320" s="467"/>
      <c r="H320" s="467"/>
      <c r="I320" s="467"/>
      <c r="J320" s="467"/>
      <c r="K320" s="1690">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90">
        <f t="shared" si="24"/>
        <v>0</v>
      </c>
      <c r="L321" s="467">
        <v>0</v>
      </c>
      <c r="M321" s="666"/>
      <c r="N321" s="666"/>
    </row>
    <row r="322" spans="1:14" s="675" customFormat="1" x14ac:dyDescent="0.2">
      <c r="A322" s="1541" t="s">
        <v>256</v>
      </c>
      <c r="B322" s="698" t="s">
        <v>302</v>
      </c>
      <c r="C322" s="467"/>
      <c r="D322" s="467"/>
      <c r="E322" s="467"/>
      <c r="F322" s="467"/>
      <c r="G322" s="467"/>
      <c r="H322" s="467"/>
      <c r="I322" s="467"/>
      <c r="J322" s="467"/>
      <c r="K322" s="1690">
        <f t="shared" si="24"/>
        <v>0</v>
      </c>
      <c r="L322" s="467">
        <v>0</v>
      </c>
      <c r="M322" s="666"/>
      <c r="N322" s="666"/>
    </row>
    <row r="323" spans="1:14" s="675" customFormat="1" x14ac:dyDescent="0.2">
      <c r="A323" s="1541" t="s">
        <v>726</v>
      </c>
      <c r="B323" s="698" t="s">
        <v>303</v>
      </c>
      <c r="C323" s="467"/>
      <c r="D323" s="467"/>
      <c r="E323" s="467"/>
      <c r="F323" s="467"/>
      <c r="G323" s="467"/>
      <c r="H323" s="467"/>
      <c r="I323" s="467"/>
      <c r="J323" s="467"/>
      <c r="K323" s="1690">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0">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0">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0">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0">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18">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8">
        <f>SUM(C329:J329)</f>
        <v>0</v>
      </c>
      <c r="L329" s="474">
        <v>0</v>
      </c>
      <c r="M329" s="666"/>
      <c r="N329" s="666"/>
    </row>
    <row r="330" spans="1:14" s="675" customFormat="1" ht="12.75" customHeight="1" thickBot="1" x14ac:dyDescent="0.25">
      <c r="A330" s="1719" t="s">
        <v>741</v>
      </c>
      <c r="B330" s="1688" t="s">
        <v>590</v>
      </c>
      <c r="C330" s="1689">
        <f>SUM(C319:C329)</f>
        <v>0</v>
      </c>
      <c r="D330" s="1689">
        <f t="shared" ref="D330:J330" si="25">SUM(D319:D329)</f>
        <v>0</v>
      </c>
      <c r="E330" s="1689">
        <f t="shared" si="25"/>
        <v>0</v>
      </c>
      <c r="F330" s="1689">
        <f t="shared" si="25"/>
        <v>0</v>
      </c>
      <c r="G330" s="1689">
        <f t="shared" si="25"/>
        <v>0</v>
      </c>
      <c r="H330" s="1689">
        <f t="shared" si="25"/>
        <v>0</v>
      </c>
      <c r="I330" s="1689">
        <f t="shared" si="25"/>
        <v>0</v>
      </c>
      <c r="J330" s="1689">
        <f t="shared" si="25"/>
        <v>0</v>
      </c>
      <c r="K330" s="1689">
        <f>SUM(K319:K329)</f>
        <v>0</v>
      </c>
      <c r="L330" s="1689">
        <f>SUM(L319:L329)</f>
        <v>0</v>
      </c>
      <c r="M330" s="666"/>
      <c r="N330" s="666"/>
    </row>
    <row r="331" spans="1:14" s="675" customFormat="1" ht="12.75" customHeight="1" thickTop="1" x14ac:dyDescent="0.2">
      <c r="A331" s="1851" t="s">
        <v>1959</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1953</v>
      </c>
      <c r="C332" s="1853"/>
      <c r="D332" s="1853"/>
      <c r="E332" s="1853"/>
      <c r="F332" s="1853"/>
      <c r="G332" s="1853"/>
      <c r="H332" s="467"/>
      <c r="I332" s="1853"/>
      <c r="J332" s="1853"/>
      <c r="K332" s="1690">
        <f>H332</f>
        <v>0</v>
      </c>
      <c r="L332" s="467">
        <v>0</v>
      </c>
      <c r="M332" s="666"/>
      <c r="N332" s="666"/>
    </row>
    <row r="333" spans="1:14" s="675" customFormat="1" ht="12.75" customHeight="1" x14ac:dyDescent="0.2">
      <c r="A333" s="1852" t="s">
        <v>322</v>
      </c>
      <c r="B333" s="1847" t="s">
        <v>1955</v>
      </c>
      <c r="C333" s="1853"/>
      <c r="D333" s="1853"/>
      <c r="E333" s="1853"/>
      <c r="F333" s="1853"/>
      <c r="G333" s="1853"/>
      <c r="H333" s="467"/>
      <c r="I333" s="1853"/>
      <c r="J333" s="1853"/>
      <c r="K333" s="1690">
        <f>H333</f>
        <v>0</v>
      </c>
      <c r="L333" s="467">
        <v>0</v>
      </c>
      <c r="M333" s="666"/>
      <c r="N333" s="666"/>
    </row>
    <row r="334" spans="1:14" s="675" customFormat="1" ht="12.75" customHeight="1" thickBot="1" x14ac:dyDescent="0.25">
      <c r="A334" s="1852" t="s">
        <v>1960</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0">
        <f>H337</f>
        <v>0</v>
      </c>
      <c r="L337" s="478">
        <v>0</v>
      </c>
    </row>
    <row r="338" spans="1:14" ht="12.75" customHeight="1" x14ac:dyDescent="0.2">
      <c r="A338" s="1540" t="s">
        <v>1232</v>
      </c>
      <c r="B338" s="691" t="s">
        <v>638</v>
      </c>
      <c r="C338" s="639"/>
      <c r="D338" s="639"/>
      <c r="E338" s="639"/>
      <c r="F338" s="639"/>
      <c r="G338" s="639"/>
      <c r="H338" s="478"/>
      <c r="I338" s="639"/>
      <c r="J338" s="639"/>
      <c r="K338" s="1690">
        <f>H338</f>
        <v>0</v>
      </c>
      <c r="L338" s="478">
        <v>0</v>
      </c>
    </row>
    <row r="339" spans="1:14" x14ac:dyDescent="0.2">
      <c r="A339" s="1526" t="s">
        <v>957</v>
      </c>
      <c r="B339" s="629">
        <v>5150</v>
      </c>
      <c r="C339" s="639"/>
      <c r="D339" s="639"/>
      <c r="E339" s="639"/>
      <c r="F339" s="639"/>
      <c r="G339" s="639"/>
      <c r="H339" s="467"/>
      <c r="I339" s="639"/>
      <c r="J339" s="639"/>
      <c r="K339" s="1690">
        <f>H339</f>
        <v>0</v>
      </c>
      <c r="L339" s="467">
        <v>0</v>
      </c>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5" t="s">
        <v>526</v>
      </c>
      <c r="B342" s="1720"/>
      <c r="C342" s="1689">
        <f>SUM(C330)</f>
        <v>0</v>
      </c>
      <c r="D342" s="1689">
        <f>SUM(D330)</f>
        <v>0</v>
      </c>
      <c r="E342" s="1689">
        <f>SUM(E330)</f>
        <v>0</v>
      </c>
      <c r="F342" s="1689">
        <f>SUM(F330)</f>
        <v>0</v>
      </c>
      <c r="G342" s="1689">
        <f>SUM(G330)</f>
        <v>0</v>
      </c>
      <c r="H342" s="1689">
        <f>SUM(H330,H334,H340)</f>
        <v>0</v>
      </c>
      <c r="I342" s="1689">
        <f>SUM(I330)</f>
        <v>0</v>
      </c>
      <c r="J342" s="1689">
        <f>SUM(J330)</f>
        <v>0</v>
      </c>
      <c r="K342" s="1689">
        <f>SUM(K330,K334,K340)</f>
        <v>0</v>
      </c>
      <c r="L342" s="1696">
        <f>SUM(L330,L340,L341)</f>
        <v>0</v>
      </c>
    </row>
    <row r="343" spans="1:14" ht="12.75" customHeight="1" thickTop="1" x14ac:dyDescent="0.2">
      <c r="A343" s="2183" t="s">
        <v>1053</v>
      </c>
      <c r="B343" s="2184"/>
      <c r="C343" s="617"/>
      <c r="D343" s="617"/>
      <c r="E343" s="617"/>
      <c r="F343" s="617"/>
      <c r="G343" s="617"/>
      <c r="H343" s="617"/>
      <c r="I343" s="617"/>
      <c r="J343" s="617"/>
      <c r="K343" s="1703">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0">
        <f>SUM(C348:J348)</f>
        <v>0</v>
      </c>
      <c r="L348" s="466">
        <v>0</v>
      </c>
    </row>
    <row r="349" spans="1:14" x14ac:dyDescent="0.2">
      <c r="A349" s="1526" t="s">
        <v>206</v>
      </c>
      <c r="B349" s="615">
        <v>2540</v>
      </c>
      <c r="C349" s="466"/>
      <c r="D349" s="466"/>
      <c r="E349" s="466">
        <v>3899</v>
      </c>
      <c r="F349" s="466"/>
      <c r="G349" s="466"/>
      <c r="H349" s="466"/>
      <c r="I349" s="467"/>
      <c r="J349" s="467"/>
      <c r="K349" s="1690">
        <f>SUM(C349:J349)</f>
        <v>3899</v>
      </c>
      <c r="L349" s="466">
        <v>5500</v>
      </c>
    </row>
    <row r="350" spans="1:14" ht="12.75" customHeight="1" thickBot="1" x14ac:dyDescent="0.25">
      <c r="A350" s="1687" t="s">
        <v>743</v>
      </c>
      <c r="B350" s="1688" t="s">
        <v>35</v>
      </c>
      <c r="C350" s="1689">
        <f>SUM(C348:C349)</f>
        <v>0</v>
      </c>
      <c r="D350" s="1689">
        <f t="shared" ref="D350:L350" si="26">SUM(D348:D349)</f>
        <v>0</v>
      </c>
      <c r="E350" s="1689">
        <f t="shared" si="26"/>
        <v>3899</v>
      </c>
      <c r="F350" s="1689">
        <f t="shared" si="26"/>
        <v>0</v>
      </c>
      <c r="G350" s="1689">
        <f t="shared" si="26"/>
        <v>0</v>
      </c>
      <c r="H350" s="1689">
        <f t="shared" si="26"/>
        <v>0</v>
      </c>
      <c r="I350" s="1689">
        <f t="shared" si="26"/>
        <v>0</v>
      </c>
      <c r="J350" s="1689">
        <f t="shared" si="26"/>
        <v>0</v>
      </c>
      <c r="K350" s="1689">
        <f t="shared" si="26"/>
        <v>3899</v>
      </c>
      <c r="L350" s="1689">
        <f t="shared" si="26"/>
        <v>5500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7" t="s">
        <v>645</v>
      </c>
      <c r="B352" s="1694" t="s">
        <v>590</v>
      </c>
      <c r="C352" s="1689">
        <f>SUM(C350:C351)</f>
        <v>0</v>
      </c>
      <c r="D352" s="1689">
        <f t="shared" ref="D352:L352" si="27">SUM(D350:D351)</f>
        <v>0</v>
      </c>
      <c r="E352" s="1689">
        <f t="shared" si="27"/>
        <v>3899</v>
      </c>
      <c r="F352" s="1689">
        <f t="shared" si="27"/>
        <v>0</v>
      </c>
      <c r="G352" s="1689">
        <f t="shared" si="27"/>
        <v>0</v>
      </c>
      <c r="H352" s="1689">
        <f t="shared" si="27"/>
        <v>0</v>
      </c>
      <c r="I352" s="1689">
        <f t="shared" si="27"/>
        <v>0</v>
      </c>
      <c r="J352" s="1689">
        <f t="shared" si="27"/>
        <v>0</v>
      </c>
      <c r="K352" s="1689">
        <f t="shared" si="27"/>
        <v>3899</v>
      </c>
      <c r="L352" s="1689">
        <f t="shared" si="27"/>
        <v>5500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4" t="s">
        <v>1961</v>
      </c>
      <c r="B354" s="684" t="s">
        <v>1953</v>
      </c>
      <c r="C354" s="617"/>
      <c r="D354" s="617"/>
      <c r="E354" s="617"/>
      <c r="F354" s="617"/>
      <c r="G354" s="617"/>
      <c r="H354" s="474"/>
      <c r="I354" s="702"/>
      <c r="J354" s="617"/>
      <c r="K354" s="1718">
        <f>H354</f>
        <v>0</v>
      </c>
      <c r="L354" s="471">
        <v>0</v>
      </c>
    </row>
    <row r="355" spans="1:14" ht="12.75" customHeight="1" x14ac:dyDescent="0.2">
      <c r="A355" s="1535" t="s">
        <v>1962</v>
      </c>
      <c r="B355" s="691" t="s">
        <v>1955</v>
      </c>
      <c r="C355" s="617"/>
      <c r="D355" s="617"/>
      <c r="E355" s="617"/>
      <c r="F355" s="617"/>
      <c r="G355" s="617"/>
      <c r="H355" s="467"/>
      <c r="I355" s="702"/>
      <c r="J355" s="617"/>
      <c r="K355" s="1762">
        <f>H355</f>
        <v>0</v>
      </c>
      <c r="L355" s="467">
        <v>0</v>
      </c>
    </row>
    <row r="356" spans="1:14" ht="12.75" customHeight="1" x14ac:dyDescent="0.2">
      <c r="A356" s="1854" t="s">
        <v>722</v>
      </c>
      <c r="B356" s="684" t="s">
        <v>579</v>
      </c>
      <c r="C356" s="617"/>
      <c r="D356" s="617"/>
      <c r="E356" s="617"/>
      <c r="F356" s="617"/>
      <c r="G356" s="617"/>
      <c r="H356" s="479"/>
      <c r="I356" s="702"/>
      <c r="J356" s="617"/>
      <c r="K356" s="1759">
        <f>H356</f>
        <v>0</v>
      </c>
      <c r="L356" s="479">
        <v>0</v>
      </c>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0">
        <f>SUM(C360:J360)</f>
        <v>0</v>
      </c>
      <c r="L360" s="466">
        <v>0</v>
      </c>
    </row>
    <row r="361" spans="1:14" ht="12.75" customHeight="1" x14ac:dyDescent="0.2">
      <c r="A361" s="1527" t="s">
        <v>640</v>
      </c>
      <c r="B361" s="603" t="s">
        <v>639</v>
      </c>
      <c r="C361" s="617"/>
      <c r="D361" s="617"/>
      <c r="E361" s="617"/>
      <c r="F361" s="617"/>
      <c r="G361" s="617"/>
      <c r="H361" s="467"/>
      <c r="I361" s="617"/>
      <c r="J361" s="617"/>
      <c r="K361" s="1690">
        <f>SUM(C361:J361)</f>
        <v>0</v>
      </c>
      <c r="L361" s="466">
        <v>0</v>
      </c>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v>0</v>
      </c>
    </row>
    <row r="365" spans="1:14" s="675" customFormat="1" ht="12.75" customHeight="1" thickBot="1" x14ac:dyDescent="0.25">
      <c r="A365" s="1543"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1" t="s">
        <v>526</v>
      </c>
      <c r="B367" s="1723"/>
      <c r="C367" s="1689">
        <f t="shared" ref="C367:L367" si="28">SUM(C352,C357,C365,C366)</f>
        <v>0</v>
      </c>
      <c r="D367" s="1689">
        <f t="shared" si="28"/>
        <v>0</v>
      </c>
      <c r="E367" s="1689">
        <f t="shared" si="28"/>
        <v>3899</v>
      </c>
      <c r="F367" s="1689">
        <f t="shared" si="28"/>
        <v>0</v>
      </c>
      <c r="G367" s="1689">
        <f t="shared" si="28"/>
        <v>0</v>
      </c>
      <c r="H367" s="1689">
        <f t="shared" si="28"/>
        <v>0</v>
      </c>
      <c r="I367" s="1689">
        <f t="shared" si="28"/>
        <v>0</v>
      </c>
      <c r="J367" s="1689">
        <f t="shared" si="28"/>
        <v>0</v>
      </c>
      <c r="K367" s="1689">
        <f t="shared" si="28"/>
        <v>3899</v>
      </c>
      <c r="L367" s="1689">
        <f t="shared" si="28"/>
        <v>5500</v>
      </c>
    </row>
    <row r="368" spans="1:14" ht="13.5" thickTop="1" x14ac:dyDescent="0.2">
      <c r="A368" s="2170" t="s">
        <v>1053</v>
      </c>
      <c r="B368" s="2171"/>
      <c r="C368" s="655"/>
      <c r="D368" s="655"/>
      <c r="E368" s="627"/>
      <c r="F368" s="627"/>
      <c r="G368" s="627"/>
      <c r="H368" s="627"/>
      <c r="I368" s="627"/>
      <c r="J368" s="624"/>
      <c r="K368" s="1690">
        <f>'Revenues 9-14'!K275-'Expenditures 15-22'!K367</f>
        <v>2831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4" sqref="A44:H4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7" t="s">
        <v>1904</v>
      </c>
      <c r="B2" s="1550" t="s">
        <v>2033</v>
      </c>
      <c r="C2" s="715" t="s">
        <v>1909</v>
      </c>
      <c r="D2" s="715" t="s">
        <v>1910</v>
      </c>
      <c r="E2" s="715" t="s">
        <v>1911</v>
      </c>
      <c r="F2" s="715" t="s">
        <v>1912</v>
      </c>
    </row>
    <row r="3" spans="1:6" ht="12" customHeight="1" x14ac:dyDescent="0.2">
      <c r="A3" s="2198"/>
      <c r="B3" s="1547"/>
      <c r="C3" s="1548"/>
      <c r="D3" s="1549" t="s">
        <v>274</v>
      </c>
      <c r="E3" s="1548"/>
      <c r="F3" s="1549" t="s">
        <v>275</v>
      </c>
    </row>
    <row r="4" spans="1:6" ht="13.7" customHeight="1" x14ac:dyDescent="0.2">
      <c r="A4" s="716" t="s">
        <v>1217</v>
      </c>
      <c r="B4" s="1768">
        <f>'Revenues 9-14'!C5</f>
        <v>1524672</v>
      </c>
      <c r="C4" s="1546"/>
      <c r="D4" s="1771">
        <f>B4-C4</f>
        <v>1524672</v>
      </c>
      <c r="E4" s="1546">
        <v>1579945</v>
      </c>
      <c r="F4" s="1771">
        <f>E4-C4</f>
        <v>1579945</v>
      </c>
    </row>
    <row r="5" spans="1:6" ht="13.7" customHeight="1" x14ac:dyDescent="0.2">
      <c r="A5" s="716" t="s">
        <v>925</v>
      </c>
      <c r="B5" s="1769">
        <f>'Revenues 9-14'!D5</f>
        <v>259243</v>
      </c>
      <c r="C5" s="585"/>
      <c r="D5" s="1772">
        <f t="shared" ref="D5:D18" si="0">B5-C5</f>
        <v>259243</v>
      </c>
      <c r="E5" s="585">
        <v>260486</v>
      </c>
      <c r="F5" s="1772">
        <f>E5-C5</f>
        <v>260486</v>
      </c>
    </row>
    <row r="6" spans="1:6" ht="13.7" customHeight="1" x14ac:dyDescent="0.2">
      <c r="A6" s="716" t="s">
        <v>431</v>
      </c>
      <c r="B6" s="1769">
        <f>'Revenues 9-14'!E5</f>
        <v>0</v>
      </c>
      <c r="C6" s="585"/>
      <c r="D6" s="1772">
        <f t="shared" si="0"/>
        <v>0</v>
      </c>
      <c r="E6" s="585"/>
      <c r="F6" s="1772">
        <f t="shared" ref="F6:F18" si="1">E6-C6</f>
        <v>0</v>
      </c>
    </row>
    <row r="7" spans="1:6" ht="13.7" customHeight="1" x14ac:dyDescent="0.2">
      <c r="A7" s="716" t="s">
        <v>157</v>
      </c>
      <c r="B7" s="1769">
        <f>'Revenues 9-14'!F5</f>
        <v>145817</v>
      </c>
      <c r="C7" s="585"/>
      <c r="D7" s="1772">
        <f t="shared" si="0"/>
        <v>145817</v>
      </c>
      <c r="E7" s="585">
        <v>146012</v>
      </c>
      <c r="F7" s="1772">
        <f t="shared" si="1"/>
        <v>146012</v>
      </c>
    </row>
    <row r="8" spans="1:6" ht="13.7" customHeight="1" x14ac:dyDescent="0.2">
      <c r="A8" s="716" t="s">
        <v>1241</v>
      </c>
      <c r="B8" s="1769">
        <f>'Revenues 9-14'!G5</f>
        <v>38570</v>
      </c>
      <c r="C8" s="585"/>
      <c r="D8" s="1772">
        <f t="shared" si="0"/>
        <v>38570</v>
      </c>
      <c r="E8" s="585">
        <v>38614</v>
      </c>
      <c r="F8" s="1772">
        <f t="shared" si="1"/>
        <v>38614</v>
      </c>
    </row>
    <row r="9" spans="1:6" ht="13.7" customHeight="1" x14ac:dyDescent="0.2">
      <c r="A9" s="716" t="s">
        <v>428</v>
      </c>
      <c r="B9" s="1769">
        <f>'Revenues 9-14'!H5</f>
        <v>0</v>
      </c>
      <c r="C9" s="585"/>
      <c r="D9" s="1772">
        <f t="shared" si="0"/>
        <v>0</v>
      </c>
      <c r="E9" s="585"/>
      <c r="F9" s="1772">
        <f t="shared" si="1"/>
        <v>0</v>
      </c>
    </row>
    <row r="10" spans="1:6" ht="13.7" customHeight="1" x14ac:dyDescent="0.2">
      <c r="A10" s="716" t="s">
        <v>427</v>
      </c>
      <c r="B10" s="1769">
        <f>'Revenues 9-14'!I5</f>
        <v>14591</v>
      </c>
      <c r="C10" s="585"/>
      <c r="D10" s="1772">
        <f t="shared" si="0"/>
        <v>14591</v>
      </c>
      <c r="E10" s="585">
        <v>14177</v>
      </c>
      <c r="F10" s="1772">
        <f t="shared" si="1"/>
        <v>14177</v>
      </c>
    </row>
    <row r="11" spans="1:6" x14ac:dyDescent="0.2">
      <c r="A11" s="716" t="s">
        <v>429</v>
      </c>
      <c r="B11" s="1769">
        <f>'Revenues 9-14'!J5</f>
        <v>0</v>
      </c>
      <c r="C11" s="585"/>
      <c r="D11" s="1772">
        <f t="shared" si="0"/>
        <v>0</v>
      </c>
      <c r="E11" s="585"/>
      <c r="F11" s="1772">
        <f t="shared" si="1"/>
        <v>0</v>
      </c>
    </row>
    <row r="12" spans="1:6" ht="13.7" customHeight="1" x14ac:dyDescent="0.2">
      <c r="A12" s="716" t="s">
        <v>159</v>
      </c>
      <c r="B12" s="1769">
        <f>'Revenues 9-14'!K5</f>
        <v>6554</v>
      </c>
      <c r="C12" s="585"/>
      <c r="D12" s="1772">
        <f t="shared" si="0"/>
        <v>6554</v>
      </c>
      <c r="E12" s="585">
        <v>5871</v>
      </c>
      <c r="F12" s="1772">
        <f t="shared" si="1"/>
        <v>5871</v>
      </c>
    </row>
    <row r="13" spans="1:6" ht="13.7" customHeight="1" x14ac:dyDescent="0.2">
      <c r="A13" s="716" t="s">
        <v>993</v>
      </c>
      <c r="B13" s="1769">
        <f>SUM('Revenues 9-14'!C6:D6)</f>
        <v>10081</v>
      </c>
      <c r="C13" s="585"/>
      <c r="D13" s="1772">
        <f t="shared" si="0"/>
        <v>10081</v>
      </c>
      <c r="E13" s="585">
        <v>10097</v>
      </c>
      <c r="F13" s="1772">
        <f t="shared" si="1"/>
        <v>10097</v>
      </c>
    </row>
    <row r="14" spans="1:6" ht="13.7" customHeight="1" x14ac:dyDescent="0.2">
      <c r="A14" s="716" t="s">
        <v>430</v>
      </c>
      <c r="B14" s="1769">
        <f>SUM('Revenues 9-14'!C7:D7,'Revenues 9-14'!F7:H7)</f>
        <v>30211</v>
      </c>
      <c r="C14" s="585"/>
      <c r="D14" s="1772">
        <f t="shared" si="0"/>
        <v>30211</v>
      </c>
      <c r="E14" s="585">
        <v>30243</v>
      </c>
      <c r="F14" s="1772">
        <f t="shared" si="1"/>
        <v>30243</v>
      </c>
    </row>
    <row r="15" spans="1:6" ht="13.7" customHeight="1" x14ac:dyDescent="0.2">
      <c r="A15" s="716" t="s">
        <v>1220</v>
      </c>
      <c r="B15" s="1769">
        <f>'Revenues 9-14'!E9</f>
        <v>0</v>
      </c>
      <c r="C15" s="585"/>
      <c r="D15" s="1772">
        <f t="shared" si="0"/>
        <v>0</v>
      </c>
      <c r="E15" s="585"/>
      <c r="F15" s="1772">
        <f t="shared" si="1"/>
        <v>0</v>
      </c>
    </row>
    <row r="16" spans="1:6" ht="13.7" customHeight="1" x14ac:dyDescent="0.2">
      <c r="A16" s="716" t="s">
        <v>1221</v>
      </c>
      <c r="B16" s="1769">
        <f>'Revenues 9-14'!G8</f>
        <v>49172</v>
      </c>
      <c r="C16" s="585"/>
      <c r="D16" s="1772">
        <f t="shared" si="0"/>
        <v>49172</v>
      </c>
      <c r="E16" s="585">
        <v>49228</v>
      </c>
      <c r="F16" s="1772">
        <f t="shared" si="1"/>
        <v>49228</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2078911</v>
      </c>
      <c r="C19" s="1770">
        <f>SUM(C4:C18)</f>
        <v>0</v>
      </c>
      <c r="D19" s="1770">
        <f>SUM(D4:D18)</f>
        <v>2078911</v>
      </c>
      <c r="E19" s="1770">
        <f>SUM(E4:E18)</f>
        <v>2134673</v>
      </c>
      <c r="F19" s="1770">
        <f>SUM(F4:F18)</f>
        <v>2134673</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A44" sqref="A44:H4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650</v>
      </c>
      <c r="B1" s="2217"/>
      <c r="C1" s="722"/>
    </row>
    <row r="2" spans="1:7" ht="33.75" x14ac:dyDescent="0.2">
      <c r="A2" s="2224" t="s">
        <v>1904</v>
      </c>
      <c r="B2" s="2225"/>
      <c r="C2" s="1903" t="s">
        <v>2034</v>
      </c>
      <c r="D2" s="724" t="s">
        <v>2041</v>
      </c>
      <c r="E2" s="724" t="s">
        <v>2042</v>
      </c>
      <c r="F2" s="1903" t="s">
        <v>2035</v>
      </c>
    </row>
    <row r="3" spans="1:7" ht="15.75" customHeight="1" x14ac:dyDescent="0.2">
      <c r="A3" s="2226" t="s">
        <v>1176</v>
      </c>
      <c r="B3" s="2227"/>
      <c r="C3" s="2220"/>
      <c r="D3" s="2221"/>
      <c r="E3" s="2221"/>
      <c r="F3" s="2222"/>
    </row>
    <row r="4" spans="1:7" ht="12.75" customHeight="1" thickBot="1" x14ac:dyDescent="0.25">
      <c r="A4" s="2214" t="s">
        <v>651</v>
      </c>
      <c r="B4" s="2215"/>
      <c r="C4" s="581"/>
      <c r="D4" s="581"/>
      <c r="E4" s="581"/>
      <c r="F4" s="1774">
        <f>SUM(C4+D4)-E4</f>
        <v>0</v>
      </c>
    </row>
    <row r="5" spans="1:7" ht="15.75" customHeight="1" thickTop="1" x14ac:dyDescent="0.2">
      <c r="A5" s="2218" t="s">
        <v>1172</v>
      </c>
      <c r="B5" s="2213"/>
      <c r="C5" s="2207"/>
      <c r="D5" s="2208"/>
      <c r="E5" s="2208"/>
      <c r="F5" s="2209"/>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10" t="s">
        <v>652</v>
      </c>
      <c r="B15" s="2211"/>
      <c r="C15" s="1774">
        <f>SUM(C6:C14)</f>
        <v>0</v>
      </c>
      <c r="D15" s="1774">
        <f>SUM(D6:D14)</f>
        <v>0</v>
      </c>
      <c r="E15" s="1774">
        <f>SUM(E6:E14)</f>
        <v>0</v>
      </c>
      <c r="F15" s="1774">
        <f>SUM(F6:F14)</f>
        <v>0</v>
      </c>
      <c r="G15" s="552"/>
    </row>
    <row r="16" spans="1:7" s="202" customFormat="1" ht="15.75" customHeight="1" thickTop="1" x14ac:dyDescent="0.2">
      <c r="A16" s="2223" t="s">
        <v>1173</v>
      </c>
      <c r="B16" s="2213"/>
      <c r="C16" s="2207"/>
      <c r="D16" s="2208"/>
      <c r="E16" s="2208"/>
      <c r="F16" s="2209"/>
    </row>
    <row r="17" spans="1:11" ht="12.75" customHeight="1" thickBot="1" x14ac:dyDescent="0.25">
      <c r="A17" s="2205" t="s">
        <v>66</v>
      </c>
      <c r="B17" s="2206"/>
      <c r="C17" s="727"/>
      <c r="D17" s="585"/>
      <c r="E17" s="727"/>
      <c r="F17" s="1774">
        <f>SUM(C17+D17)-E17</f>
        <v>0</v>
      </c>
    </row>
    <row r="18" spans="1:11" ht="12.75" customHeight="1" thickTop="1" thickBot="1" x14ac:dyDescent="0.25">
      <c r="A18" s="2205" t="s">
        <v>6</v>
      </c>
      <c r="B18" s="2206"/>
      <c r="C18" s="727"/>
      <c r="D18" s="585"/>
      <c r="E18" s="727"/>
      <c r="F18" s="1774">
        <f>SUM(C18+D18)-E18</f>
        <v>0</v>
      </c>
    </row>
    <row r="19" spans="1:11" ht="12.75" customHeight="1" thickTop="1" thickBot="1" x14ac:dyDescent="0.25">
      <c r="A19" s="2205" t="s">
        <v>406</v>
      </c>
      <c r="B19" s="2206"/>
      <c r="C19" s="727"/>
      <c r="D19" s="585"/>
      <c r="E19" s="727"/>
      <c r="F19" s="1774">
        <f>SUM(C19+D19)-E19</f>
        <v>0</v>
      </c>
    </row>
    <row r="20" spans="1:11" ht="12.75" customHeight="1" thickTop="1" thickBot="1" x14ac:dyDescent="0.25">
      <c r="A20" s="2205" t="s">
        <v>468</v>
      </c>
      <c r="B20" s="2206"/>
      <c r="C20" s="727"/>
      <c r="D20" s="585"/>
      <c r="E20" s="727"/>
      <c r="F20" s="1774">
        <f>SUM(C20+D20)-E20</f>
        <v>0</v>
      </c>
    </row>
    <row r="21" spans="1:11" ht="14.25" thickTop="1" thickBot="1" x14ac:dyDescent="0.25">
      <c r="A21" s="2210" t="s">
        <v>653</v>
      </c>
      <c r="B21" s="2211"/>
      <c r="C21" s="1774">
        <f>SUM(C17:C20)</f>
        <v>0</v>
      </c>
      <c r="D21" s="1774">
        <f>SUM(D17:D20)</f>
        <v>0</v>
      </c>
      <c r="E21" s="1774">
        <f>SUM(E17:E20)</f>
        <v>0</v>
      </c>
      <c r="F21" s="1774">
        <f>SUM(F17:F20)</f>
        <v>0</v>
      </c>
      <c r="G21" s="552"/>
    </row>
    <row r="22" spans="1:11" ht="15.75" customHeight="1" thickTop="1" x14ac:dyDescent="0.2">
      <c r="A22" s="2212" t="s">
        <v>1174</v>
      </c>
      <c r="B22" s="2213"/>
      <c r="C22" s="2207"/>
      <c r="D22" s="2208"/>
      <c r="E22" s="2208"/>
      <c r="F22" s="2209"/>
    </row>
    <row r="23" spans="1:11" ht="13.5" thickBot="1" x14ac:dyDescent="0.25">
      <c r="A23" s="2214" t="s">
        <v>654</v>
      </c>
      <c r="B23" s="2215"/>
      <c r="C23" s="581"/>
      <c r="D23" s="581"/>
      <c r="E23" s="581"/>
      <c r="F23" s="1774">
        <f>SUM(C23+D23)-E23</f>
        <v>0</v>
      </c>
      <c r="G23" s="552"/>
    </row>
    <row r="24" spans="1:11" ht="15.75" customHeight="1" thickTop="1" x14ac:dyDescent="0.2">
      <c r="A24" s="2212" t="s">
        <v>1175</v>
      </c>
      <c r="B24" s="2213"/>
      <c r="C24" s="2207"/>
      <c r="D24" s="2208"/>
      <c r="E24" s="2208"/>
      <c r="F24" s="2209"/>
    </row>
    <row r="25" spans="1:11" ht="13.5" thickBot="1" x14ac:dyDescent="0.25">
      <c r="A25" s="2214" t="s">
        <v>655</v>
      </c>
      <c r="B25" s="2215"/>
      <c r="C25" s="581"/>
      <c r="D25" s="581"/>
      <c r="E25" s="581"/>
      <c r="F25" s="1774">
        <f>SUM(C25+D25)-E25</f>
        <v>0</v>
      </c>
      <c r="G25" s="552"/>
    </row>
    <row r="26" spans="1:11" ht="15.75" customHeight="1" thickTop="1" x14ac:dyDescent="0.2">
      <c r="A26" s="2218" t="s">
        <v>678</v>
      </c>
      <c r="B26" s="2213"/>
      <c r="C26" s="728"/>
      <c r="D26" s="728"/>
      <c r="E26" s="728"/>
      <c r="F26" s="729"/>
    </row>
    <row r="27" spans="1:11" ht="13.5" thickBot="1" x14ac:dyDescent="0.25">
      <c r="A27" s="2210" t="s">
        <v>1130</v>
      </c>
      <c r="B27" s="2211"/>
      <c r="C27" s="585"/>
      <c r="D27" s="585"/>
      <c r="E27" s="585"/>
      <c r="F27" s="1774">
        <f>SUM(C27+D27)-E27</f>
        <v>0</v>
      </c>
      <c r="G27" s="552"/>
    </row>
    <row r="28" spans="1:11" ht="7.5" customHeight="1" thickTop="1" x14ac:dyDescent="0.2">
      <c r="A28" s="594"/>
    </row>
    <row r="29" spans="1:11" ht="23.25" customHeight="1" x14ac:dyDescent="0.2">
      <c r="A29" s="2216" t="s">
        <v>603</v>
      </c>
      <c r="B29" s="2217"/>
      <c r="C29" s="730"/>
      <c r="D29" s="730"/>
      <c r="E29" s="730"/>
      <c r="F29" s="730"/>
      <c r="G29" s="730"/>
      <c r="H29" s="730"/>
      <c r="I29" s="730"/>
      <c r="J29" s="730"/>
    </row>
    <row r="30" spans="1:11" ht="33.75" x14ac:dyDescent="0.2">
      <c r="A30" s="1551" t="s">
        <v>1131</v>
      </c>
      <c r="B30" s="731" t="s">
        <v>1186</v>
      </c>
      <c r="C30" s="1904" t="s">
        <v>604</v>
      </c>
      <c r="D30" s="1904" t="s">
        <v>1772</v>
      </c>
      <c r="E30" s="1904" t="s">
        <v>2036</v>
      </c>
      <c r="F30" s="1904" t="s">
        <v>2037</v>
      </c>
      <c r="G30" s="1904" t="s">
        <v>2040</v>
      </c>
      <c r="H30" s="1904" t="s">
        <v>2038</v>
      </c>
      <c r="I30" s="1904" t="s">
        <v>2039</v>
      </c>
      <c r="J30" s="1905" t="s">
        <v>2</v>
      </c>
      <c r="K30" s="732"/>
    </row>
    <row r="31" spans="1:11" ht="12" customHeight="1" x14ac:dyDescent="0.2">
      <c r="A31" s="733" t="s">
        <v>2096</v>
      </c>
      <c r="B31" s="734">
        <v>42571</v>
      </c>
      <c r="C31" s="735">
        <v>252322</v>
      </c>
      <c r="D31" s="736">
        <v>7</v>
      </c>
      <c r="E31" s="735">
        <v>208968</v>
      </c>
      <c r="F31" s="735">
        <v>0</v>
      </c>
      <c r="G31" s="735">
        <v>0</v>
      </c>
      <c r="H31" s="735">
        <v>36339</v>
      </c>
      <c r="I31" s="1775">
        <f>((E31+F31)-H31)+G31</f>
        <v>172629</v>
      </c>
      <c r="J31" s="735">
        <v>172629</v>
      </c>
      <c r="K31" s="737"/>
    </row>
    <row r="32" spans="1:11" ht="12" customHeight="1" x14ac:dyDescent="0.2">
      <c r="A32" s="733" t="s">
        <v>2096</v>
      </c>
      <c r="B32" s="734">
        <v>42571</v>
      </c>
      <c r="C32" s="735">
        <v>55952</v>
      </c>
      <c r="D32" s="736">
        <v>7</v>
      </c>
      <c r="E32" s="735">
        <v>45295</v>
      </c>
      <c r="F32" s="735">
        <v>0</v>
      </c>
      <c r="G32" s="735">
        <v>0</v>
      </c>
      <c r="H32" s="735">
        <v>9140</v>
      </c>
      <c r="I32" s="1775">
        <f>((E32+F32)-H32)+G32</f>
        <v>36155</v>
      </c>
      <c r="J32" s="735">
        <v>36155</v>
      </c>
      <c r="K32" s="737"/>
    </row>
    <row r="33" spans="1:11" ht="12" customHeight="1" x14ac:dyDescent="0.2">
      <c r="A33" s="733"/>
      <c r="B33" s="734"/>
      <c r="C33" s="735"/>
      <c r="D33" s="736"/>
      <c r="E33" s="735"/>
      <c r="F33" s="735"/>
      <c r="G33" s="735"/>
      <c r="H33" s="735"/>
      <c r="I33" s="1775">
        <f t="shared" ref="I33:I48" si="1">((E33+F33)-H33)+G33</f>
        <v>0</v>
      </c>
      <c r="J33" s="735"/>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308274</v>
      </c>
      <c r="D49" s="746"/>
      <c r="E49" s="1775">
        <f t="shared" ref="E49:J49" si="2">SUM(E31:E48)</f>
        <v>254263</v>
      </c>
      <c r="F49" s="1775">
        <f t="shared" si="2"/>
        <v>0</v>
      </c>
      <c r="G49" s="1775">
        <f t="shared" si="2"/>
        <v>0</v>
      </c>
      <c r="H49" s="1775">
        <f t="shared" si="2"/>
        <v>45479</v>
      </c>
      <c r="I49" s="1775">
        <f t="shared" si="2"/>
        <v>208784</v>
      </c>
      <c r="J49" s="1775">
        <f t="shared" si="2"/>
        <v>208784</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199" t="s">
        <v>605</v>
      </c>
      <c r="C52" s="2200"/>
      <c r="D52" s="2200"/>
      <c r="E52" s="750" t="s">
        <v>900</v>
      </c>
      <c r="F52" s="2201" t="s">
        <v>2114</v>
      </c>
      <c r="G52" s="2202"/>
      <c r="H52" s="737"/>
      <c r="I52" s="737"/>
      <c r="J52" s="747"/>
    </row>
    <row r="53" spans="1:11" ht="11.25" customHeight="1" x14ac:dyDescent="0.2">
      <c r="A53" s="751" t="s">
        <v>969</v>
      </c>
      <c r="B53" s="752" t="s">
        <v>1008</v>
      </c>
      <c r="C53" s="747"/>
      <c r="D53" s="738"/>
      <c r="E53" s="750" t="s">
        <v>518</v>
      </c>
      <c r="F53" s="2203"/>
      <c r="G53" s="2204"/>
      <c r="H53" s="737"/>
      <c r="I53" s="737"/>
      <c r="J53" s="747"/>
    </row>
    <row r="54" spans="1:11" ht="11.25" customHeight="1" x14ac:dyDescent="0.2">
      <c r="A54" s="753" t="s">
        <v>970</v>
      </c>
      <c r="B54" s="748" t="s">
        <v>1009</v>
      </c>
      <c r="C54" s="747"/>
      <c r="D54" s="738"/>
      <c r="E54" s="750" t="s">
        <v>519</v>
      </c>
      <c r="F54" s="2203"/>
      <c r="G54" s="220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7" bottom="1" header="0.5" footer="0.7"/>
  <pageSetup scale="64"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28" colorId="8" zoomScale="110" zoomScaleNormal="110" workbookViewId="0">
      <selection activeCell="A44" sqref="A44:H4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911</v>
      </c>
      <c r="B1" s="2229"/>
      <c r="C1" s="2229"/>
      <c r="D1" s="2229"/>
      <c r="E1" s="2229"/>
      <c r="F1" s="2229"/>
      <c r="G1" s="2230"/>
      <c r="H1" s="1552"/>
      <c r="I1" s="761"/>
      <c r="J1" s="433"/>
    </row>
    <row r="2" spans="1:11" ht="26.25" x14ac:dyDescent="0.2">
      <c r="A2" s="2247" t="s">
        <v>1776</v>
      </c>
      <c r="B2" s="2248"/>
      <c r="C2" s="2248"/>
      <c r="D2" s="2248"/>
      <c r="E2" s="2249"/>
      <c r="F2" s="762" t="s">
        <v>960</v>
      </c>
      <c r="G2" s="763" t="s">
        <v>1773</v>
      </c>
      <c r="H2" s="763" t="s">
        <v>430</v>
      </c>
      <c r="I2" s="763" t="s">
        <v>1220</v>
      </c>
      <c r="J2" s="763" t="s">
        <v>1918</v>
      </c>
      <c r="K2" s="763" t="s">
        <v>140</v>
      </c>
    </row>
    <row r="3" spans="1:11" x14ac:dyDescent="0.2">
      <c r="A3" s="2250" t="s">
        <v>1698</v>
      </c>
      <c r="B3" s="2251"/>
      <c r="C3" s="2251"/>
      <c r="D3" s="2251"/>
      <c r="E3" s="2252"/>
      <c r="F3" s="764"/>
      <c r="G3" s="765"/>
      <c r="H3" s="765">
        <v>29230</v>
      </c>
      <c r="I3" s="765"/>
      <c r="J3" s="766">
        <v>353942</v>
      </c>
      <c r="K3" s="766"/>
    </row>
    <row r="4" spans="1:11" x14ac:dyDescent="0.2">
      <c r="A4" s="2253" t="s">
        <v>387</v>
      </c>
      <c r="B4" s="2254"/>
      <c r="C4" s="2254"/>
      <c r="D4" s="2254"/>
      <c r="E4" s="2200"/>
      <c r="F4" s="767"/>
      <c r="G4" s="768"/>
      <c r="H4" s="769"/>
      <c r="I4" s="768"/>
      <c r="J4" s="770"/>
      <c r="K4" s="770"/>
    </row>
    <row r="5" spans="1:11" x14ac:dyDescent="0.2">
      <c r="A5" s="2231" t="s">
        <v>1129</v>
      </c>
      <c r="B5" s="2232"/>
      <c r="C5" s="2232"/>
      <c r="D5" s="2232"/>
      <c r="E5" s="2233"/>
      <c r="F5" s="771" t="s">
        <v>903</v>
      </c>
      <c r="G5" s="772"/>
      <c r="H5" s="765">
        <v>30211</v>
      </c>
      <c r="I5" s="773"/>
      <c r="J5" s="774"/>
      <c r="K5" s="774"/>
    </row>
    <row r="6" spans="1:11" x14ac:dyDescent="0.2">
      <c r="A6" s="775" t="s">
        <v>744</v>
      </c>
      <c r="B6" s="776"/>
      <c r="C6" s="776"/>
      <c r="D6" s="776"/>
      <c r="E6" s="777"/>
      <c r="F6" s="778" t="s">
        <v>904</v>
      </c>
      <c r="G6" s="765"/>
      <c r="H6" s="765"/>
      <c r="I6" s="765"/>
      <c r="J6" s="766">
        <v>220</v>
      </c>
      <c r="K6" s="766"/>
    </row>
    <row r="7" spans="1:11" x14ac:dyDescent="0.2">
      <c r="A7" s="779" t="s">
        <v>264</v>
      </c>
      <c r="B7" s="780"/>
      <c r="C7" s="780"/>
      <c r="D7" s="780"/>
      <c r="E7" s="781"/>
      <c r="F7" s="771" t="s">
        <v>905</v>
      </c>
      <c r="G7" s="768"/>
      <c r="H7" s="768"/>
      <c r="I7" s="768"/>
      <c r="J7" s="782"/>
      <c r="K7" s="766">
        <v>788</v>
      </c>
    </row>
    <row r="8" spans="1:11" x14ac:dyDescent="0.2">
      <c r="A8" s="779" t="s">
        <v>363</v>
      </c>
      <c r="B8" s="780"/>
      <c r="C8" s="780"/>
      <c r="D8" s="780"/>
      <c r="E8" s="781"/>
      <c r="F8" s="771" t="s">
        <v>906</v>
      </c>
      <c r="G8" s="783"/>
      <c r="H8" s="783"/>
      <c r="I8" s="783"/>
      <c r="J8" s="766">
        <v>92354</v>
      </c>
      <c r="K8" s="770"/>
    </row>
    <row r="9" spans="1:11" x14ac:dyDescent="0.2">
      <c r="A9" s="779" t="s">
        <v>140</v>
      </c>
      <c r="B9" s="780"/>
      <c r="C9" s="780"/>
      <c r="D9" s="780"/>
      <c r="E9" s="781"/>
      <c r="F9" s="778" t="s">
        <v>908</v>
      </c>
      <c r="G9" s="783"/>
      <c r="H9" s="772"/>
      <c r="I9" s="772"/>
      <c r="J9" s="782"/>
      <c r="K9" s="766">
        <v>3082</v>
      </c>
    </row>
    <row r="10" spans="1:11" x14ac:dyDescent="0.2">
      <c r="A10" s="2231" t="s">
        <v>1919</v>
      </c>
      <c r="B10" s="2232"/>
      <c r="C10" s="2232"/>
      <c r="D10" s="2232"/>
      <c r="E10" s="2234"/>
      <c r="F10" s="784" t="s">
        <v>917</v>
      </c>
      <c r="G10" s="783"/>
      <c r="H10" s="785"/>
      <c r="I10" s="765"/>
      <c r="J10" s="766"/>
      <c r="K10" s="766"/>
    </row>
    <row r="11" spans="1:11" x14ac:dyDescent="0.2">
      <c r="A11" s="2231" t="s">
        <v>162</v>
      </c>
      <c r="B11" s="2232"/>
      <c r="C11" s="2232"/>
      <c r="D11" s="2232"/>
      <c r="E11" s="2233"/>
      <c r="F11" s="771" t="s">
        <v>907</v>
      </c>
      <c r="G11" s="772"/>
      <c r="H11" s="765"/>
      <c r="I11" s="765"/>
      <c r="J11" s="766"/>
      <c r="K11" s="774"/>
    </row>
    <row r="12" spans="1:11" ht="13.5" thickBot="1" x14ac:dyDescent="0.25">
      <c r="A12" s="2258" t="s">
        <v>961</v>
      </c>
      <c r="B12" s="2259"/>
      <c r="C12" s="2259"/>
      <c r="D12" s="2259"/>
      <c r="E12" s="2260"/>
      <c r="F12" s="1776"/>
      <c r="G12" s="1777">
        <f>SUM(G5:G11)</f>
        <v>0</v>
      </c>
      <c r="H12" s="1777">
        <f>SUM(H5:H11)</f>
        <v>30211</v>
      </c>
      <c r="I12" s="1777">
        <f>SUM(I5:I11)</f>
        <v>0</v>
      </c>
      <c r="J12" s="1777">
        <f>SUM(J5:J11)</f>
        <v>92574</v>
      </c>
      <c r="K12" s="1777">
        <f>SUM(K5:K11)</f>
        <v>3870</v>
      </c>
    </row>
    <row r="13" spans="1:11" ht="13.5" thickTop="1" x14ac:dyDescent="0.2">
      <c r="A13" s="2255" t="s">
        <v>388</v>
      </c>
      <c r="B13" s="2256"/>
      <c r="C13" s="2256"/>
      <c r="D13" s="2256"/>
      <c r="E13" s="2257"/>
      <c r="F13" s="786"/>
      <c r="G13" s="787"/>
      <c r="H13" s="788"/>
      <c r="I13" s="789"/>
      <c r="J13" s="789"/>
      <c r="K13" s="789"/>
    </row>
    <row r="14" spans="1:11" x14ac:dyDescent="0.2">
      <c r="A14" s="2238" t="s">
        <v>476</v>
      </c>
      <c r="B14" s="2238"/>
      <c r="C14" s="2238"/>
      <c r="D14" s="2238"/>
      <c r="E14" s="2239"/>
      <c r="F14" s="790" t="s">
        <v>909</v>
      </c>
      <c r="G14" s="783"/>
      <c r="H14" s="765">
        <v>59441</v>
      </c>
      <c r="I14" s="772"/>
      <c r="J14" s="774"/>
      <c r="K14" s="766">
        <v>3870</v>
      </c>
    </row>
    <row r="15" spans="1:11" x14ac:dyDescent="0.2">
      <c r="A15" s="2232" t="s">
        <v>4</v>
      </c>
      <c r="B15" s="2232"/>
      <c r="C15" s="2232"/>
      <c r="D15" s="2232"/>
      <c r="E15" s="2233"/>
      <c r="F15" s="790" t="s">
        <v>910</v>
      </c>
      <c r="G15" s="772"/>
      <c r="H15" s="765"/>
      <c r="I15" s="765"/>
      <c r="J15" s="766">
        <v>24637</v>
      </c>
      <c r="K15" s="766"/>
    </row>
    <row r="16" spans="1:11" x14ac:dyDescent="0.2">
      <c r="A16" s="2232" t="s">
        <v>316</v>
      </c>
      <c r="B16" s="2232"/>
      <c r="C16" s="2232"/>
      <c r="D16" s="2232"/>
      <c r="E16" s="2233"/>
      <c r="F16" s="790" t="s">
        <v>980</v>
      </c>
      <c r="G16" s="773"/>
      <c r="H16" s="768"/>
      <c r="I16" s="768"/>
      <c r="J16" s="770"/>
      <c r="K16" s="770"/>
    </row>
    <row r="17" spans="1:11" x14ac:dyDescent="0.2">
      <c r="A17" s="2263" t="s">
        <v>992</v>
      </c>
      <c r="B17" s="2263"/>
      <c r="C17" s="2263"/>
      <c r="D17" s="2263"/>
      <c r="E17" s="2264"/>
      <c r="F17" s="791"/>
      <c r="G17" s="792"/>
      <c r="H17" s="793"/>
      <c r="I17" s="793"/>
      <c r="J17" s="794"/>
      <c r="K17" s="795"/>
    </row>
    <row r="18" spans="1:11" x14ac:dyDescent="0.2">
      <c r="A18" s="2242" t="s">
        <v>386</v>
      </c>
      <c r="B18" s="2243"/>
      <c r="C18" s="2243"/>
      <c r="D18" s="2243"/>
      <c r="E18" s="2244"/>
      <c r="F18" s="790" t="s">
        <v>989</v>
      </c>
      <c r="G18" s="783"/>
      <c r="H18" s="783"/>
      <c r="I18" s="783"/>
      <c r="J18" s="766"/>
      <c r="K18" s="796"/>
    </row>
    <row r="19" spans="1:11" ht="21.75" customHeight="1" x14ac:dyDescent="0.2">
      <c r="A19" s="2240" t="s">
        <v>1915</v>
      </c>
      <c r="B19" s="2240"/>
      <c r="C19" s="2240"/>
      <c r="D19" s="2240"/>
      <c r="E19" s="2241"/>
      <c r="F19" s="790" t="s">
        <v>990</v>
      </c>
      <c r="G19" s="783"/>
      <c r="H19" s="783"/>
      <c r="I19" s="783"/>
      <c r="J19" s="766"/>
      <c r="K19" s="796"/>
    </row>
    <row r="20" spans="1:11" x14ac:dyDescent="0.2">
      <c r="A20" s="2242" t="s">
        <v>1920</v>
      </c>
      <c r="B20" s="2243"/>
      <c r="C20" s="2243"/>
      <c r="D20" s="2243"/>
      <c r="E20" s="2244"/>
      <c r="F20" s="790" t="s">
        <v>991</v>
      </c>
      <c r="G20" s="783"/>
      <c r="H20" s="783"/>
      <c r="I20" s="783"/>
      <c r="J20" s="766"/>
      <c r="K20" s="796"/>
    </row>
    <row r="21" spans="1:11" ht="13.5" thickBot="1" x14ac:dyDescent="0.25">
      <c r="A21" s="2261" t="s">
        <v>659</v>
      </c>
      <c r="B21" s="2261"/>
      <c r="C21" s="2261"/>
      <c r="D21" s="2261"/>
      <c r="E21" s="2261"/>
      <c r="F21" s="1778"/>
      <c r="G21" s="793"/>
      <c r="H21" s="797"/>
      <c r="I21" s="797"/>
      <c r="J21" s="1779">
        <f>SUM(J18:J20)</f>
        <v>0</v>
      </c>
      <c r="K21" s="794"/>
    </row>
    <row r="22" spans="1:11" ht="13.5" thickTop="1" x14ac:dyDescent="0.2">
      <c r="A22" s="2232" t="s">
        <v>1921</v>
      </c>
      <c r="B22" s="2232"/>
      <c r="C22" s="2232"/>
      <c r="D22" s="2232"/>
      <c r="E22" s="2233"/>
      <c r="F22" s="790" t="s">
        <v>917</v>
      </c>
      <c r="G22" s="783"/>
      <c r="H22" s="765"/>
      <c r="I22" s="765"/>
      <c r="J22" s="798"/>
      <c r="K22" s="766"/>
    </row>
    <row r="23" spans="1:11" ht="13.5" thickBot="1" x14ac:dyDescent="0.25">
      <c r="A23" s="2262" t="s">
        <v>962</v>
      </c>
      <c r="B23" s="2261"/>
      <c r="C23" s="2261"/>
      <c r="D23" s="2261"/>
      <c r="E23" s="2261"/>
      <c r="F23" s="1780"/>
      <c r="G23" s="1777">
        <f>SUM(G14:G16,G21,G22)</f>
        <v>0</v>
      </c>
      <c r="H23" s="1777">
        <f>SUM(H14:H16,H21,H22)</f>
        <v>59441</v>
      </c>
      <c r="I23" s="1777">
        <f>SUM(I14:I16,I21,I22)</f>
        <v>0</v>
      </c>
      <c r="J23" s="1777">
        <f>SUM(J14:J16,J21,J22)</f>
        <v>24637</v>
      </c>
      <c r="K23" s="1777">
        <f>SUM(K14:K16,K21,K22)</f>
        <v>3870</v>
      </c>
    </row>
    <row r="24" spans="1:11" ht="14.25" thickTop="1" thickBot="1" x14ac:dyDescent="0.25">
      <c r="A24" s="2262" t="s">
        <v>2022</v>
      </c>
      <c r="B24" s="2261"/>
      <c r="C24" s="2261"/>
      <c r="D24" s="2261"/>
      <c r="E24" s="2261"/>
      <c r="F24" s="1781"/>
      <c r="G24" s="1782">
        <f>SUM(G3,G12)-G23</f>
        <v>0</v>
      </c>
      <c r="H24" s="1782">
        <f>SUM(H3,H12)-H23</f>
        <v>0</v>
      </c>
      <c r="I24" s="1782">
        <f>SUM(I3,I12)-I23</f>
        <v>0</v>
      </c>
      <c r="J24" s="1782">
        <f>SUM(J3,J12)-J23</f>
        <v>421879</v>
      </c>
      <c r="K24" s="1782">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7">
        <f>G24-G25</f>
        <v>0</v>
      </c>
      <c r="H26" s="1777">
        <f>H24-H25</f>
        <v>0</v>
      </c>
      <c r="I26" s="1777">
        <f>I24-I25</f>
        <v>0</v>
      </c>
      <c r="J26" s="1777">
        <f>J24-J25</f>
        <v>421879</v>
      </c>
      <c r="K26" s="1777">
        <f>K24-K25</f>
        <v>0</v>
      </c>
    </row>
    <row r="27" spans="1:11" ht="5.25" customHeight="1" thickTop="1" x14ac:dyDescent="0.2">
      <c r="I27" s="202"/>
      <c r="J27" s="202"/>
    </row>
    <row r="28" spans="1:11" ht="29.25" customHeight="1" x14ac:dyDescent="0.2">
      <c r="A28" s="1899" t="s">
        <v>2032</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5"/>
      <c r="I31" s="2236"/>
      <c r="J31" s="2236"/>
      <c r="K31" s="2236"/>
    </row>
    <row r="32" spans="1:11" x14ac:dyDescent="0.2">
      <c r="A32" s="810"/>
      <c r="B32" s="237"/>
      <c r="C32" s="237"/>
      <c r="D32" s="237"/>
      <c r="E32" s="806"/>
      <c r="F32" s="812" t="s">
        <v>561</v>
      </c>
      <c r="G32" s="765"/>
      <c r="H32" s="2237"/>
      <c r="I32" s="2236"/>
      <c r="J32" s="2236"/>
      <c r="K32" s="2236"/>
    </row>
    <row r="33" spans="1:11" ht="1.5" customHeight="1" x14ac:dyDescent="0.2">
      <c r="A33" s="813" t="s">
        <v>1231</v>
      </c>
      <c r="B33" s="364"/>
      <c r="C33" s="364"/>
      <c r="D33" s="364"/>
      <c r="E33" s="364"/>
      <c r="F33" s="364"/>
      <c r="G33" s="814"/>
      <c r="H33" s="2237"/>
      <c r="I33" s="2236"/>
      <c r="J33" s="2236"/>
      <c r="K33" s="2236"/>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45"/>
      <c r="C41" s="2245"/>
      <c r="D41" s="2245"/>
      <c r="E41" s="2245"/>
      <c r="F41" s="224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1774</v>
      </c>
    </row>
    <row r="47" spans="1:11" s="824" customFormat="1" ht="12.75" customHeight="1" x14ac:dyDescent="0.2">
      <c r="A47" s="822"/>
      <c r="B47" s="823" t="s">
        <v>1775</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A44" sqref="A44:H4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2031</v>
      </c>
      <c r="B1" s="2268"/>
      <c r="C1" s="2269"/>
      <c r="D1" s="827"/>
      <c r="E1" s="828"/>
      <c r="F1" s="828"/>
      <c r="G1" s="829"/>
      <c r="H1" s="830"/>
      <c r="I1" s="831"/>
      <c r="J1" s="2265"/>
      <c r="K1" s="2266"/>
      <c r="L1" s="2266"/>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51" t="s">
        <v>948</v>
      </c>
      <c r="B3" s="1652">
        <v>210</v>
      </c>
      <c r="C3" s="836"/>
      <c r="D3" s="836"/>
      <c r="E3" s="836"/>
      <c r="F3" s="1779">
        <f>(C3+D3)-E3</f>
        <v>0</v>
      </c>
      <c r="G3" s="837"/>
      <c r="H3" s="836"/>
      <c r="I3" s="836"/>
      <c r="J3" s="836"/>
      <c r="K3" s="1788">
        <f>(H3+I3)-J3</f>
        <v>0</v>
      </c>
      <c r="L3" s="1788">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10588</v>
      </c>
      <c r="D5" s="842"/>
      <c r="E5" s="842"/>
      <c r="F5" s="1779">
        <f>(C5+D5)-E5</f>
        <v>10588</v>
      </c>
      <c r="G5" s="838"/>
      <c r="H5" s="843"/>
      <c r="I5" s="843"/>
      <c r="J5" s="843"/>
      <c r="K5" s="794"/>
      <c r="L5" s="1788">
        <f>F5-K5</f>
        <v>10588</v>
      </c>
    </row>
    <row r="6" spans="1:14" ht="14.25" thickTop="1" thickBot="1" x14ac:dyDescent="0.25">
      <c r="A6" s="779" t="s">
        <v>1179</v>
      </c>
      <c r="B6" s="841">
        <v>222</v>
      </c>
      <c r="C6" s="766"/>
      <c r="D6" s="766"/>
      <c r="E6" s="766"/>
      <c r="F6" s="1779">
        <f>(C6+D6)-E6</f>
        <v>0</v>
      </c>
      <c r="G6" s="838">
        <v>50</v>
      </c>
      <c r="H6" s="766"/>
      <c r="I6" s="766"/>
      <c r="J6" s="766"/>
      <c r="K6" s="1788">
        <f>(H6+I6)-J6</f>
        <v>0</v>
      </c>
      <c r="L6" s="1788">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2358933</v>
      </c>
      <c r="D8" s="845"/>
      <c r="E8" s="845"/>
      <c r="F8" s="1779">
        <f>(C8+D8)-E8</f>
        <v>2358933</v>
      </c>
      <c r="G8" s="844">
        <v>50</v>
      </c>
      <c r="H8" s="766">
        <v>1568232</v>
      </c>
      <c r="I8" s="766">
        <v>34459</v>
      </c>
      <c r="J8" s="766"/>
      <c r="K8" s="1788">
        <f>(H8+I8)-J8</f>
        <v>1602691</v>
      </c>
      <c r="L8" s="1788">
        <f>F8-K8</f>
        <v>756242</v>
      </c>
    </row>
    <row r="9" spans="1:14" ht="14.25" thickTop="1" thickBot="1" x14ac:dyDescent="0.25">
      <c r="A9" s="779" t="s">
        <v>1181</v>
      </c>
      <c r="B9" s="841">
        <v>232</v>
      </c>
      <c r="C9" s="766"/>
      <c r="D9" s="766"/>
      <c r="E9" s="766"/>
      <c r="F9" s="1779">
        <f>(C9+D9)-E9</f>
        <v>0</v>
      </c>
      <c r="G9" s="844">
        <v>20</v>
      </c>
      <c r="H9" s="766"/>
      <c r="I9" s="766"/>
      <c r="J9" s="766"/>
      <c r="K9" s="1788">
        <f>(H9+I9)-J9</f>
        <v>0</v>
      </c>
      <c r="L9" s="1788">
        <f>F9-K9</f>
        <v>0</v>
      </c>
    </row>
    <row r="10" spans="1:14" ht="24" thickTop="1" thickBot="1" x14ac:dyDescent="0.25">
      <c r="A10" s="846" t="s">
        <v>1182</v>
      </c>
      <c r="B10" s="841">
        <v>240</v>
      </c>
      <c r="C10" s="847"/>
      <c r="D10" s="847"/>
      <c r="E10" s="847"/>
      <c r="F10" s="1783">
        <f>(C10+D10)-E10</f>
        <v>0</v>
      </c>
      <c r="G10" s="844">
        <v>20</v>
      </c>
      <c r="H10" s="848"/>
      <c r="I10" s="848"/>
      <c r="J10" s="848"/>
      <c r="K10" s="1788">
        <f>(H10+I10)-J10</f>
        <v>0</v>
      </c>
      <c r="L10" s="1788">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1062000</v>
      </c>
      <c r="D12" s="845">
        <v>49929</v>
      </c>
      <c r="E12" s="845"/>
      <c r="F12" s="1779">
        <f>(C12+D12)-E12</f>
        <v>1111929</v>
      </c>
      <c r="G12" s="844">
        <v>10</v>
      </c>
      <c r="H12" s="766">
        <v>916477</v>
      </c>
      <c r="I12" s="766">
        <v>33514</v>
      </c>
      <c r="J12" s="766"/>
      <c r="K12" s="1788">
        <f>(H12+I12)-J12</f>
        <v>949991</v>
      </c>
      <c r="L12" s="1788">
        <f>F12-K12</f>
        <v>161938</v>
      </c>
    </row>
    <row r="13" spans="1:14" ht="14.25" thickTop="1" thickBot="1" x14ac:dyDescent="0.25">
      <c r="A13" s="849" t="s">
        <v>1184</v>
      </c>
      <c r="B13" s="841">
        <v>252</v>
      </c>
      <c r="C13" s="845">
        <v>500515</v>
      </c>
      <c r="D13" s="845">
        <v>85179</v>
      </c>
      <c r="E13" s="845"/>
      <c r="F13" s="1779">
        <f>(C13+D13)-E13</f>
        <v>585694</v>
      </c>
      <c r="G13" s="844">
        <v>5</v>
      </c>
      <c r="H13" s="766">
        <v>416942</v>
      </c>
      <c r="I13" s="766">
        <v>38220</v>
      </c>
      <c r="J13" s="766"/>
      <c r="K13" s="1788">
        <f>(H13+I13)-J13</f>
        <v>455162</v>
      </c>
      <c r="L13" s="1788">
        <f>F13-K13</f>
        <v>130532</v>
      </c>
    </row>
    <row r="14" spans="1:14" ht="14.25" thickTop="1" thickBot="1" x14ac:dyDescent="0.25">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3" t="s">
        <v>549</v>
      </c>
      <c r="B15" s="1652">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3932036</v>
      </c>
      <c r="D16" s="1779">
        <f>SUM(D3,D5:D6,D8:D10,D12:D15)</f>
        <v>135108</v>
      </c>
      <c r="E16" s="1779">
        <f>SUM(E3,E5:E6,E8:E10,E12:E15)</f>
        <v>0</v>
      </c>
      <c r="F16" s="1779">
        <f>SUM(F3,F5:F6,F8:F10,F12:F15)</f>
        <v>4067144</v>
      </c>
      <c r="G16" s="844"/>
      <c r="H16" s="1779">
        <f>SUM(H3,H6,H8:H10,H12:H14,)</f>
        <v>2901651</v>
      </c>
      <c r="I16" s="1779">
        <f>SUM(I3,I6,I8:I10,I12:I14,)</f>
        <v>106193</v>
      </c>
      <c r="J16" s="1779">
        <f>SUM(J3,J6,J8:J10,J12:J14,)</f>
        <v>0</v>
      </c>
      <c r="K16" s="1779">
        <f>(H16+I16)-J16</f>
        <v>3007844</v>
      </c>
      <c r="L16" s="1779">
        <f>F16-K16</f>
        <v>1059300</v>
      </c>
    </row>
    <row r="17" spans="1:12" ht="15" customHeight="1" thickTop="1" thickBot="1" x14ac:dyDescent="0.25">
      <c r="A17" s="1655" t="s">
        <v>309</v>
      </c>
      <c r="B17" s="1652">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106193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4" sqref="A44:H44"/>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3" t="s">
        <v>1699</v>
      </c>
      <c r="B1" s="2274"/>
      <c r="C1" s="2274"/>
      <c r="D1" s="2274"/>
      <c r="E1" s="2274"/>
      <c r="F1" s="2275"/>
      <c r="G1" s="856"/>
    </row>
    <row r="2" spans="1:7" ht="15" customHeight="1" thickBot="1" x14ac:dyDescent="0.25">
      <c r="A2" s="2276" t="s">
        <v>498</v>
      </c>
      <c r="B2" s="2277"/>
      <c r="C2" s="2277"/>
      <c r="D2" s="2277"/>
      <c r="E2" s="2277"/>
      <c r="F2" s="227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2095341</v>
      </c>
      <c r="G8" s="866"/>
    </row>
    <row r="9" spans="1:7" x14ac:dyDescent="0.2">
      <c r="A9" s="870" t="s">
        <v>480</v>
      </c>
      <c r="B9" s="871" t="s">
        <v>1985</v>
      </c>
      <c r="C9" s="872"/>
      <c r="D9" s="870" t="s">
        <v>522</v>
      </c>
      <c r="E9" s="869"/>
      <c r="F9" s="1929">
        <f>'Expenditures 15-22'!K151</f>
        <v>287986</v>
      </c>
      <c r="G9" s="873"/>
    </row>
    <row r="10" spans="1:7" x14ac:dyDescent="0.2">
      <c r="A10" s="870" t="s">
        <v>520</v>
      </c>
      <c r="B10" s="871" t="s">
        <v>1986</v>
      </c>
      <c r="C10" s="872"/>
      <c r="D10" s="870" t="s">
        <v>522</v>
      </c>
      <c r="E10" s="869"/>
      <c r="F10" s="1929">
        <f>'Expenditures 15-22'!K174</f>
        <v>0</v>
      </c>
      <c r="G10" s="873"/>
    </row>
    <row r="11" spans="1:7" x14ac:dyDescent="0.2">
      <c r="A11" s="870" t="s">
        <v>481</v>
      </c>
      <c r="B11" s="871" t="s">
        <v>1987</v>
      </c>
      <c r="C11" s="872"/>
      <c r="D11" s="870" t="s">
        <v>522</v>
      </c>
      <c r="E11" s="869"/>
      <c r="F11" s="1929">
        <f>'Expenditures 15-22'!K210</f>
        <v>198493</v>
      </c>
      <c r="G11" s="873"/>
    </row>
    <row r="12" spans="1:7" x14ac:dyDescent="0.2">
      <c r="A12" s="870" t="s">
        <v>482</v>
      </c>
      <c r="B12" s="871" t="s">
        <v>1988</v>
      </c>
      <c r="C12" s="872"/>
      <c r="D12" s="870" t="s">
        <v>522</v>
      </c>
      <c r="E12" s="869"/>
      <c r="F12" s="1929">
        <f>'Expenditures 15-22'!K295</f>
        <v>67991</v>
      </c>
      <c r="G12" s="873"/>
    </row>
    <row r="13" spans="1:7" x14ac:dyDescent="0.2">
      <c r="A13" s="870" t="s">
        <v>108</v>
      </c>
      <c r="B13" s="871" t="s">
        <v>1989</v>
      </c>
      <c r="C13" s="872"/>
      <c r="D13" s="870" t="s">
        <v>522</v>
      </c>
      <c r="E13" s="869"/>
      <c r="F13" s="1929">
        <f>'Expenditures 15-22'!K342</f>
        <v>0</v>
      </c>
      <c r="G13" s="874"/>
    </row>
    <row r="14" spans="1:7" ht="12" customHeight="1" thickBot="1" x14ac:dyDescent="0.25">
      <c r="A14" s="1789"/>
      <c r="B14" s="1790"/>
      <c r="C14" s="1791"/>
      <c r="D14" s="1792" t="s">
        <v>522</v>
      </c>
      <c r="E14" s="1793" t="s">
        <v>1015</v>
      </c>
      <c r="F14" s="1794">
        <f>SUM(F8:F13)</f>
        <v>2649811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3">
        <f>'Expenditures 15-22'!K102</f>
        <v>71606</v>
      </c>
      <c r="G53" s="866"/>
    </row>
    <row r="54" spans="1:7" x14ac:dyDescent="0.2">
      <c r="A54" s="870" t="s">
        <v>479</v>
      </c>
      <c r="B54" s="870" t="s">
        <v>1552</v>
      </c>
      <c r="C54" s="890" t="s">
        <v>1039</v>
      </c>
      <c r="D54" s="886" t="s">
        <v>1157</v>
      </c>
      <c r="E54" s="869"/>
      <c r="F54" s="1933">
        <f>'Expenditures 15-22'!G114</f>
        <v>2320</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3">
        <f>'Expenditures 15-22'!K139</f>
        <v>0</v>
      </c>
      <c r="G57" s="866"/>
    </row>
    <row r="58" spans="1:7" x14ac:dyDescent="0.2">
      <c r="A58" s="870" t="s">
        <v>480</v>
      </c>
      <c r="B58" s="870" t="s">
        <v>1991</v>
      </c>
      <c r="C58" s="887" t="s">
        <v>1039</v>
      </c>
      <c r="D58" s="886" t="s">
        <v>1157</v>
      </c>
      <c r="E58" s="869"/>
      <c r="F58" s="1935">
        <f>'Expenditures 15-22'!G151</f>
        <v>27959</v>
      </c>
      <c r="G58" s="866"/>
    </row>
    <row r="59" spans="1:7" x14ac:dyDescent="0.2">
      <c r="A59" s="894" t="s">
        <v>480</v>
      </c>
      <c r="B59" s="857" t="s">
        <v>1992</v>
      </c>
      <c r="C59" s="895" t="s">
        <v>1039</v>
      </c>
      <c r="D59" s="857" t="s">
        <v>309</v>
      </c>
      <c r="F59" s="1936">
        <f>'Expenditures 15-22'!I151</f>
        <v>0</v>
      </c>
      <c r="G59" s="866"/>
    </row>
    <row r="60" spans="1:7" x14ac:dyDescent="0.2">
      <c r="A60" s="894" t="s">
        <v>520</v>
      </c>
      <c r="B60" s="857" t="s">
        <v>1993</v>
      </c>
      <c r="C60" s="895">
        <v>4000</v>
      </c>
      <c r="D60" s="857" t="s">
        <v>330</v>
      </c>
      <c r="F60" s="1934">
        <f>'Expenditures 15-22'!K160</f>
        <v>0</v>
      </c>
      <c r="G60" s="866"/>
    </row>
    <row r="61" spans="1:7" x14ac:dyDescent="0.2">
      <c r="A61" s="896" t="s">
        <v>520</v>
      </c>
      <c r="B61" s="896" t="s">
        <v>1994</v>
      </c>
      <c r="C61" s="897" t="str">
        <f>'Expenditures 15-22'!B170</f>
        <v>5300</v>
      </c>
      <c r="D61" s="898" t="s">
        <v>329</v>
      </c>
      <c r="E61" s="880"/>
      <c r="F61" s="1933">
        <f>'Expenditures 15-22'!K170</f>
        <v>0</v>
      </c>
      <c r="G61" s="866"/>
    </row>
    <row r="62" spans="1:7" x14ac:dyDescent="0.2">
      <c r="A62" s="870" t="s">
        <v>481</v>
      </c>
      <c r="B62" s="870" t="s">
        <v>1995</v>
      </c>
      <c r="C62" s="887">
        <f>'Expenditures 15-22'!B185</f>
        <v>3000</v>
      </c>
      <c r="D62" s="877" t="s">
        <v>469</v>
      </c>
      <c r="E62" s="869"/>
      <c r="F62" s="1933">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3">
        <f>'Expenditures 15-22'!K196</f>
        <v>0</v>
      </c>
      <c r="G63" s="866"/>
    </row>
    <row r="64" spans="1:7" x14ac:dyDescent="0.2">
      <c r="A64" s="896" t="s">
        <v>481</v>
      </c>
      <c r="B64" s="896" t="s">
        <v>1997</v>
      </c>
      <c r="C64" s="897" t="str">
        <f>'Expenditures 15-22'!B206</f>
        <v>5300</v>
      </c>
      <c r="D64" s="893" t="s">
        <v>329</v>
      </c>
      <c r="E64" s="869"/>
      <c r="F64" s="1933">
        <f>'Expenditures 15-22'!K206</f>
        <v>0</v>
      </c>
      <c r="G64" s="866"/>
    </row>
    <row r="65" spans="1:8" x14ac:dyDescent="0.2">
      <c r="A65" s="870" t="s">
        <v>481</v>
      </c>
      <c r="B65" s="870" t="s">
        <v>1998</v>
      </c>
      <c r="C65" s="887" t="s">
        <v>1039</v>
      </c>
      <c r="D65" s="886" t="s">
        <v>1157</v>
      </c>
      <c r="E65" s="869"/>
      <c r="F65" s="1933">
        <f>'Expenditures 15-22'!G210</f>
        <v>83979</v>
      </c>
      <c r="G65" s="866"/>
    </row>
    <row r="66" spans="1:8" x14ac:dyDescent="0.2">
      <c r="A66" s="870" t="s">
        <v>481</v>
      </c>
      <c r="B66" s="870" t="s">
        <v>1999</v>
      </c>
      <c r="C66" s="887" t="s">
        <v>1039</v>
      </c>
      <c r="D66" s="886" t="s">
        <v>309</v>
      </c>
      <c r="E66" s="869"/>
      <c r="F66" s="1933">
        <f>'Expenditures 15-22'!I210</f>
        <v>0</v>
      </c>
      <c r="G66" s="866"/>
    </row>
    <row r="67" spans="1:8" x14ac:dyDescent="0.2">
      <c r="A67" s="870" t="s">
        <v>482</v>
      </c>
      <c r="B67" s="870" t="s">
        <v>2000</v>
      </c>
      <c r="C67" s="887" t="str">
        <f>'Expenditures 15-22'!B216</f>
        <v>1125</v>
      </c>
      <c r="D67" s="893" t="str">
        <f>'Expenditures 15-22'!A216</f>
        <v>Pre-K Programs</v>
      </c>
      <c r="E67" s="869"/>
      <c r="F67" s="1933">
        <f>'Expenditures 15-22'!K216</f>
        <v>0</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2002</v>
      </c>
      <c r="C70" s="887">
        <f>'Expenditures 15-22'!B221</f>
        <v>1300</v>
      </c>
      <c r="D70" s="888" t="str">
        <f>'Expenditures 15-22'!A221</f>
        <v>Adult/Continuing Education Programs</v>
      </c>
      <c r="E70" s="869"/>
      <c r="F70" s="1933">
        <f>'Expenditures 15-22'!K221</f>
        <v>0</v>
      </c>
      <c r="G70" s="866"/>
    </row>
    <row r="71" spans="1:8" x14ac:dyDescent="0.2">
      <c r="A71" s="870" t="s">
        <v>482</v>
      </c>
      <c r="B71" s="870" t="s">
        <v>2003</v>
      </c>
      <c r="C71" s="887">
        <f>'Expenditures 15-22'!B224</f>
        <v>1600</v>
      </c>
      <c r="D71" s="888" t="str">
        <f>'Expenditures 15-22'!A224</f>
        <v>Summer School Programs</v>
      </c>
      <c r="E71" s="869"/>
      <c r="F71" s="1933">
        <f>'Expenditures 15-22'!K224</f>
        <v>0</v>
      </c>
      <c r="G71" s="866"/>
    </row>
    <row r="72" spans="1:8" x14ac:dyDescent="0.2">
      <c r="A72" s="870" t="s">
        <v>482</v>
      </c>
      <c r="B72" s="870" t="s">
        <v>2004</v>
      </c>
      <c r="C72" s="887">
        <f>'Expenditures 15-22'!B280</f>
        <v>3000</v>
      </c>
      <c r="D72" s="877" t="s">
        <v>469</v>
      </c>
      <c r="E72" s="869"/>
      <c r="F72" s="1933">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2006</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2007</v>
      </c>
      <c r="E76" s="1793" t="s">
        <v>1015</v>
      </c>
      <c r="F76" s="1797">
        <f>SUM(F18:F74)</f>
        <v>185864</v>
      </c>
      <c r="G76" s="866"/>
    </row>
    <row r="77" spans="1:8" s="894" customFormat="1" ht="12" customHeight="1" thickTop="1" thickBot="1" x14ac:dyDescent="0.25">
      <c r="A77" s="1798"/>
      <c r="B77" s="1795"/>
      <c r="C77" s="1791"/>
      <c r="D77" s="1796" t="s">
        <v>2008</v>
      </c>
      <c r="E77" s="1793"/>
      <c r="F77" s="1799">
        <f>(F14-F76)</f>
        <v>2463947</v>
      </c>
      <c r="G77" s="870"/>
    </row>
    <row r="78" spans="1:8" s="894" customFormat="1" ht="12" customHeight="1" thickTop="1" x14ac:dyDescent="0.2">
      <c r="A78" s="1800"/>
      <c r="B78" s="1795"/>
      <c r="C78" s="1791"/>
      <c r="D78" s="1796" t="s">
        <v>2055</v>
      </c>
      <c r="E78" s="1793"/>
      <c r="F78" s="899">
        <v>198.65</v>
      </c>
      <c r="G78" s="900"/>
      <c r="H78" s="870"/>
    </row>
    <row r="79" spans="1:8" s="894" customFormat="1" ht="12" customHeight="1" thickBot="1" x14ac:dyDescent="0.25">
      <c r="A79" s="1801"/>
      <c r="B79" s="1795"/>
      <c r="C79" s="1791"/>
      <c r="D79" s="1796" t="s">
        <v>2009</v>
      </c>
      <c r="E79" s="1793" t="s">
        <v>1015</v>
      </c>
      <c r="F79" s="1802">
        <f>IF(F78&gt;0,F77/F78," Complete Line 78")</f>
        <v>12403.45834382079</v>
      </c>
      <c r="G79" s="870"/>
    </row>
    <row r="80" spans="1:8" s="894" customFormat="1" ht="8.25" customHeight="1" thickTop="1" x14ac:dyDescent="0.2">
      <c r="A80" s="901"/>
      <c r="B80" s="870"/>
      <c r="C80" s="872"/>
      <c r="D80" s="902"/>
      <c r="E80" s="869"/>
      <c r="F80" s="903"/>
      <c r="G80" s="870"/>
    </row>
    <row r="81" spans="1:7" s="894" customFormat="1" ht="12" thickBot="1" x14ac:dyDescent="0.25">
      <c r="A81" s="2270" t="s">
        <v>1167</v>
      </c>
      <c r="B81" s="2271"/>
      <c r="C81" s="2271"/>
      <c r="D81" s="2271"/>
      <c r="E81" s="2271"/>
      <c r="F81" s="227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1006</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59799</v>
      </c>
      <c r="G94" s="913"/>
    </row>
    <row r="95" spans="1:7" x14ac:dyDescent="0.2">
      <c r="A95" s="909" t="s">
        <v>142</v>
      </c>
      <c r="B95" s="909" t="s">
        <v>177</v>
      </c>
      <c r="C95" s="911">
        <v>1700</v>
      </c>
      <c r="D95" s="919" t="str">
        <f>'Revenues 9-14'!A82</f>
        <v>Total District/School Activity Income</v>
      </c>
      <c r="E95" s="907"/>
      <c r="F95" s="1808">
        <f>SUM('Revenues 9-14'!C82,'Revenues 9-14'!D82)</f>
        <v>12954</v>
      </c>
      <c r="G95" s="913"/>
    </row>
    <row r="96" spans="1:7" x14ac:dyDescent="0.2">
      <c r="A96" s="909" t="s">
        <v>479</v>
      </c>
      <c r="B96" s="909" t="s">
        <v>178</v>
      </c>
      <c r="C96" s="911">
        <f>'Revenues 9-14'!B84</f>
        <v>1811</v>
      </c>
      <c r="D96" s="912" t="str">
        <f>'Revenues 9-14'!A84</f>
        <v>Rentals - Regular Textbooks</v>
      </c>
      <c r="E96" s="907"/>
      <c r="F96" s="1808">
        <f>'Revenues 9-14'!C84</f>
        <v>14326</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124</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31364</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8744</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935</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3082</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56905</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8">
        <f>SUM('Revenues 9-14'!C201,'Revenues 9-14'!G201)</f>
        <v>69477</v>
      </c>
      <c r="G129" s="931"/>
    </row>
    <row r="130" spans="1:7" x14ac:dyDescent="0.2">
      <c r="A130" s="928" t="s">
        <v>689</v>
      </c>
      <c r="B130" s="928" t="s">
        <v>804</v>
      </c>
      <c r="C130" s="933">
        <v>4300</v>
      </c>
      <c r="D130" s="934" t="str">
        <f>'Revenues 9-14'!A211</f>
        <v>Total Title I</v>
      </c>
      <c r="E130" s="907"/>
      <c r="F130" s="1808">
        <f>SUM('Revenues 9-14'!C211,'Revenues 9-14'!D211,'Revenues 9-14'!F211,'Revenues 9-14'!G211)</f>
        <v>26193</v>
      </c>
      <c r="G130" s="931"/>
    </row>
    <row r="131" spans="1:7" x14ac:dyDescent="0.2">
      <c r="A131" s="928" t="s">
        <v>689</v>
      </c>
      <c r="B131" s="928" t="s">
        <v>805</v>
      </c>
      <c r="C131" s="933">
        <v>4400</v>
      </c>
      <c r="D131" s="934" t="str">
        <f>'Revenues 9-14'!A216</f>
        <v>Total Title IV</v>
      </c>
      <c r="E131" s="907"/>
      <c r="F131" s="1808">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40947</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11820</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4999</v>
      </c>
      <c r="G174" s="928"/>
    </row>
    <row r="175" spans="1:7" x14ac:dyDescent="0.2">
      <c r="A175" s="1938" t="s">
        <v>5</v>
      </c>
      <c r="B175" s="1939" t="s">
        <v>2054</v>
      </c>
      <c r="C175" s="1940">
        <v>3100</v>
      </c>
      <c r="D175" s="1941" t="s">
        <v>2057</v>
      </c>
      <c r="E175" s="907"/>
      <c r="F175" s="1925"/>
      <c r="G175" s="928"/>
    </row>
    <row r="176" spans="1:7" x14ac:dyDescent="0.2">
      <c r="A176" s="1938" t="s">
        <v>685</v>
      </c>
      <c r="B176" s="1939" t="s">
        <v>2054</v>
      </c>
      <c r="C176" s="1940">
        <v>3300</v>
      </c>
      <c r="D176" s="1941" t="s">
        <v>2058</v>
      </c>
      <c r="E176" s="907"/>
      <c r="F176" s="1925"/>
      <c r="G176" s="928"/>
    </row>
    <row r="177" spans="1:7" ht="6" customHeight="1" x14ac:dyDescent="0.2">
      <c r="A177" s="928"/>
      <c r="B177" s="928"/>
      <c r="C177" s="950"/>
      <c r="D177" s="928"/>
      <c r="E177" s="907"/>
      <c r="F177" s="951"/>
      <c r="G177" s="948"/>
    </row>
    <row r="178" spans="1:7" x14ac:dyDescent="0.2">
      <c r="A178" s="1789"/>
      <c r="B178" s="1803"/>
      <c r="C178" s="1804"/>
      <c r="D178" s="1805" t="s">
        <v>2010</v>
      </c>
      <c r="E178" s="1806" t="s">
        <v>1015</v>
      </c>
      <c r="F178" s="1807">
        <f>SUM(F84:F136,F161:F176)</f>
        <v>342675</v>
      </c>
    </row>
    <row r="179" spans="1:7" ht="12" customHeight="1" x14ac:dyDescent="0.2">
      <c r="A179" s="1789"/>
      <c r="B179" s="1803"/>
      <c r="C179" s="1804"/>
      <c r="D179" s="1805" t="s">
        <v>2011</v>
      </c>
      <c r="E179" s="1806"/>
      <c r="F179" s="1808">
        <f>'PCTC-OEPP 27-28'!F77-F178</f>
        <v>2121272</v>
      </c>
    </row>
    <row r="180" spans="1:7" ht="12" customHeight="1" x14ac:dyDescent="0.2">
      <c r="A180" s="1789"/>
      <c r="B180" s="1803"/>
      <c r="C180" s="1804"/>
      <c r="D180" s="1805" t="s">
        <v>1923</v>
      </c>
      <c r="E180" s="1806"/>
      <c r="F180" s="1808">
        <f>'Cap Outlay Deprec 26'!I18</f>
        <v>106193</v>
      </c>
    </row>
    <row r="181" spans="1:7" ht="12" customHeight="1" x14ac:dyDescent="0.2">
      <c r="A181" s="1789"/>
      <c r="B181" s="1803"/>
      <c r="C181" s="1804"/>
      <c r="D181" s="1805" t="s">
        <v>2012</v>
      </c>
      <c r="E181" s="1806"/>
      <c r="F181" s="1808">
        <f>F179+F180</f>
        <v>2227465</v>
      </c>
    </row>
    <row r="182" spans="1:7" ht="12" customHeight="1" x14ac:dyDescent="0.2">
      <c r="A182" s="1789"/>
      <c r="B182" s="1809"/>
      <c r="C182" s="1804"/>
      <c r="D182" s="1805" t="str">
        <f>D78</f>
        <v>9 Month ADA from District Average Daily Attendance/Prior General State Aid Inquiry 2017-2018</v>
      </c>
      <c r="E182" s="1806"/>
      <c r="F182" s="1810">
        <f>'PCTC-OEPP 27-28'!F78</f>
        <v>198.65</v>
      </c>
      <c r="G182" s="931"/>
    </row>
    <row r="183" spans="1:7" ht="12" customHeight="1" thickBot="1" x14ac:dyDescent="0.25">
      <c r="A183" s="1789"/>
      <c r="B183" s="1809"/>
      <c r="C183" s="1804"/>
      <c r="D183" s="1805" t="s">
        <v>2013</v>
      </c>
      <c r="E183" s="1806" t="s">
        <v>1626</v>
      </c>
      <c r="F183" s="1811">
        <f>F181/F182</f>
        <v>11213.012836647369</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2" customFormat="1" ht="12.2" customHeight="1" x14ac:dyDescent="0.2">
      <c r="A186" s="1942" t="s">
        <v>2061</v>
      </c>
      <c r="B186" s="1943"/>
      <c r="C186" s="1944"/>
      <c r="D186" s="1943"/>
      <c r="E186" s="1944"/>
      <c r="F186" s="1943"/>
      <c r="G186" s="1943"/>
    </row>
    <row r="187" spans="1:7" s="1942" customFormat="1" ht="12.2" customHeight="1" x14ac:dyDescent="0.2">
      <c r="A187" s="1945" t="s">
        <v>2062</v>
      </c>
      <c r="C187" s="1944"/>
      <c r="D187" s="1943"/>
      <c r="E187" s="1944"/>
      <c r="F187" s="1943"/>
      <c r="G187" s="1943"/>
    </row>
    <row r="188" spans="1:7" ht="12" customHeight="1" x14ac:dyDescent="0.2">
      <c r="C188" s="950"/>
      <c r="D188" s="931"/>
      <c r="E188" s="950"/>
      <c r="F188" s="931"/>
      <c r="G188" s="931"/>
    </row>
    <row r="189" spans="1:7" x14ac:dyDescent="0.2">
      <c r="A189" s="1946" t="s">
        <v>2060</v>
      </c>
      <c r="B189" s="1947"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pane ySplit="16" topLeftCell="A17" activePane="bottomLeft" state="frozen"/>
      <selection activeCell="A44" sqref="A44:H44"/>
      <selection pane="bottomLeft" activeCell="A44" sqref="A44:H44"/>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8" t="s">
        <v>1937</v>
      </c>
      <c r="B1" s="1679"/>
      <c r="C1" s="1679"/>
      <c r="D1" s="1679"/>
      <c r="E1" s="1679"/>
      <c r="F1" s="1679"/>
      <c r="G1" s="1679"/>
    </row>
    <row r="2" spans="1:7" x14ac:dyDescent="0.25">
      <c r="A2" s="1676"/>
      <c r="B2" s="1676"/>
      <c r="C2" s="1677" t="s">
        <v>1036</v>
      </c>
      <c r="D2" s="1676"/>
      <c r="E2" s="1676"/>
      <c r="F2" s="1676"/>
      <c r="G2" s="1676"/>
    </row>
    <row r="3" spans="1:7" ht="5.25" customHeight="1" x14ac:dyDescent="0.25">
      <c r="A3" s="1567"/>
      <c r="B3" s="1567"/>
      <c r="C3" s="1567"/>
      <c r="D3" s="1567"/>
      <c r="E3" s="1567"/>
      <c r="F3" s="1567"/>
      <c r="G3" s="1567"/>
    </row>
    <row r="4" spans="1:7" ht="18.75" customHeight="1" x14ac:dyDescent="0.25">
      <c r="A4" s="2284" t="s">
        <v>1924</v>
      </c>
      <c r="B4" s="2285"/>
      <c r="C4" s="2285"/>
      <c r="D4" s="2285"/>
      <c r="E4" s="2285"/>
      <c r="F4" s="2285"/>
      <c r="G4" s="2286"/>
    </row>
    <row r="5" spans="1:7" x14ac:dyDescent="0.25">
      <c r="A5" s="2287"/>
      <c r="B5" s="2288"/>
      <c r="C5" s="2288"/>
      <c r="D5" s="2288"/>
      <c r="E5" s="2288"/>
      <c r="F5" s="2288"/>
      <c r="G5" s="2289"/>
    </row>
    <row r="6" spans="1:7" ht="18.75" x14ac:dyDescent="0.25">
      <c r="A6" s="1556" t="s">
        <v>1925</v>
      </c>
      <c r="B6" s="1557"/>
      <c r="C6" s="1557"/>
      <c r="D6" s="1557"/>
      <c r="E6" s="1557"/>
      <c r="F6" s="1557"/>
      <c r="G6" s="1558"/>
    </row>
    <row r="7" spans="1:7" ht="30.75" customHeight="1" x14ac:dyDescent="0.25">
      <c r="A7" s="2290" t="s">
        <v>2071</v>
      </c>
      <c r="B7" s="2291"/>
      <c r="C7" s="2291"/>
      <c r="D7" s="2291"/>
      <c r="E7" s="2291"/>
      <c r="F7" s="2291"/>
      <c r="G7" s="2292"/>
    </row>
    <row r="8" spans="1:7" ht="15.75" customHeight="1" x14ac:dyDescent="0.25">
      <c r="A8" s="2293" t="s">
        <v>2020</v>
      </c>
      <c r="B8" s="2294"/>
      <c r="C8" s="2294"/>
      <c r="D8" s="2294"/>
      <c r="E8" s="2294"/>
      <c r="F8" s="2294"/>
      <c r="G8" s="2295"/>
    </row>
    <row r="9" spans="1:7" ht="35.25" customHeight="1" x14ac:dyDescent="0.25">
      <c r="A9" s="2290" t="s">
        <v>2019</v>
      </c>
      <c r="B9" s="2291"/>
      <c r="C9" s="2291"/>
      <c r="D9" s="2291"/>
      <c r="E9" s="2291"/>
      <c r="F9" s="2291"/>
      <c r="G9" s="2292"/>
    </row>
    <row r="10" spans="1:7" ht="15" customHeight="1" x14ac:dyDescent="0.25">
      <c r="A10" s="1559" t="s">
        <v>1926</v>
      </c>
      <c r="B10" s="1560"/>
      <c r="C10" s="1560"/>
      <c r="D10" s="1560"/>
      <c r="E10" s="1560"/>
      <c r="F10" s="1560"/>
      <c r="G10" s="1561"/>
    </row>
    <row r="11" spans="1:7" ht="17.25" customHeight="1" x14ac:dyDescent="0.25">
      <c r="A11" s="2290" t="s">
        <v>1938</v>
      </c>
      <c r="B11" s="2291"/>
      <c r="C11" s="2291"/>
      <c r="D11" s="2291"/>
      <c r="E11" s="2291"/>
      <c r="F11" s="2291"/>
      <c r="G11" s="2292"/>
    </row>
    <row r="12" spans="1:7" ht="15" customHeight="1" x14ac:dyDescent="0.25">
      <c r="A12" s="1559" t="s">
        <v>1929</v>
      </c>
      <c r="B12" s="1560"/>
      <c r="C12" s="1560"/>
      <c r="D12" s="1560"/>
      <c r="E12" s="1560"/>
      <c r="F12" s="1560"/>
      <c r="G12" s="1561"/>
    </row>
    <row r="13" spans="1:7" ht="32.25" customHeight="1" x14ac:dyDescent="0.25">
      <c r="A13" s="2281" t="s">
        <v>1930</v>
      </c>
      <c r="B13" s="2282"/>
      <c r="C13" s="2282"/>
      <c r="D13" s="2282"/>
      <c r="E13" s="2282"/>
      <c r="F13" s="2282"/>
      <c r="G13" s="2283"/>
    </row>
    <row r="14" spans="1:7" x14ac:dyDescent="0.25">
      <c r="A14" s="1680" t="s">
        <v>1939</v>
      </c>
      <c r="B14" s="1681"/>
      <c r="C14" s="1681"/>
      <c r="D14" s="1681"/>
      <c r="E14" s="1681"/>
      <c r="F14" s="1681"/>
      <c r="G14" s="1682"/>
    </row>
    <row r="15" spans="1:7" ht="61.5" customHeight="1" x14ac:dyDescent="0.25">
      <c r="A15" s="1568" t="s">
        <v>1931</v>
      </c>
      <c r="B15" s="1568" t="s">
        <v>1932</v>
      </c>
      <c r="C15" s="1568" t="s">
        <v>1933</v>
      </c>
      <c r="D15" s="1569" t="s">
        <v>1934</v>
      </c>
      <c r="E15" s="1569" t="s">
        <v>1927</v>
      </c>
      <c r="F15" s="1569" t="s">
        <v>1935</v>
      </c>
      <c r="G15" s="1569" t="s">
        <v>1936</v>
      </c>
    </row>
    <row r="16" spans="1:7" x14ac:dyDescent="0.25">
      <c r="A16" s="1669" t="s">
        <v>2117</v>
      </c>
      <c r="B16" s="1670" t="s">
        <v>2118</v>
      </c>
      <c r="C16" s="1671" t="s">
        <v>2119</v>
      </c>
      <c r="D16" s="1672">
        <v>500000</v>
      </c>
      <c r="E16" s="1672">
        <f>IF(D16&lt;=25000,D16,IF(D16&gt;25000,25000,0))</f>
        <v>25000</v>
      </c>
      <c r="F16" s="1672">
        <v>25000</v>
      </c>
      <c r="G16" s="1673">
        <v>475000</v>
      </c>
    </row>
    <row r="17" spans="1:7" x14ac:dyDescent="0.25">
      <c r="A17" s="1952" t="s">
        <v>2120</v>
      </c>
      <c r="B17" s="1953" t="s">
        <v>2122</v>
      </c>
      <c r="C17" s="1954" t="s">
        <v>2121</v>
      </c>
      <c r="D17" s="1863">
        <v>28800</v>
      </c>
      <c r="E17" s="1562">
        <f t="shared" ref="E17:E19" si="0">IF(D17&lt;=25000,D17,IF(D17&gt;25000,25000,0))</f>
        <v>25000</v>
      </c>
      <c r="F17" s="1812">
        <f t="shared" ref="F17:F19" si="1">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3">
        <f t="shared" ref="G17:G19" si="2">IF(F17=0,0,D17-F17)</f>
        <v>3800</v>
      </c>
    </row>
    <row r="18" spans="1:7" x14ac:dyDescent="0.25">
      <c r="A18" s="1674"/>
      <c r="B18" s="1686"/>
      <c r="C18" s="1675"/>
      <c r="D18" s="1863"/>
      <c r="E18" s="1562">
        <f t="shared" si="0"/>
        <v>0</v>
      </c>
      <c r="F18" s="1812">
        <f t="shared" si="1"/>
        <v>0</v>
      </c>
      <c r="G18" s="1813">
        <f t="shared" si="2"/>
        <v>0</v>
      </c>
    </row>
    <row r="19" spans="1:7" x14ac:dyDescent="0.25">
      <c r="A19" s="1674"/>
      <c r="B19" s="1686"/>
      <c r="C19" s="1675"/>
      <c r="D19" s="1863"/>
      <c r="E19" s="1562">
        <f t="shared" si="0"/>
        <v>0</v>
      </c>
      <c r="F19" s="1812">
        <f t="shared" si="1"/>
        <v>0</v>
      </c>
      <c r="G19" s="1813">
        <f t="shared" si="2"/>
        <v>0</v>
      </c>
    </row>
    <row r="20" spans="1:7" x14ac:dyDescent="0.25">
      <c r="A20" s="1674"/>
      <c r="B20" s="1685"/>
      <c r="C20" s="1675"/>
      <c r="D20" s="1863"/>
      <c r="E20" s="1562">
        <f t="shared" ref="E20" si="3">IF(D20&lt;=25000,D20,IF(D20&gt;25000,25000,0))</f>
        <v>0</v>
      </c>
      <c r="F20" s="1812">
        <f t="shared" ref="F20" si="4">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3">
        <f t="shared" ref="G20" si="5">IF(F20=0,0,D20-F20)</f>
        <v>0</v>
      </c>
    </row>
    <row r="21" spans="1:7" x14ac:dyDescent="0.25">
      <c r="A21" s="1816" t="s">
        <v>158</v>
      </c>
      <c r="B21" s="1817"/>
      <c r="C21" s="1818"/>
      <c r="D21" s="1814">
        <f>SUM(D17:D20)</f>
        <v>28800</v>
      </c>
      <c r="E21" s="1563">
        <f t="shared" ref="E21" si="6">IF(D21&lt;=25000,D21,IF(D21&gt;25000,25000,0))</f>
        <v>25000</v>
      </c>
      <c r="F21" s="1814">
        <f>SUM(F17:F20)</f>
        <v>25000</v>
      </c>
      <c r="G21" s="1815">
        <f>SUM(G17:G20)</f>
        <v>3800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6" colorId="8" zoomScale="110" zoomScaleNormal="110" workbookViewId="0">
      <selection activeCell="A44" sqref="A44:H4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6" t="s">
        <v>1778</v>
      </c>
      <c r="B5" s="2297"/>
      <c r="C5" s="2297"/>
      <c r="D5" s="2297"/>
      <c r="E5" s="2297"/>
      <c r="F5" s="2297"/>
      <c r="G5" s="229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59555</v>
      </c>
      <c r="F10" s="975"/>
      <c r="G10" s="976"/>
      <c r="H10" s="162"/>
      <c r="I10" s="162"/>
    </row>
    <row r="11" spans="1:9" s="669" customFormat="1" ht="22.5" customHeight="1" x14ac:dyDescent="0.2">
      <c r="A11" s="2301" t="s">
        <v>1941</v>
      </c>
      <c r="B11" s="2302"/>
      <c r="C11" s="2302"/>
      <c r="D11" s="2303"/>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1402346</v>
      </c>
      <c r="F19" s="1819"/>
      <c r="G19" s="1821">
        <f>'Expenditures 15-22'!K33-SUM('Expenditures 15-22'!G33,'Expenditures 15-22'!I33)+'Expenditures 15-22'!D229</f>
        <v>1402346</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51861</v>
      </c>
      <c r="F21" s="1822"/>
      <c r="G21" s="1825">
        <f>'Expenditures 15-22'!K42-SUM('Expenditures 15-22'!G42,'Expenditures 15-22'!I42)+'Expenditures 15-22'!K120-SUM('Expenditures 15-22'!G120,'Expenditures 15-22'!I120)+'Expenditures 15-22'!K180-SUM('Expenditures 15-22'!G180,'Expenditures 15-22'!I180)+'Expenditures 15-22'!D238</f>
        <v>51861</v>
      </c>
      <c r="H21" s="988"/>
      <c r="I21" s="162"/>
    </row>
    <row r="22" spans="1:9" s="669" customFormat="1" ht="12" customHeight="1" x14ac:dyDescent="0.2">
      <c r="A22" s="995" t="s">
        <v>585</v>
      </c>
      <c r="B22" s="996"/>
      <c r="C22" s="994">
        <v>2200</v>
      </c>
      <c r="D22" s="1822"/>
      <c r="E22" s="1824">
        <f>'Expenditures 15-22'!K47-SUM('Expenditures 15-22'!G47,'Expenditures 15-22'!I47)+'Expenditures 15-22'!D243</f>
        <v>97672</v>
      </c>
      <c r="F22" s="1822"/>
      <c r="G22" s="1825">
        <f>'Expenditures 15-22'!K47-SUM('Expenditures 15-22'!G47,'Expenditures 15-22'!I47)+'Expenditures 15-22'!D243</f>
        <v>97672</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179627</v>
      </c>
      <c r="F23" s="1822"/>
      <c r="G23" s="1824">
        <f>'Expenditures 15-22'!K53-SUM('Expenditures 15-22'!G53,'Expenditures 15-22'!I53)+'Expenditures 15-22'!D257+'Expenditures 15-22'!K330-SUM('Expenditures 15-22'!G330,'Expenditures 15-22'!I330)</f>
        <v>179627</v>
      </c>
      <c r="H23" s="988"/>
      <c r="I23" s="162"/>
    </row>
    <row r="24" spans="1:9" s="669" customFormat="1" ht="12" customHeight="1" x14ac:dyDescent="0.2">
      <c r="A24" s="995" t="s">
        <v>587</v>
      </c>
      <c r="B24" s="996"/>
      <c r="C24" s="994">
        <v>2400</v>
      </c>
      <c r="D24" s="1822"/>
      <c r="E24" s="1824">
        <f>'Expenditures 15-22'!K57-SUM('Expenditures 15-22'!G57,'Expenditures 15-22'!I57)+'Expenditures 15-22'!D261</f>
        <v>137569</v>
      </c>
      <c r="F24" s="1822"/>
      <c r="G24" s="1825">
        <f>'Expenditures 15-22'!K57-SUM('Expenditures 15-22'!G57,'Expenditures 15-22'!I57)+'Expenditures 15-22'!D261</f>
        <v>137569</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48686</v>
      </c>
      <c r="E27" s="1824">
        <f>E8</f>
        <v>0</v>
      </c>
      <c r="F27" s="1824">
        <f>'Expenditures 15-22'!K60-SUM('Expenditures 15-22'!G60,'Expenditures 15-22'!I60)+'Expenditures 15-22'!D264-E8</f>
        <v>48686</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245934</v>
      </c>
      <c r="F28" s="1826">
        <f>'Expenditures 15-22'!K61-SUM('Expenditures 15-22'!G61,'Expenditures 15-22'!I61)+'Expenditures 15-22'!K124-SUM('Expenditures 15-22'!G124,'Expenditures 15-22'!I124)+'Expenditures 15-22'!D266-E9</f>
        <v>245934</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95750</v>
      </c>
      <c r="F29" s="1822"/>
      <c r="G29" s="1825">
        <f>'Expenditures 15-22'!K62-SUM('Expenditures 15-22'!G62,'Expenditures 15-22'!I62)+'Expenditures 15-22'!K125-SUM('Expenditures 15-22'!G125,'Expenditures 15-22'!I125)+'Expenditures 15-22'!K182-SUM('Expenditures 15-22'!G182,'Expenditures 15-22'!I182)+'Expenditures 15-22'!D267</f>
        <v>95750</v>
      </c>
      <c r="H29" s="986"/>
    </row>
    <row r="30" spans="1:9" ht="12" customHeight="1" x14ac:dyDescent="0.2">
      <c r="A30" s="995" t="s">
        <v>102</v>
      </c>
      <c r="B30" s="998"/>
      <c r="C30" s="994">
        <v>2560</v>
      </c>
      <c r="D30" s="1822"/>
      <c r="E30" s="1824">
        <f>'Expenditures 15-22'!K63-SUM('Expenditures 15-22'!G63,'Expenditures 15-22'!I63)+'Expenditures 15-22'!D268-E10</f>
        <v>88290</v>
      </c>
      <c r="F30" s="1822"/>
      <c r="G30" s="1824">
        <f>'Expenditures 15-22'!K63-SUM('Expenditures 15-22'!G63,'Expenditures 15-22'!I63)+'Expenditures 15-22'!D268-E10</f>
        <v>88290</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47202</v>
      </c>
      <c r="F38" s="1822"/>
      <c r="G38" s="1824">
        <f>'Expenditures 15-22'!K73-SUM('Expenditures 15-22'!G73,'Expenditures 15-22'!I73)+'Expenditures 15-22'!K128-SUM('Expenditures 15-22'!G128,'Expenditures 15-22'!I128)+'Expenditures 15-22'!K183-SUM('Expenditures 15-22'!G183,'Expenditures 15-22'!I183)+'Expenditures 15-22'!D278</f>
        <v>47202</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2"/>
      <c r="E40" s="1826">
        <f>-'Contracts Paid in CY 29'!G21</f>
        <v>-3800</v>
      </c>
      <c r="F40" s="1822"/>
      <c r="G40" s="1826">
        <f>-'Contracts Paid in CY 29'!G21</f>
        <v>-3800</v>
      </c>
    </row>
    <row r="41" spans="1:7" ht="12" customHeight="1" x14ac:dyDescent="0.2">
      <c r="A41" s="999" t="s">
        <v>158</v>
      </c>
      <c r="B41" s="1000"/>
      <c r="C41" s="1001"/>
      <c r="D41" s="1826">
        <f>SUM(D19:D39)</f>
        <v>48686</v>
      </c>
      <c r="E41" s="1826">
        <f>SUM(E19:E40)</f>
        <v>2342451</v>
      </c>
      <c r="F41" s="1826">
        <f>SUM(F19:F39)</f>
        <v>294620</v>
      </c>
      <c r="G41" s="1826">
        <f>SUM(G19:G40)</f>
        <v>2096517</v>
      </c>
    </row>
    <row r="42" spans="1:7" x14ac:dyDescent="0.2">
      <c r="A42" s="988"/>
      <c r="B42" s="162"/>
      <c r="C42" s="1002"/>
      <c r="D42" s="2299" t="s">
        <v>543</v>
      </c>
      <c r="E42" s="2300"/>
      <c r="F42" s="1003" t="s">
        <v>544</v>
      </c>
      <c r="G42" s="1004"/>
    </row>
    <row r="43" spans="1:7" ht="12" customHeight="1" x14ac:dyDescent="0.2">
      <c r="A43" s="988"/>
      <c r="B43" s="162"/>
      <c r="C43" s="1002"/>
      <c r="D43" s="1827" t="s">
        <v>493</v>
      </c>
      <c r="E43" s="1828">
        <f>D41</f>
        <v>48686</v>
      </c>
      <c r="F43" s="1827" t="s">
        <v>495</v>
      </c>
      <c r="G43" s="1828">
        <f>F41</f>
        <v>294620</v>
      </c>
    </row>
    <row r="44" spans="1:7" ht="12" customHeight="1" x14ac:dyDescent="0.2">
      <c r="A44" s="988"/>
      <c r="B44" s="162"/>
      <c r="C44" s="1002"/>
      <c r="D44" s="1827" t="s">
        <v>494</v>
      </c>
      <c r="E44" s="1828">
        <f>E41</f>
        <v>2342451</v>
      </c>
      <c r="F44" s="1827" t="s">
        <v>494</v>
      </c>
      <c r="G44" s="1828">
        <f>G41</f>
        <v>2096517</v>
      </c>
    </row>
    <row r="45" spans="1:7" ht="12" customHeight="1" x14ac:dyDescent="0.2">
      <c r="A45" s="988"/>
      <c r="B45" s="162"/>
      <c r="C45" s="162"/>
      <c r="D45" s="1829" t="s">
        <v>1063</v>
      </c>
      <c r="E45" s="1830">
        <f>(E43/E44)</f>
        <v>2.0784212775421983E-2</v>
      </c>
      <c r="F45" s="1829" t="s">
        <v>1063</v>
      </c>
      <c r="G45" s="1830">
        <f>(G43/G44)</f>
        <v>0.14052831434231156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4" sqref="A44:H44"/>
      <selection pane="bottomLeft" activeCell="A44" sqref="A44:H44"/>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8" t="s">
        <v>1446</v>
      </c>
      <c r="B1" s="2318"/>
      <c r="C1" s="2318"/>
      <c r="D1" s="2318"/>
      <c r="E1" s="2318"/>
      <c r="F1" s="2318"/>
    </row>
    <row r="2" spans="1:10" x14ac:dyDescent="0.2">
      <c r="A2" s="1906" t="s">
        <v>2044</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19" t="s">
        <v>1627</v>
      </c>
      <c r="B5" s="2320"/>
      <c r="C5" s="2321"/>
      <c r="D5" s="2321"/>
      <c r="E5" s="2321"/>
      <c r="F5" s="2321"/>
    </row>
    <row r="6" spans="1:10" ht="12" customHeight="1" x14ac:dyDescent="0.25">
      <c r="A6" s="1869"/>
      <c r="B6" s="1870"/>
      <c r="C6" s="2322" t="str">
        <f>COVER!A17</f>
        <v>Hartsburg Emden CUSD 21</v>
      </c>
      <c r="D6" s="2322"/>
      <c r="E6" s="2322"/>
      <c r="F6" s="1871"/>
    </row>
    <row r="7" spans="1:10" ht="11.25" customHeight="1" thickBot="1" x14ac:dyDescent="0.3">
      <c r="A7" s="1869"/>
      <c r="B7" s="1870"/>
      <c r="C7" s="2323">
        <f>COVER!A13</f>
        <v>17054021026</v>
      </c>
      <c r="D7" s="2323"/>
      <c r="E7" s="2323"/>
      <c r="F7" s="1871"/>
    </row>
    <row r="8" spans="1:10" ht="25.5" customHeight="1" thickBot="1" x14ac:dyDescent="0.25">
      <c r="A8" s="1912" t="s">
        <v>2021</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950" t="s">
        <v>2073</v>
      </c>
      <c r="D13" s="1950" t="s">
        <v>2073</v>
      </c>
      <c r="E13" s="1887"/>
      <c r="F13" s="1886" t="s">
        <v>2101</v>
      </c>
      <c r="H13" s="1897">
        <f t="shared" si="0"/>
        <v>5</v>
      </c>
      <c r="I13" s="1897">
        <f t="shared" si="1"/>
        <v>5</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950" t="s">
        <v>2073</v>
      </c>
      <c r="D25" s="1950" t="s">
        <v>2073</v>
      </c>
      <c r="E25" s="1887"/>
      <c r="F25" s="1886" t="s">
        <v>2097</v>
      </c>
      <c r="H25" s="1897">
        <f t="shared" si="0"/>
        <v>5</v>
      </c>
      <c r="I25" s="1897">
        <f t="shared" si="1"/>
        <v>5</v>
      </c>
      <c r="J25" s="1897">
        <f t="shared" si="2"/>
        <v>0</v>
      </c>
    </row>
    <row r="26" spans="1:12" ht="12" customHeight="1" x14ac:dyDescent="0.2">
      <c r="A26" s="1882" t="s">
        <v>1615</v>
      </c>
      <c r="B26" s="1883"/>
      <c r="C26" s="1950" t="s">
        <v>2073</v>
      </c>
      <c r="D26" s="1950" t="s">
        <v>2073</v>
      </c>
      <c r="E26" s="1887"/>
      <c r="F26" s="1886" t="s">
        <v>2098</v>
      </c>
      <c r="H26" s="1897">
        <f t="shared" si="0"/>
        <v>5</v>
      </c>
      <c r="I26" s="1897">
        <f t="shared" si="1"/>
        <v>5</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950" t="s">
        <v>2073</v>
      </c>
      <c r="D29" s="1950" t="s">
        <v>2073</v>
      </c>
      <c r="E29" s="1887"/>
      <c r="F29" s="1886" t="s">
        <v>2102</v>
      </c>
      <c r="H29" s="1897">
        <f t="shared" si="0"/>
        <v>5</v>
      </c>
      <c r="I29" s="1897">
        <f t="shared" si="1"/>
        <v>5</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950" t="s">
        <v>2073</v>
      </c>
      <c r="D31" s="1950" t="s">
        <v>2073</v>
      </c>
      <c r="E31" s="1887"/>
      <c r="F31" s="1886" t="s">
        <v>2099</v>
      </c>
      <c r="H31" s="1897">
        <f t="shared" si="0"/>
        <v>5</v>
      </c>
      <c r="I31" s="1897">
        <f t="shared" si="1"/>
        <v>5</v>
      </c>
      <c r="J31" s="1897">
        <f t="shared" si="2"/>
        <v>0</v>
      </c>
      <c r="L31" s="1888"/>
    </row>
    <row r="32" spans="1:12" ht="12" customHeight="1" x14ac:dyDescent="0.2">
      <c r="A32" s="1882" t="s">
        <v>1621</v>
      </c>
      <c r="B32" s="1883"/>
      <c r="C32" s="1950" t="s">
        <v>2073</v>
      </c>
      <c r="D32" s="1950" t="s">
        <v>2073</v>
      </c>
      <c r="E32" s="1887"/>
      <c r="F32" s="1886" t="s">
        <v>2100</v>
      </c>
      <c r="H32" s="1897">
        <f t="shared" si="0"/>
        <v>5</v>
      </c>
      <c r="I32" s="1897">
        <f t="shared" si="1"/>
        <v>5</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30</v>
      </c>
      <c r="I34" s="1897">
        <f>SUM(I11:I32)</f>
        <v>30</v>
      </c>
      <c r="J34" s="1897">
        <f>SUM(J11:J32)</f>
        <v>0</v>
      </c>
      <c r="K34" s="1897">
        <f>SUM(H34:J34)</f>
        <v>60</v>
      </c>
    </row>
    <row r="35" spans="1:11" ht="12" customHeight="1" x14ac:dyDescent="0.2">
      <c r="A35" s="1890" t="s">
        <v>1459</v>
      </c>
      <c r="B35" s="1891"/>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92"/>
      <c r="B39" s="1892"/>
      <c r="C39" s="1892"/>
      <c r="D39" s="1892"/>
      <c r="E39" s="1892"/>
      <c r="F39" s="1892"/>
    </row>
    <row r="40" spans="1:11" s="1889" customFormat="1" ht="12" customHeight="1" x14ac:dyDescent="0.25">
      <c r="A40" s="1893" t="s">
        <v>1458</v>
      </c>
      <c r="B40" s="1894"/>
      <c r="C40" s="2313"/>
      <c r="D40" s="2313"/>
      <c r="E40" s="2313"/>
      <c r="F40" s="2314"/>
      <c r="H40" s="1898"/>
      <c r="I40" s="1898"/>
      <c r="J40" s="1898"/>
      <c r="K40" s="1898"/>
    </row>
    <row r="41" spans="1:11" s="1889" customFormat="1" ht="12" customHeight="1" x14ac:dyDescent="0.25">
      <c r="A41" s="2315"/>
      <c r="B41" s="2316"/>
      <c r="C41" s="2316"/>
      <c r="D41" s="2316"/>
      <c r="E41" s="2316"/>
      <c r="F41" s="2317"/>
      <c r="H41" s="1898"/>
      <c r="I41" s="1898"/>
      <c r="J41" s="1898"/>
      <c r="K41" s="1898"/>
    </row>
    <row r="42" spans="1:11" s="1889" customFormat="1" ht="12" customHeight="1" x14ac:dyDescent="0.25">
      <c r="A42" s="2315"/>
      <c r="B42" s="2316"/>
      <c r="C42" s="2316"/>
      <c r="D42" s="2316"/>
      <c r="E42" s="2316"/>
      <c r="F42" s="2317"/>
      <c r="H42" s="1898"/>
      <c r="I42" s="1898"/>
      <c r="J42" s="1898"/>
      <c r="K42" s="1898"/>
    </row>
    <row r="43" spans="1:11" s="1889" customFormat="1" ht="15" x14ac:dyDescent="0.25">
      <c r="A43" s="2304"/>
      <c r="B43" s="2305"/>
      <c r="C43" s="2305"/>
      <c r="D43" s="2305"/>
      <c r="E43" s="2305"/>
      <c r="F43" s="2306"/>
      <c r="H43" s="1898"/>
      <c r="I43" s="1898"/>
      <c r="J43" s="1898"/>
      <c r="K43" s="1898"/>
    </row>
    <row r="44" spans="1:11" s="1889" customFormat="1" ht="12" hidden="1" customHeight="1" x14ac:dyDescent="0.25">
      <c r="A44" s="2304"/>
      <c r="B44" s="2305"/>
      <c r="C44" s="2305"/>
      <c r="D44" s="2305"/>
      <c r="E44" s="2305"/>
      <c r="F44" s="2306"/>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110" zoomScaleNormal="110" workbookViewId="0">
      <selection activeCell="A44" sqref="A44:H4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4"/>
      <c r="C6" s="1664"/>
      <c r="D6" s="1664"/>
      <c r="E6" s="1665"/>
      <c r="F6" s="1016"/>
      <c r="G6" s="1010"/>
      <c r="H6" s="1017" t="s">
        <v>1086</v>
      </c>
      <c r="I6" s="2331" t="str">
        <f>COVER!A17</f>
        <v>Hartsburg Emden CUSD 21</v>
      </c>
      <c r="J6" s="2332"/>
      <c r="Q6" s="1683"/>
    </row>
    <row r="7" spans="1:17" x14ac:dyDescent="0.2">
      <c r="A7" s="2333" t="s">
        <v>924</v>
      </c>
      <c r="B7" s="2334"/>
      <c r="C7" s="2334"/>
      <c r="D7" s="2334"/>
      <c r="E7" s="2335"/>
      <c r="F7" s="1018"/>
      <c r="G7" s="1010"/>
      <c r="H7" s="1017" t="s">
        <v>390</v>
      </c>
      <c r="I7" s="2336">
        <f>COVER!A13</f>
        <v>17054021026</v>
      </c>
      <c r="J7" s="233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7" t="s">
        <v>502</v>
      </c>
      <c r="B11" s="2338"/>
      <c r="C11" s="233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124152</v>
      </c>
      <c r="F12" s="1040"/>
      <c r="G12" s="1831">
        <f t="shared" ref="G12:G18" si="0">SUM(E12:F12)</f>
        <v>124152</v>
      </c>
      <c r="H12" s="1041">
        <v>115610</v>
      </c>
      <c r="I12" s="1040"/>
      <c r="J12" s="1831">
        <f t="shared" ref="J12:J18" si="1">SUM(H12:I12)</f>
        <v>115610</v>
      </c>
    </row>
    <row r="13" spans="1:17" ht="15" customHeight="1" x14ac:dyDescent="0.2">
      <c r="A13" s="1036">
        <v>2</v>
      </c>
      <c r="B13" s="1037" t="s">
        <v>44</v>
      </c>
      <c r="C13" s="1038"/>
      <c r="D13" s="1039">
        <v>2330</v>
      </c>
      <c r="E13" s="1831">
        <f>'Expenditures 15-22'!K51</f>
        <v>0</v>
      </c>
      <c r="F13" s="1040"/>
      <c r="G13" s="1831">
        <f t="shared" si="0"/>
        <v>0</v>
      </c>
      <c r="H13" s="1041"/>
      <c r="I13" s="1040"/>
      <c r="J13" s="1831">
        <f t="shared" si="1"/>
        <v>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40" t="s">
        <v>7</v>
      </c>
      <c r="C18" s="2341"/>
      <c r="D18" s="2342"/>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124152</v>
      </c>
      <c r="F19" s="1833">
        <f t="shared" si="2"/>
        <v>0</v>
      </c>
      <c r="G19" s="1833">
        <f t="shared" si="2"/>
        <v>124152</v>
      </c>
      <c r="H19" s="1833">
        <f t="shared" si="2"/>
        <v>115610</v>
      </c>
      <c r="I19" s="1833">
        <f t="shared" si="2"/>
        <v>0</v>
      </c>
      <c r="J19" s="1833">
        <f t="shared" si="2"/>
        <v>115610</v>
      </c>
    </row>
    <row r="20" spans="1:10" ht="13.5" thickTop="1" x14ac:dyDescent="0.2">
      <c r="A20" s="1036">
        <v>9</v>
      </c>
      <c r="B20" s="2343" t="s">
        <v>1703</v>
      </c>
      <c r="C20" s="2343"/>
      <c r="D20" s="2344"/>
      <c r="E20" s="1047"/>
      <c r="F20" s="1047"/>
      <c r="G20" s="1047"/>
      <c r="H20" s="1047"/>
      <c r="I20" s="1047"/>
      <c r="J20" s="1834">
        <f>IF(AND(G19&gt;0,J19&gt;0),(((J19-G19)/G19)),"Enter Budget Data")</f>
        <v>-6.8802757909659132E-2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9"/>
      <c r="D26" s="2349"/>
      <c r="E26" s="1051"/>
      <c r="F26" s="2348"/>
      <c r="G26" s="2348"/>
    </row>
    <row r="27" spans="1:10" x14ac:dyDescent="0.2">
      <c r="B27" s="1048"/>
      <c r="C27" s="1052" t="s">
        <v>1093</v>
      </c>
      <c r="D27" s="1053"/>
      <c r="E27" s="1054"/>
      <c r="F27" s="2345" t="s">
        <v>1589</v>
      </c>
      <c r="G27" s="2345"/>
    </row>
    <row r="28" spans="1:10" ht="28.5" customHeight="1" x14ac:dyDescent="0.2">
      <c r="B28" s="1048"/>
      <c r="C28" s="2347"/>
      <c r="D28" s="2347"/>
      <c r="E28" s="1055"/>
      <c r="F28" s="2347"/>
      <c r="G28" s="2347"/>
    </row>
    <row r="29" spans="1:10" x14ac:dyDescent="0.2">
      <c r="B29" s="1048"/>
      <c r="C29" s="1056" t="s">
        <v>1642</v>
      </c>
      <c r="E29" s="1057"/>
      <c r="F29" s="2346" t="s">
        <v>1590</v>
      </c>
      <c r="G29" s="234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3"/>
    </row>
    <row r="36" spans="1:10" ht="13.5" customHeight="1" x14ac:dyDescent="0.2">
      <c r="B36" s="1062"/>
      <c r="C36" s="2330" t="s">
        <v>1940</v>
      </c>
      <c r="D36" s="2329"/>
      <c r="E36" s="2329"/>
      <c r="F36" s="2329"/>
      <c r="G36" s="2329"/>
      <c r="H36" s="2329"/>
      <c r="I36" s="2329"/>
      <c r="J36" s="1064"/>
    </row>
    <row r="37" spans="1:10" ht="22.5" customHeight="1" x14ac:dyDescent="0.2">
      <c r="C37" s="2329"/>
      <c r="D37" s="2329"/>
      <c r="E37" s="2329"/>
      <c r="F37" s="2329"/>
      <c r="G37" s="2329"/>
      <c r="H37" s="2329"/>
      <c r="I37" s="2329"/>
      <c r="J37" s="1064"/>
    </row>
    <row r="38" spans="1:10" ht="7.5" customHeight="1" x14ac:dyDescent="0.2">
      <c r="C38" s="1063"/>
      <c r="D38" s="1065"/>
      <c r="E38" s="1066"/>
      <c r="F38" s="1067"/>
      <c r="G38" s="1066"/>
    </row>
    <row r="39" spans="1:10" ht="13.5" customHeight="1" x14ac:dyDescent="0.2">
      <c r="B39" s="1062"/>
      <c r="C39" s="2326" t="s">
        <v>937</v>
      </c>
      <c r="D39" s="2327"/>
      <c r="E39" s="2327"/>
      <c r="F39" s="2327"/>
      <c r="G39" s="2327"/>
      <c r="H39" s="2327"/>
      <c r="I39" s="232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A44" sqref="A44:H44"/>
    </sheetView>
  </sheetViews>
  <sheetFormatPr defaultColWidth="9.140625" defaultRowHeight="12.75" x14ac:dyDescent="0.2"/>
  <cols>
    <col min="1" max="1" width="3" style="329" customWidth="1"/>
    <col min="2" max="2" width="2.7109375" style="329" customWidth="1"/>
    <col min="3" max="3" width="64.5703125" style="329" customWidth="1"/>
    <col min="4" max="5" width="12.42578125" style="329" customWidth="1"/>
    <col min="6" max="16384" width="9.140625" style="329"/>
  </cols>
  <sheetData>
    <row r="2" spans="1:3" x14ac:dyDescent="0.2">
      <c r="A2" s="389" t="s">
        <v>276</v>
      </c>
    </row>
    <row r="3" spans="1:3" x14ac:dyDescent="0.2">
      <c r="A3" s="329" t="s">
        <v>277</v>
      </c>
    </row>
    <row r="5" spans="1:3" x14ac:dyDescent="0.2">
      <c r="A5" s="1069">
        <v>1</v>
      </c>
      <c r="C5" s="329" t="s">
        <v>2103</v>
      </c>
    </row>
    <row r="6" spans="1:3" x14ac:dyDescent="0.2">
      <c r="A6" s="1069">
        <v>2</v>
      </c>
      <c r="C6" s="329" t="s">
        <v>2115</v>
      </c>
    </row>
    <row r="7" spans="1:3" x14ac:dyDescent="0.2">
      <c r="A7" s="1069">
        <v>3</v>
      </c>
      <c r="C7" s="329" t="s">
        <v>2104</v>
      </c>
    </row>
    <row r="8" spans="1:3" x14ac:dyDescent="0.2">
      <c r="A8" s="1069">
        <v>4</v>
      </c>
      <c r="C8" s="329" t="s">
        <v>2105</v>
      </c>
    </row>
    <row r="9" spans="1:3" x14ac:dyDescent="0.2">
      <c r="A9" s="1070">
        <v>5</v>
      </c>
      <c r="C9" s="329" t="s">
        <v>2106</v>
      </c>
    </row>
    <row r="10" spans="1:3" x14ac:dyDescent="0.2">
      <c r="A10" s="1070"/>
      <c r="C10" s="329" t="s">
        <v>2107</v>
      </c>
    </row>
    <row r="11" spans="1:3" x14ac:dyDescent="0.2">
      <c r="A11" s="1070"/>
      <c r="C11" s="329" t="s">
        <v>2109</v>
      </c>
    </row>
    <row r="12" spans="1:3" x14ac:dyDescent="0.2">
      <c r="A12" s="1070"/>
      <c r="C12" s="329" t="s">
        <v>2108</v>
      </c>
    </row>
    <row r="13" spans="1:3" x14ac:dyDescent="0.2">
      <c r="A13" s="1070"/>
    </row>
    <row r="14" spans="1:3" x14ac:dyDescent="0.2">
      <c r="A14" s="1070" t="s">
        <v>2110</v>
      </c>
      <c r="C14" s="329" t="s">
        <v>2111</v>
      </c>
    </row>
    <row r="15" spans="1:3" x14ac:dyDescent="0.2">
      <c r="A15" s="1951">
        <v>7</v>
      </c>
      <c r="C15" s="329" t="s">
        <v>2116</v>
      </c>
    </row>
    <row r="16" spans="1:3" x14ac:dyDescent="0.2">
      <c r="A16" s="1951">
        <v>8</v>
      </c>
      <c r="C16" s="329" t="s">
        <v>2112</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Hartsburg Emden CUSD 21</v>
      </c>
    </row>
    <row r="65" spans="2:2" x14ac:dyDescent="0.2">
      <c r="B65" s="1071">
        <f>COVER!A13</f>
        <v>17054021026</v>
      </c>
    </row>
  </sheetData>
  <phoneticPr fontId="12"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9"/>
  <sheetViews>
    <sheetView showGridLines="0" defaultGridColor="0" colorId="8" zoomScale="110" zoomScaleNormal="110" workbookViewId="0">
      <selection activeCell="A44" sqref="A44:H4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4" right="0.2" top="1" bottom="1" header="0.5" footer="0.5"/>
  <pageSetup scale="86"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1" sqref="C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0" t="s">
        <v>1784</v>
      </c>
      <c r="B18" s="2350"/>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3076575</xdr:colOff>
                <xdr:row>0</xdr:row>
                <xdr:rowOff>0</xdr:rowOff>
              </from>
              <to>
                <xdr:col>2</xdr:col>
                <xdr:colOff>0</xdr:colOff>
                <xdr:row>4</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5"/>
      <c r="H2" s="1075"/>
    </row>
    <row r="3" spans="1:8" ht="57" customHeight="1" x14ac:dyDescent="0.2">
      <c r="A3" s="2364" t="s">
        <v>1786</v>
      </c>
      <c r="B3" s="2365"/>
      <c r="C3" s="2365"/>
      <c r="D3" s="2365"/>
      <c r="E3" s="2365"/>
      <c r="F3" s="2366"/>
      <c r="G3" s="1075"/>
      <c r="H3" s="1075"/>
    </row>
    <row r="4" spans="1:8" ht="14.25" customHeight="1" x14ac:dyDescent="0.2">
      <c r="A4" s="2370" t="s">
        <v>2052</v>
      </c>
      <c r="B4" s="2371"/>
      <c r="C4" s="2371"/>
      <c r="D4" s="2371"/>
      <c r="E4" s="2371"/>
      <c r="F4" s="2372"/>
      <c r="G4" s="1075"/>
      <c r="H4" s="1075"/>
    </row>
    <row r="5" spans="1:8" ht="14.25" customHeight="1" x14ac:dyDescent="0.2">
      <c r="A5" s="2373" t="s">
        <v>2053</v>
      </c>
      <c r="B5" s="2374"/>
      <c r="C5" s="2374"/>
      <c r="D5" s="2374"/>
      <c r="E5" s="2374"/>
      <c r="F5" s="2375"/>
      <c r="G5" s="1075"/>
      <c r="H5" s="1075"/>
    </row>
    <row r="6" spans="1:8" s="1076" customFormat="1" ht="41.25" customHeight="1" x14ac:dyDescent="0.2">
      <c r="A6" s="2367" t="s">
        <v>1792</v>
      </c>
      <c r="B6" s="2368"/>
      <c r="C6" s="2368"/>
      <c r="D6" s="2368"/>
      <c r="E6" s="2368"/>
      <c r="F6" s="2369"/>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2261163</v>
      </c>
      <c r="C8" s="1835">
        <f>'Acct Summary 7-8'!D8</f>
        <v>284843</v>
      </c>
      <c r="D8" s="1835">
        <f>'Acct Summary 7-8'!F8</f>
        <v>204148</v>
      </c>
      <c r="E8" s="1835">
        <f>'Acct Summary 7-8'!I8</f>
        <v>17341</v>
      </c>
      <c r="F8" s="1835">
        <f>SUM(B8:E8)</f>
        <v>2767495</v>
      </c>
    </row>
    <row r="9" spans="1:8" s="1080" customFormat="1" ht="14.25" customHeight="1" thickBot="1" x14ac:dyDescent="0.25">
      <c r="A9" s="1079" t="s">
        <v>1436</v>
      </c>
      <c r="B9" s="1836">
        <f>'Acct Summary 7-8'!C17</f>
        <v>2095341</v>
      </c>
      <c r="C9" s="1836">
        <f>'Acct Summary 7-8'!D17</f>
        <v>287986</v>
      </c>
      <c r="D9" s="1836">
        <f>'Acct Summary 7-8'!F17</f>
        <v>198493</v>
      </c>
      <c r="E9" s="1835"/>
      <c r="F9" s="1835">
        <f>SUM(B9:E9)</f>
        <v>2581820</v>
      </c>
    </row>
    <row r="10" spans="1:8" s="1080" customFormat="1" ht="14.25" thickTop="1" thickBot="1" x14ac:dyDescent="0.25">
      <c r="A10" s="1081" t="s">
        <v>1437</v>
      </c>
      <c r="B10" s="1837">
        <f>(B8-B9)</f>
        <v>165822</v>
      </c>
      <c r="C10" s="1837">
        <f>(C8-C9)</f>
        <v>-3143</v>
      </c>
      <c r="D10" s="1837">
        <f>(D8-D9)</f>
        <v>5655</v>
      </c>
      <c r="E10" s="1836">
        <f>(E8-E9)</f>
        <v>17341</v>
      </c>
      <c r="F10" s="1838">
        <f>SUM(F8-F9)</f>
        <v>185675</v>
      </c>
    </row>
    <row r="11" spans="1:8" s="1080" customFormat="1" ht="14.25" thickTop="1" thickBot="1" x14ac:dyDescent="0.25">
      <c r="A11" s="1082" t="s">
        <v>1785</v>
      </c>
      <c r="B11" s="1839">
        <f>'Acct Summary 7-8'!C81</f>
        <v>661642</v>
      </c>
      <c r="C11" s="1839">
        <f>'Acct Summary 7-8'!D81</f>
        <v>202220</v>
      </c>
      <c r="D11" s="1839">
        <f>'Acct Summary 7-8'!F81</f>
        <v>364803</v>
      </c>
      <c r="E11" s="1839">
        <f>'Acct Summary 7-8'!I81</f>
        <v>624788</v>
      </c>
      <c r="F11" s="1840">
        <f>SUM(B11:E11)</f>
        <v>1853453</v>
      </c>
    </row>
    <row r="12" spans="1:8" ht="16.5" customHeight="1" thickTop="1" x14ac:dyDescent="0.2">
      <c r="A12" s="1083"/>
      <c r="B12" s="1084"/>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5"/>
      <c r="B13" s="1086"/>
      <c r="C13" s="2355"/>
      <c r="D13" s="2356"/>
      <c r="E13" s="2356"/>
      <c r="F13" s="2357"/>
      <c r="H13" s="1075"/>
    </row>
    <row r="14" spans="1:8" ht="19.5" customHeight="1" x14ac:dyDescent="0.2">
      <c r="A14" s="1085"/>
      <c r="B14" s="1086"/>
      <c r="C14" s="2355"/>
      <c r="D14" s="2356"/>
      <c r="E14" s="2356"/>
      <c r="F14" s="2357"/>
      <c r="H14" s="1075"/>
    </row>
    <row r="15" spans="1:8" ht="17.25" customHeight="1" x14ac:dyDescent="0.2">
      <c r="A15" s="1085"/>
      <c r="B15" s="1086"/>
      <c r="C15" s="2358"/>
      <c r="D15" s="2359"/>
      <c r="E15" s="2359"/>
      <c r="F15" s="2360"/>
      <c r="H15" s="1075"/>
    </row>
    <row r="16" spans="1:8" s="310" customFormat="1" ht="51.75" hidden="1" customHeight="1" x14ac:dyDescent="0.2">
      <c r="A16" s="2354" t="s">
        <v>1787</v>
      </c>
      <c r="B16" s="2354"/>
      <c r="C16" s="2354"/>
      <c r="D16" s="2354"/>
      <c r="E16" s="2354"/>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69" sqref="D6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76" t="s">
        <v>686</v>
      </c>
      <c r="B3" s="2377"/>
      <c r="C3" s="2377"/>
      <c r="D3" s="2378"/>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7" t="s">
        <v>1584</v>
      </c>
      <c r="D7" s="2388"/>
    </row>
    <row r="8" spans="1:4" s="669" customFormat="1" ht="12.75" x14ac:dyDescent="0.2">
      <c r="A8" s="1139"/>
      <c r="B8" s="1094"/>
      <c r="C8" s="1097" t="s">
        <v>1583</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9" t="s">
        <v>1065</v>
      </c>
      <c r="B15" s="2380"/>
      <c r="C15" s="2380"/>
      <c r="D15" s="2381"/>
    </row>
    <row r="16" spans="1:4" s="669" customFormat="1" ht="24" customHeight="1" x14ac:dyDescent="0.2">
      <c r="A16" s="2382" t="s">
        <v>684</v>
      </c>
      <c r="B16" s="2383"/>
      <c r="C16" s="2383"/>
      <c r="D16" s="2384"/>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1" t="s">
        <v>332</v>
      </c>
      <c r="D21" s="2392"/>
    </row>
    <row r="22" spans="1:10" ht="12.75" x14ac:dyDescent="0.2">
      <c r="A22" s="1140"/>
      <c r="B22" s="1141">
        <v>2</v>
      </c>
      <c r="C22" s="2389" t="s">
        <v>1605</v>
      </c>
      <c r="D22" s="2390"/>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3" t="s">
        <v>557</v>
      </c>
      <c r="D43" s="2394"/>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5" t="s">
        <v>817</v>
      </c>
      <c r="D56" s="2386"/>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1079</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ERROR!</v>
      </c>
    </row>
    <row r="70" spans="1:4" x14ac:dyDescent="0.2">
      <c r="A70" s="1099"/>
      <c r="B70" s="1121">
        <f>B66+1</f>
        <v>9</v>
      </c>
      <c r="C70" s="2385" t="s">
        <v>1797</v>
      </c>
      <c r="D70" s="2386"/>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29'!D21&gt;0,"OK","PLEASE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17054021026</v>
      </c>
    </row>
    <row r="3" spans="1:2" x14ac:dyDescent="0.2">
      <c r="A3" t="s">
        <v>1013</v>
      </c>
      <c r="B3" s="138" t="str">
        <f>COVER!A15</f>
        <v>LOGAN</v>
      </c>
    </row>
    <row r="4" spans="1:2" x14ac:dyDescent="0.2">
      <c r="A4" t="s">
        <v>1064</v>
      </c>
      <c r="B4" s="138" t="str">
        <f>COVER!A17</f>
        <v>Hartsburg Emden CUSD 21</v>
      </c>
    </row>
    <row r="5" spans="1:2" x14ac:dyDescent="0.2">
      <c r="A5" t="s">
        <v>728</v>
      </c>
      <c r="B5" s="138" t="str">
        <f>COVER!A38</f>
        <v>TERRY WISNIEWSKI</v>
      </c>
    </row>
    <row r="6" spans="1:2" x14ac:dyDescent="0.2">
      <c r="A6" t="s">
        <v>733</v>
      </c>
      <c r="B6" s="138">
        <f>COVER!P35</f>
        <v>0</v>
      </c>
    </row>
    <row r="7" spans="1:2" x14ac:dyDescent="0.2">
      <c r="A7" t="s">
        <v>729</v>
      </c>
      <c r="B7" s="138">
        <f>COVER!I38</f>
        <v>0</v>
      </c>
    </row>
    <row r="8" spans="1:2" x14ac:dyDescent="0.2">
      <c r="A8" t="s">
        <v>730</v>
      </c>
      <c r="B8" s="138" t="str">
        <f>COVER!T38</f>
        <v>MARK JONTRY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066-005243</v>
      </c>
    </row>
    <row r="16" spans="1:2" x14ac:dyDescent="0.2">
      <c r="A16" t="s">
        <v>442</v>
      </c>
      <c r="B16" s="138" t="str">
        <f>COVER!T13</f>
        <v>J.M. ABBOTT &amp; ASSOCIATES, LTD.</v>
      </c>
    </row>
    <row r="17" spans="1:2" x14ac:dyDescent="0.2">
      <c r="A17" t="s">
        <v>939</v>
      </c>
      <c r="B17" s="138" t="str">
        <f>COVER!T15</f>
        <v>DEBRA CURRY</v>
      </c>
    </row>
    <row r="18" spans="1:2" x14ac:dyDescent="0.2">
      <c r="A18" t="s">
        <v>1212</v>
      </c>
      <c r="B18" s="138" t="str">
        <f>COVER!T17</f>
        <v>207 S. MCLEAN ST.</v>
      </c>
    </row>
    <row r="19" spans="1:2" x14ac:dyDescent="0.2">
      <c r="A19" t="s">
        <v>941</v>
      </c>
      <c r="B19" s="138" t="str">
        <f>COVER!T25</f>
        <v>DEB@JMABBOTT.COM</v>
      </c>
    </row>
    <row r="20" spans="1:2" x14ac:dyDescent="0.2">
      <c r="A20" t="s">
        <v>942</v>
      </c>
      <c r="B20" s="138" t="str">
        <f>COVER!T19</f>
        <v>LINCOLN</v>
      </c>
    </row>
    <row r="21" spans="1:2" x14ac:dyDescent="0.2">
      <c r="A21" t="s">
        <v>500</v>
      </c>
      <c r="B21" s="138" t="str">
        <f>COVER!X19</f>
        <v>IL</v>
      </c>
    </row>
    <row r="22" spans="1:2" x14ac:dyDescent="0.2">
      <c r="A22" t="s">
        <v>943</v>
      </c>
      <c r="B22" s="138">
        <f>COVER!Z19</f>
        <v>62656</v>
      </c>
    </row>
    <row r="23" spans="1:2" x14ac:dyDescent="0.2">
      <c r="A23" t="s">
        <v>1214</v>
      </c>
      <c r="B23" s="138" t="str">
        <f>COVER!T21</f>
        <v>217-735-1576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200199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661642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658328</v>
      </c>
      <c r="D92" s="2" t="str">
        <f t="shared" si="0"/>
        <v>Error?</v>
      </c>
    </row>
    <row r="93" spans="1:4" x14ac:dyDescent="0.2">
      <c r="A93" s="5">
        <v>32</v>
      </c>
      <c r="B93" s="138">
        <f>'Assets-Liab 5-6'!C41</f>
        <v>661642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202220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202220</v>
      </c>
      <c r="D123" s="2" t="str">
        <f t="shared" si="0"/>
        <v>Error?</v>
      </c>
    </row>
    <row r="124" spans="1:4" x14ac:dyDescent="0.2">
      <c r="A124" s="5">
        <v>63</v>
      </c>
      <c r="B124" s="138">
        <f>'Assets-Liab 5-6'!D41</f>
        <v>202220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364803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364803</v>
      </c>
      <c r="D170" s="2" t="str">
        <f t="shared" si="1"/>
        <v>Error?</v>
      </c>
    </row>
    <row r="171" spans="1:4" x14ac:dyDescent="0.2">
      <c r="A171" s="5">
        <v>110</v>
      </c>
      <c r="B171" s="138">
        <f>'Assets-Liab 5-6'!F41</f>
        <v>364803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101061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67664</v>
      </c>
      <c r="D189" s="2" t="str">
        <f t="shared" si="1"/>
        <v>Error?</v>
      </c>
    </row>
    <row r="190" spans="1:4" x14ac:dyDescent="0.2">
      <c r="A190" s="5">
        <v>129</v>
      </c>
      <c r="B190" s="138">
        <f>'Assets-Liab 5-6'!G41</f>
        <v>101061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421879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421879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10588</v>
      </c>
      <c r="D273" s="2" t="str">
        <f t="shared" si="3"/>
        <v>Error?</v>
      </c>
    </row>
    <row r="274" spans="1:4" x14ac:dyDescent="0.2">
      <c r="A274" s="5">
        <v>213</v>
      </c>
      <c r="B274" s="138">
        <f>'Assets-Liab 5-6'!M17</f>
        <v>2358933</v>
      </c>
      <c r="D274" s="2" t="str">
        <f t="shared" si="3"/>
        <v>Error?</v>
      </c>
    </row>
    <row r="275" spans="1:4" x14ac:dyDescent="0.2">
      <c r="A275" s="5">
        <v>214</v>
      </c>
      <c r="B275" s="138">
        <f>'Assets-Liab 5-6'!M18</f>
        <v>0</v>
      </c>
      <c r="D275" s="2" t="str">
        <f t="shared" si="3"/>
        <v>Error?</v>
      </c>
    </row>
    <row r="276" spans="1:4" x14ac:dyDescent="0.2">
      <c r="A276" s="5">
        <v>215</v>
      </c>
      <c r="B276" s="138">
        <f>'Assets-Liab 5-6'!M19</f>
        <v>1697623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4067144</v>
      </c>
      <c r="C279" s="2" t="s">
        <v>594</v>
      </c>
      <c r="D279" s="2" t="str">
        <f t="shared" si="3"/>
        <v>Error?</v>
      </c>
    </row>
    <row r="280" spans="1:4" x14ac:dyDescent="0.2">
      <c r="A280" s="5">
        <v>219</v>
      </c>
      <c r="B280" s="138">
        <f>'Assets-Liab 5-6'!M40</f>
        <v>4067144</v>
      </c>
      <c r="D280" s="2" t="str">
        <f t="shared" si="3"/>
        <v>Error?</v>
      </c>
    </row>
    <row r="281" spans="1:4" x14ac:dyDescent="0.2">
      <c r="A281" s="5">
        <v>220</v>
      </c>
      <c r="B281" s="138">
        <f>'Assets-Liab 5-6'!M41</f>
        <v>4067144</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208784</v>
      </c>
      <c r="D283" s="2" t="str">
        <f t="shared" si="3"/>
        <v>Error?</v>
      </c>
    </row>
    <row r="284" spans="1:4" x14ac:dyDescent="0.2">
      <c r="A284" s="5">
        <v>223</v>
      </c>
      <c r="B284" s="138">
        <f>'Assets-Liab 5-6'!N23</f>
        <v>208784</v>
      </c>
      <c r="C284" s="2" t="s">
        <v>594</v>
      </c>
      <c r="D284" s="2" t="str">
        <f t="shared" si="3"/>
        <v>Error?</v>
      </c>
    </row>
    <row r="285" spans="1:4" x14ac:dyDescent="0.2">
      <c r="A285" s="5">
        <v>224</v>
      </c>
      <c r="B285" s="138">
        <f>'Assets-Liab 5-6'!N36</f>
        <v>208784</v>
      </c>
      <c r="D285" s="2" t="str">
        <f t="shared" si="3"/>
        <v>Error?</v>
      </c>
    </row>
    <row r="286" spans="1:4" x14ac:dyDescent="0.2">
      <c r="A286" s="10">
        <v>225</v>
      </c>
      <c r="D286" s="2" t="str">
        <f t="shared" si="3"/>
        <v>OK</v>
      </c>
    </row>
    <row r="287" spans="1:4" x14ac:dyDescent="0.2">
      <c r="A287" s="5">
        <v>226</v>
      </c>
      <c r="B287" s="138">
        <f>'Assets-Liab 5-6'!N37</f>
        <v>208784</v>
      </c>
      <c r="C287" s="2" t="s">
        <v>594</v>
      </c>
      <c r="D287" s="2" t="str">
        <f t="shared" si="3"/>
        <v>Error?</v>
      </c>
    </row>
    <row r="288" spans="1:4" x14ac:dyDescent="0.2">
      <c r="A288" s="5">
        <v>227</v>
      </c>
      <c r="B288" s="138">
        <f>'Assets-Liab 5-6'!N41</f>
        <v>208784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2750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835941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46535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1004786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36962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36962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65584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65584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104725</v>
      </c>
      <c r="D733" s="2" t="str">
        <f t="shared" si="10"/>
        <v>Error?</v>
      </c>
    </row>
    <row r="734" spans="1:4" x14ac:dyDescent="0.2">
      <c r="A734" s="5">
        <v>673</v>
      </c>
      <c r="B734" s="138">
        <f>'Expenditures 15-22'!C53</f>
        <v>104725</v>
      </c>
      <c r="C734" s="2" t="s">
        <v>594</v>
      </c>
      <c r="D734" s="2" t="str">
        <f t="shared" si="10"/>
        <v>Error?</v>
      </c>
    </row>
    <row r="735" spans="1:4" x14ac:dyDescent="0.2">
      <c r="A735" s="5">
        <v>674</v>
      </c>
      <c r="B735" s="138">
        <f>'Expenditures 15-22'!C55</f>
        <v>114642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114642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40270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75869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116139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438052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1442838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197426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2622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226577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10263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10263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9447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9447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17695</v>
      </c>
      <c r="D791" s="2" t="str">
        <f t="shared" si="11"/>
        <v>Error?</v>
      </c>
    </row>
    <row r="792" spans="1:4" x14ac:dyDescent="0.2">
      <c r="A792" s="5">
        <v>731</v>
      </c>
      <c r="B792" s="138">
        <f>'Expenditures 15-22'!D53</f>
        <v>17695</v>
      </c>
      <c r="C792" s="2" t="s">
        <v>594</v>
      </c>
      <c r="D792" s="2" t="str">
        <f t="shared" si="11"/>
        <v>Error?</v>
      </c>
    </row>
    <row r="793" spans="1:4" x14ac:dyDescent="0.2">
      <c r="A793" s="5">
        <v>732</v>
      </c>
      <c r="B793" s="138">
        <f>'Expenditures 15-22'!D55</f>
        <v>15748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15748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1470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2779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4249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57402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283979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80029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10859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95019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15143</v>
      </c>
      <c r="D844" s="2" t="str">
        <f t="shared" si="12"/>
        <v>Error?</v>
      </c>
    </row>
    <row r="845" spans="1:4" x14ac:dyDescent="0.2">
      <c r="A845" s="5">
        <v>784</v>
      </c>
      <c r="B845" s="138">
        <f>'Expenditures 15-22'!E45</f>
        <v>878</v>
      </c>
      <c r="D845" s="2" t="str">
        <f t="shared" si="12"/>
        <v>Error?</v>
      </c>
    </row>
    <row r="846" spans="1:4" x14ac:dyDescent="0.2">
      <c r="A846" s="5">
        <v>785</v>
      </c>
      <c r="B846" s="138">
        <f>'Expenditures 15-22'!E46</f>
        <v>891</v>
      </c>
      <c r="D846" s="2" t="str">
        <f t="shared" si="12"/>
        <v>Error?</v>
      </c>
    </row>
    <row r="847" spans="1:4" x14ac:dyDescent="0.2">
      <c r="A847" s="5">
        <v>786</v>
      </c>
      <c r="B847" s="138">
        <f>'Expenditures 15-22'!E47</f>
        <v>16912</v>
      </c>
      <c r="C847" s="2" t="s">
        <v>594</v>
      </c>
      <c r="D847" s="2" t="str">
        <f t="shared" si="12"/>
        <v>Error?</v>
      </c>
    </row>
    <row r="848" spans="1:4" x14ac:dyDescent="0.2">
      <c r="A848" s="5">
        <v>787</v>
      </c>
      <c r="B848" s="138">
        <f>'Expenditures 15-22'!E49</f>
        <v>24517</v>
      </c>
      <c r="D848" s="2" t="str">
        <f t="shared" si="12"/>
        <v>Error?</v>
      </c>
    </row>
    <row r="849" spans="1:4" x14ac:dyDescent="0.2">
      <c r="A849" s="5">
        <v>788</v>
      </c>
      <c r="B849" s="138">
        <f>'Expenditures 15-22'!E50</f>
        <v>1732</v>
      </c>
      <c r="D849" s="2" t="str">
        <f t="shared" si="12"/>
        <v>Error?</v>
      </c>
    </row>
    <row r="850" spans="1:4" x14ac:dyDescent="0.2">
      <c r="A850" s="5">
        <v>789</v>
      </c>
      <c r="B850" s="138">
        <f>'Expenditures 15-22'!E53</f>
        <v>52167</v>
      </c>
      <c r="C850" s="2" t="s">
        <v>594</v>
      </c>
      <c r="D850" s="2" t="str">
        <f t="shared" si="12"/>
        <v>Error?</v>
      </c>
    </row>
    <row r="851" spans="1:4" x14ac:dyDescent="0.2">
      <c r="A851" s="5">
        <v>790</v>
      </c>
      <c r="B851" s="138">
        <f>'Expenditures 15-22'!E55</f>
        <v>778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778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1311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918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2229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72086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208609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36143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9216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52877</v>
      </c>
      <c r="C894" s="2" t="s">
        <v>594</v>
      </c>
      <c r="D894" s="2" t="str">
        <f t="shared" si="12"/>
        <v>Error?</v>
      </c>
    </row>
    <row r="895" spans="1:4" x14ac:dyDescent="0.2">
      <c r="A895" s="5">
        <v>834</v>
      </c>
      <c r="B895" s="138">
        <f>'Expenditures 15-22'!F36</f>
        <v>4106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4106</v>
      </c>
      <c r="C901" s="2" t="s">
        <v>594</v>
      </c>
      <c r="D901" s="2" t="str">
        <f t="shared" si="13"/>
        <v>Error?</v>
      </c>
    </row>
    <row r="902" spans="1:4" x14ac:dyDescent="0.2">
      <c r="A902" s="5">
        <v>841</v>
      </c>
      <c r="B902" s="138">
        <f>'Expenditures 15-22'!F44</f>
        <v>999</v>
      </c>
      <c r="D902" s="2" t="str">
        <f t="shared" si="13"/>
        <v>Error?</v>
      </c>
    </row>
    <row r="903" spans="1:4" x14ac:dyDescent="0.2">
      <c r="A903" s="5">
        <v>842</v>
      </c>
      <c r="B903" s="138">
        <f>'Expenditures 15-22'!F45</f>
        <v>3779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4778</v>
      </c>
      <c r="C905" s="2" t="s">
        <v>594</v>
      </c>
      <c r="D905" s="2" t="str">
        <f t="shared" si="13"/>
        <v>Error?</v>
      </c>
    </row>
    <row r="906" spans="1:4" x14ac:dyDescent="0.2">
      <c r="A906" s="5">
        <v>845</v>
      </c>
      <c r="B906" s="138">
        <f>'Expenditures 15-22'!F49</f>
        <v>1910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1910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316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58637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58953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317</v>
      </c>
      <c r="D928" s="2" t="str">
        <f t="shared" si="13"/>
        <v>Error?</v>
      </c>
    </row>
    <row r="929" spans="1:4" x14ac:dyDescent="0.2">
      <c r="A929" s="5">
        <v>868</v>
      </c>
      <c r="B929" s="138">
        <f>'Expenditures 15-22'!F74</f>
        <v>70064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122941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1120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2320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2320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4552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4552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30102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34654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1150659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73784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1386131</v>
      </c>
      <c r="C1108" s="2" t="s">
        <v>594</v>
      </c>
      <c r="D1108" s="2" t="str">
        <f t="shared" si="16"/>
        <v>Error?</v>
      </c>
    </row>
    <row r="1109" spans="1:4" x14ac:dyDescent="0.2">
      <c r="A1109" s="5">
        <v>1048</v>
      </c>
      <c r="B1109" s="138">
        <f>'Expenditures 15-22'!K36</f>
        <v>4106</v>
      </c>
      <c r="C1109" s="2" t="s">
        <v>594</v>
      </c>
      <c r="D1109" s="2" t="str">
        <f t="shared" si="16"/>
        <v>Error?</v>
      </c>
    </row>
    <row r="1110" spans="1:4" x14ac:dyDescent="0.2">
      <c r="A1110" s="5">
        <v>1049</v>
      </c>
      <c r="B1110" s="138">
        <f>'Expenditures 15-22'!K37</f>
        <v>47225</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51331</v>
      </c>
      <c r="C1115" s="2" t="s">
        <v>594</v>
      </c>
      <c r="D1115" s="2" t="str">
        <f t="shared" si="16"/>
        <v>Error?</v>
      </c>
    </row>
    <row r="1116" spans="1:4" x14ac:dyDescent="0.2">
      <c r="A1116" s="5">
        <v>1055</v>
      </c>
      <c r="B1116" s="138">
        <f>'Expenditures 15-22'!K44</f>
        <v>16142</v>
      </c>
      <c r="C1116" s="2" t="s">
        <v>594</v>
      </c>
      <c r="D1116" s="2" t="str">
        <f t="shared" si="16"/>
        <v>Error?</v>
      </c>
    </row>
    <row r="1117" spans="1:4" x14ac:dyDescent="0.2">
      <c r="A1117" s="5">
        <v>1056</v>
      </c>
      <c r="B1117" s="138">
        <f>'Expenditures 15-22'!K45</f>
        <v>79688</v>
      </c>
      <c r="C1117" s="2" t="s">
        <v>594</v>
      </c>
      <c r="D1117" s="2" t="str">
        <f t="shared" si="16"/>
        <v>Error?</v>
      </c>
    </row>
    <row r="1118" spans="1:4" x14ac:dyDescent="0.2">
      <c r="A1118" s="5">
        <v>1057</v>
      </c>
      <c r="B1118" s="138">
        <f>'Expenditures 15-22'!K46</f>
        <v>891</v>
      </c>
      <c r="C1118" s="2" t="s">
        <v>594</v>
      </c>
      <c r="D1118" s="2" t="str">
        <f t="shared" si="16"/>
        <v>Error?</v>
      </c>
    </row>
    <row r="1119" spans="1:4" x14ac:dyDescent="0.2">
      <c r="A1119" s="5">
        <v>1058</v>
      </c>
      <c r="B1119" s="138">
        <f>'Expenditures 15-22'!K47</f>
        <v>96721</v>
      </c>
      <c r="C1119" s="2" t="s">
        <v>594</v>
      </c>
      <c r="D1119" s="2" t="str">
        <f t="shared" si="16"/>
        <v>Error?</v>
      </c>
    </row>
    <row r="1120" spans="1:4" x14ac:dyDescent="0.2">
      <c r="A1120" s="5">
        <v>1059</v>
      </c>
      <c r="B1120" s="138">
        <f>'Expenditures 15-22'!K49</f>
        <v>26427</v>
      </c>
      <c r="C1120" s="2" t="s">
        <v>594</v>
      </c>
      <c r="D1120" s="2" t="str">
        <f t="shared" si="16"/>
        <v>Error?</v>
      </c>
    </row>
    <row r="1121" spans="1:4" x14ac:dyDescent="0.2">
      <c r="A1121" s="5">
        <v>1060</v>
      </c>
      <c r="B1121" s="138">
        <f>'Expenditures 15-22'!K50</f>
        <v>124152</v>
      </c>
      <c r="C1121" s="2" t="s">
        <v>594</v>
      </c>
      <c r="D1121" s="2" t="str">
        <f t="shared" si="16"/>
        <v>Error?</v>
      </c>
    </row>
    <row r="1122" spans="1:4" x14ac:dyDescent="0.2">
      <c r="A1122" s="5">
        <v>1061</v>
      </c>
      <c r="B1122" s="138">
        <f>'Expenditures 15-22'!K53</f>
        <v>176497</v>
      </c>
      <c r="C1122" s="2" t="s">
        <v>594</v>
      </c>
      <c r="D1122" s="2" t="str">
        <f t="shared" si="16"/>
        <v>Error?</v>
      </c>
    </row>
    <row r="1123" spans="1:4" x14ac:dyDescent="0.2">
      <c r="A1123" s="5">
        <v>1062</v>
      </c>
      <c r="B1123" s="138">
        <f>'Expenditures 15-22'!K55</f>
        <v>131168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131168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43367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138203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181570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317</v>
      </c>
      <c r="C1142" s="2" t="s">
        <v>594</v>
      </c>
      <c r="D1142" s="2" t="str">
        <f t="shared" si="16"/>
        <v>Error?</v>
      </c>
    </row>
    <row r="1143" spans="1:4" x14ac:dyDescent="0.2">
      <c r="A1143" s="5">
        <v>1082</v>
      </c>
      <c r="B1143" s="138">
        <f>'Expenditures 15-22'!K74</f>
        <v>637604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71606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2095341</v>
      </c>
      <c r="C1152" s="2" t="s">
        <v>594</v>
      </c>
      <c r="D1152" s="2" t="str">
        <f t="shared" si="17"/>
        <v>Error?</v>
      </c>
    </row>
    <row r="1153" spans="1:4" x14ac:dyDescent="0.2">
      <c r="A1153" s="5">
        <v>1092</v>
      </c>
      <c r="B1153" s="138">
        <f>'Expenditures 15-22'!K115</f>
        <v>165822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131750</v>
      </c>
      <c r="D1221" s="2" t="str">
        <f t="shared" si="18"/>
        <v>Error?</v>
      </c>
    </row>
    <row r="1222" spans="1:4" x14ac:dyDescent="0.2">
      <c r="A1222" s="10">
        <v>1161</v>
      </c>
      <c r="D1222" s="2" t="str">
        <f t="shared" si="18"/>
        <v>OK</v>
      </c>
    </row>
    <row r="1223" spans="1:4" x14ac:dyDescent="0.2">
      <c r="A1223" s="5">
        <v>1162</v>
      </c>
      <c r="B1223" s="138">
        <f>'Expenditures 15-22'!C127</f>
        <v>131750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131750</v>
      </c>
      <c r="C1225" s="2" t="s">
        <v>594</v>
      </c>
      <c r="D1225" s="2" t="str">
        <f t="shared" si="18"/>
        <v>Error?</v>
      </c>
    </row>
    <row r="1226" spans="1:4" x14ac:dyDescent="0.2">
      <c r="A1226" s="5">
        <v>1165</v>
      </c>
      <c r="B1226" s="138">
        <f>'Expenditures 15-22'!C151</f>
        <v>131750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3485</v>
      </c>
      <c r="D1229" s="2" t="str">
        <f t="shared" si="18"/>
        <v>Error?</v>
      </c>
    </row>
    <row r="1230" spans="1:4" x14ac:dyDescent="0.2">
      <c r="A1230" s="10">
        <v>1169</v>
      </c>
      <c r="D1230" s="2" t="str">
        <f t="shared" si="18"/>
        <v>OK</v>
      </c>
    </row>
    <row r="1231" spans="1:4" x14ac:dyDescent="0.2">
      <c r="A1231" s="5">
        <v>1170</v>
      </c>
      <c r="B1231" s="138">
        <f>'Expenditures 15-22'!D127</f>
        <v>3485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3485</v>
      </c>
      <c r="C1233" s="2" t="s">
        <v>594</v>
      </c>
      <c r="D1233" s="2" t="str">
        <f t="shared" si="18"/>
        <v>Error?</v>
      </c>
    </row>
    <row r="1234" spans="1:4" x14ac:dyDescent="0.2">
      <c r="A1234" s="5">
        <v>1173</v>
      </c>
      <c r="B1234" s="138">
        <f>'Expenditures 15-22'!D151</f>
        <v>3485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74819</v>
      </c>
      <c r="D1237" s="2" t="str">
        <f t="shared" si="18"/>
        <v>Error?</v>
      </c>
    </row>
    <row r="1238" spans="1:4" x14ac:dyDescent="0.2">
      <c r="A1238" s="10">
        <v>1177</v>
      </c>
      <c r="D1238" s="2" t="str">
        <f t="shared" si="18"/>
        <v>OK</v>
      </c>
    </row>
    <row r="1239" spans="1:4" x14ac:dyDescent="0.2">
      <c r="A1239" s="5">
        <v>1178</v>
      </c>
      <c r="B1239" s="138">
        <f>'Expenditures 15-22'!E127</f>
        <v>74819</v>
      </c>
      <c r="C1239" s="2" t="s">
        <v>594</v>
      </c>
      <c r="D1239" s="2" t="str">
        <f t="shared" si="18"/>
        <v>Error?</v>
      </c>
    </row>
    <row r="1240" spans="1:4" x14ac:dyDescent="0.2">
      <c r="A1240" s="5">
        <v>1179</v>
      </c>
      <c r="B1240" s="138">
        <f>'Expenditures 15-22'!E128</f>
        <v>31152</v>
      </c>
      <c r="D1240" s="2" t="str">
        <f t="shared" si="18"/>
        <v>Error?</v>
      </c>
    </row>
    <row r="1241" spans="1:4" x14ac:dyDescent="0.2">
      <c r="A1241" s="5">
        <v>1180</v>
      </c>
      <c r="B1241" s="138">
        <f>'Expenditures 15-22'!E129</f>
        <v>105971</v>
      </c>
      <c r="C1241" s="2" t="s">
        <v>594</v>
      </c>
      <c r="D1241" s="2" t="str">
        <f t="shared" si="18"/>
        <v>Error?</v>
      </c>
    </row>
    <row r="1242" spans="1:4" x14ac:dyDescent="0.2">
      <c r="A1242" s="5">
        <v>1181</v>
      </c>
      <c r="B1242" s="138">
        <f>'Expenditures 15-22'!E151</f>
        <v>105971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18821</v>
      </c>
      <c r="D1245" s="2" t="str">
        <f t="shared" si="18"/>
        <v>Error?</v>
      </c>
    </row>
    <row r="1246" spans="1:4" x14ac:dyDescent="0.2">
      <c r="A1246" s="10">
        <v>1185</v>
      </c>
      <c r="D1246" s="2" t="str">
        <f t="shared" si="18"/>
        <v>OK</v>
      </c>
    </row>
    <row r="1247" spans="1:4" x14ac:dyDescent="0.2">
      <c r="A1247" s="5">
        <v>1186</v>
      </c>
      <c r="B1247" s="138">
        <f>'Expenditures 15-22'!F127</f>
        <v>18821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18821</v>
      </c>
      <c r="C1249" s="2" t="s">
        <v>594</v>
      </c>
      <c r="D1249" s="2" t="str">
        <f t="shared" si="18"/>
        <v>Error?</v>
      </c>
    </row>
    <row r="1250" spans="1:4" x14ac:dyDescent="0.2">
      <c r="A1250" s="5">
        <v>1189</v>
      </c>
      <c r="B1250" s="138">
        <f>'Expenditures 15-22'!F151</f>
        <v>18821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27959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27959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27959</v>
      </c>
      <c r="C1258" s="2" t="s">
        <v>594</v>
      </c>
      <c r="D1258" s="2" t="str">
        <f t="shared" si="18"/>
        <v>Error?</v>
      </c>
    </row>
    <row r="1259" spans="1:4" x14ac:dyDescent="0.2">
      <c r="A1259" s="5">
        <v>1198</v>
      </c>
      <c r="B1259" s="138">
        <f>'Expenditures 15-22'!G151</f>
        <v>27959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256834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256834</v>
      </c>
      <c r="C1279" s="2" t="s">
        <v>594</v>
      </c>
      <c r="D1279" s="2" t="str">
        <f t="shared" ref="D1279:D1342" si="19">IF(ISBLANK(B1279),"OK",IF(A1279-B1279=0,"OK","Error?"))</f>
        <v>Error?</v>
      </c>
    </row>
    <row r="1280" spans="1:4" x14ac:dyDescent="0.2">
      <c r="A1280" s="5">
        <v>1219</v>
      </c>
      <c r="B1280" s="138">
        <f>'Expenditures 15-22'!K128</f>
        <v>31152</v>
      </c>
      <c r="C1280" s="2" t="s">
        <v>594</v>
      </c>
      <c r="D1280" s="2" t="str">
        <f t="shared" si="19"/>
        <v>Error?</v>
      </c>
    </row>
    <row r="1281" spans="1:4" x14ac:dyDescent="0.2">
      <c r="A1281" s="5">
        <v>1220</v>
      </c>
      <c r="B1281" s="138">
        <f>'Expenditures 15-22'!K129</f>
        <v>287986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287986</v>
      </c>
      <c r="C1288" s="2" t="s">
        <v>594</v>
      </c>
      <c r="D1288" s="2" t="str">
        <f t="shared" si="19"/>
        <v>Error?</v>
      </c>
    </row>
    <row r="1289" spans="1:4" x14ac:dyDescent="0.2">
      <c r="A1289" s="5">
        <v>1228</v>
      </c>
      <c r="B1289" s="138">
        <f>'Expenditures 15-22'!K152</f>
        <v>-3143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55841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55841</v>
      </c>
      <c r="C1339" s="2" t="s">
        <v>594</v>
      </c>
      <c r="D1339" s="2" t="str">
        <f t="shared" si="19"/>
        <v>Error?</v>
      </c>
    </row>
    <row r="1340" spans="1:4" x14ac:dyDescent="0.2">
      <c r="A1340" s="5">
        <v>1279</v>
      </c>
      <c r="B1340" s="138">
        <f>'Expenditures 15-22'!C210</f>
        <v>55841</v>
      </c>
      <c r="C1340" s="2" t="s">
        <v>594</v>
      </c>
      <c r="D1340" s="2" t="str">
        <f t="shared" si="19"/>
        <v>Error?</v>
      </c>
    </row>
    <row r="1341" spans="1:4" x14ac:dyDescent="0.2">
      <c r="A1341" s="5">
        <v>1280</v>
      </c>
      <c r="B1341" s="138">
        <f>'Expenditures 15-22'!D182</f>
        <v>901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901</v>
      </c>
      <c r="C1345" s="2" t="s">
        <v>594</v>
      </c>
      <c r="D1345" s="2" t="str">
        <f t="shared" si="20"/>
        <v>Error?</v>
      </c>
    </row>
    <row r="1346" spans="1:4" x14ac:dyDescent="0.2">
      <c r="A1346" s="5">
        <v>1285</v>
      </c>
      <c r="B1346" s="138">
        <f>'Expenditures 15-22'!D210</f>
        <v>901</v>
      </c>
      <c r="C1346" s="2" t="s">
        <v>594</v>
      </c>
      <c r="D1346" s="2" t="str">
        <f t="shared" si="20"/>
        <v>Error?</v>
      </c>
    </row>
    <row r="1347" spans="1:4" x14ac:dyDescent="0.2">
      <c r="A1347" s="5">
        <v>1286</v>
      </c>
      <c r="B1347" s="138">
        <f>'Expenditures 15-22'!E182</f>
        <v>8272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15733</v>
      </c>
      <c r="D1350" s="2" t="str">
        <f t="shared" si="20"/>
        <v>Error?</v>
      </c>
    </row>
    <row r="1351" spans="1:4" x14ac:dyDescent="0.2">
      <c r="A1351" s="5">
        <v>1290</v>
      </c>
      <c r="B1351" s="138">
        <f>'Expenditures 15-22'!E184</f>
        <v>24005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24005</v>
      </c>
      <c r="C1353" s="2" t="s">
        <v>594</v>
      </c>
      <c r="D1353" s="2" t="str">
        <f t="shared" si="20"/>
        <v>Error?</v>
      </c>
    </row>
    <row r="1354" spans="1:4" x14ac:dyDescent="0.2">
      <c r="A1354" s="5">
        <v>1293</v>
      </c>
      <c r="B1354" s="138">
        <f>'Expenditures 15-22'!F182</f>
        <v>24312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24312</v>
      </c>
      <c r="C1358" s="2" t="s">
        <v>594</v>
      </c>
      <c r="D1358" s="2" t="str">
        <f t="shared" si="20"/>
        <v>Error?</v>
      </c>
    </row>
    <row r="1359" spans="1:4" x14ac:dyDescent="0.2">
      <c r="A1359" s="5">
        <v>1298</v>
      </c>
      <c r="B1359" s="138">
        <f>'Expenditures 15-22'!F210</f>
        <v>24312</v>
      </c>
      <c r="C1359" s="2" t="s">
        <v>594</v>
      </c>
      <c r="D1359" s="2" t="str">
        <f t="shared" si="20"/>
        <v>Error?</v>
      </c>
    </row>
    <row r="1360" spans="1:4" x14ac:dyDescent="0.2">
      <c r="A1360" s="5">
        <v>1299</v>
      </c>
      <c r="B1360" s="138">
        <f>'Expenditures 15-22'!G182</f>
        <v>83979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83979</v>
      </c>
      <c r="C1364" s="2" t="s">
        <v>594</v>
      </c>
      <c r="D1364" s="2" t="str">
        <f t="shared" si="20"/>
        <v>Error?</v>
      </c>
    </row>
    <row r="1365" spans="1:4" x14ac:dyDescent="0.2">
      <c r="A1365" s="5">
        <v>1304</v>
      </c>
      <c r="B1365" s="138">
        <f>'Expenditures 15-22'!G210</f>
        <v>83979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9455</v>
      </c>
      <c r="C1375" s="2" t="s">
        <v>594</v>
      </c>
      <c r="D1375" s="2" t="str">
        <f t="shared" si="20"/>
        <v>Error?</v>
      </c>
    </row>
    <row r="1376" spans="1:4" x14ac:dyDescent="0.2">
      <c r="A1376" s="5">
        <v>1315</v>
      </c>
      <c r="B1376" s="138">
        <f>'Expenditures 15-22'!H210</f>
        <v>9455</v>
      </c>
      <c r="C1376" s="2" t="s">
        <v>594</v>
      </c>
      <c r="D1376" s="2" t="str">
        <f t="shared" si="20"/>
        <v>Error?</v>
      </c>
    </row>
    <row r="1377" spans="1:4" x14ac:dyDescent="0.2">
      <c r="A1377" s="5">
        <v>1316</v>
      </c>
      <c r="B1377" s="138">
        <f>'Expenditures 15-22'!K182</f>
        <v>173305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15733</v>
      </c>
      <c r="C1380" s="2" t="s">
        <v>594</v>
      </c>
      <c r="D1380" s="2" t="str">
        <f t="shared" si="20"/>
        <v>Error?</v>
      </c>
    </row>
    <row r="1381" spans="1:4" x14ac:dyDescent="0.2">
      <c r="A1381" s="5">
        <v>1320</v>
      </c>
      <c r="B1381" s="138">
        <f>'Expenditures 15-22'!K184</f>
        <v>189038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9455</v>
      </c>
      <c r="C1387" s="2" t="s">
        <v>594</v>
      </c>
      <c r="D1387" s="2" t="str">
        <f t="shared" si="20"/>
        <v>Error?</v>
      </c>
    </row>
    <row r="1388" spans="1:4" x14ac:dyDescent="0.2">
      <c r="A1388" s="5">
        <v>1327</v>
      </c>
      <c r="B1388" s="138">
        <f>'Expenditures 15-22'!K210</f>
        <v>198493</v>
      </c>
      <c r="C1388" s="2" t="s">
        <v>594</v>
      </c>
      <c r="D1388" s="2" t="str">
        <f t="shared" si="20"/>
        <v>Error?</v>
      </c>
    </row>
    <row r="1389" spans="1:4" x14ac:dyDescent="0.2">
      <c r="A1389" s="5">
        <v>1328</v>
      </c>
      <c r="B1389" s="138">
        <f>'Expenditures 15-22'!K211</f>
        <v>5655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2188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18535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530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530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951</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3130</v>
      </c>
      <c r="D1423" s="2" t="str">
        <f t="shared" si="21"/>
        <v>Error?</v>
      </c>
    </row>
    <row r="1424" spans="1:4" x14ac:dyDescent="0.2">
      <c r="A1424" s="5">
        <v>1363</v>
      </c>
      <c r="B1424" s="138">
        <f>'Expenditures 15-22'!D257</f>
        <v>3130</v>
      </c>
      <c r="C1424" s="2" t="s">
        <v>594</v>
      </c>
      <c r="D1424" s="2" t="str">
        <f t="shared" si="21"/>
        <v>Error?</v>
      </c>
    </row>
    <row r="1425" spans="1:4" x14ac:dyDescent="0.2">
      <c r="A1425" s="5">
        <v>1364</v>
      </c>
      <c r="B1425" s="138">
        <f>'Expenditures 15-22'!D259</f>
        <v>6401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6401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5319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17059</v>
      </c>
      <c r="D1431" s="2" t="str">
        <f t="shared" si="21"/>
        <v>Error?</v>
      </c>
    </row>
    <row r="1432" spans="1:4" x14ac:dyDescent="0.2">
      <c r="A1432" s="5">
        <v>1371</v>
      </c>
      <c r="B1432" s="138">
        <f>'Expenditures 15-22'!D267</f>
        <v>6424</v>
      </c>
      <c r="D1432" s="2" t="str">
        <f t="shared" si="21"/>
        <v>Error?</v>
      </c>
    </row>
    <row r="1433" spans="1:4" x14ac:dyDescent="0.2">
      <c r="A1433" s="5">
        <v>1372</v>
      </c>
      <c r="B1433" s="138">
        <f>'Expenditures 15-22'!D268</f>
        <v>9642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38444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49456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67991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2188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18535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530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530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951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951</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3130</v>
      </c>
      <c r="C1487" s="2" t="s">
        <v>594</v>
      </c>
      <c r="D1487" s="2" t="str">
        <f t="shared" si="22"/>
        <v>Error?</v>
      </c>
    </row>
    <row r="1488" spans="1:4" x14ac:dyDescent="0.2">
      <c r="A1488" s="5">
        <v>1427</v>
      </c>
      <c r="B1488" s="138">
        <f>'Expenditures 15-22'!K257</f>
        <v>3130</v>
      </c>
      <c r="C1488" s="2" t="s">
        <v>594</v>
      </c>
      <c r="D1488" s="2" t="str">
        <f t="shared" si="22"/>
        <v>Error?</v>
      </c>
    </row>
    <row r="1489" spans="1:4" x14ac:dyDescent="0.2">
      <c r="A1489" s="5">
        <v>1428</v>
      </c>
      <c r="B1489" s="138">
        <f>'Expenditures 15-22'!K259</f>
        <v>6401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6401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5319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17059</v>
      </c>
      <c r="C1495" s="2" t="s">
        <v>594</v>
      </c>
      <c r="D1495" s="2" t="str">
        <f t="shared" si="22"/>
        <v>Error?</v>
      </c>
    </row>
    <row r="1496" spans="1:4" x14ac:dyDescent="0.2">
      <c r="A1496" s="5">
        <v>1435</v>
      </c>
      <c r="B1496" s="138">
        <f>'Expenditures 15-22'!K267</f>
        <v>6424</v>
      </c>
      <c r="C1496" s="2" t="s">
        <v>594</v>
      </c>
      <c r="D1496" s="2" t="str">
        <f t="shared" si="22"/>
        <v>Error?</v>
      </c>
    </row>
    <row r="1497" spans="1:4" x14ac:dyDescent="0.2">
      <c r="A1497" s="5">
        <v>1436</v>
      </c>
      <c r="B1497" s="138">
        <f>'Expenditures 15-22'!K268</f>
        <v>9642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38444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49456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67991</v>
      </c>
      <c r="C1517" s="2" t="s">
        <v>594</v>
      </c>
      <c r="D1517" s="2" t="str">
        <f t="shared" si="22"/>
        <v>Error?</v>
      </c>
    </row>
    <row r="1518" spans="1:4" x14ac:dyDescent="0.2">
      <c r="A1518" s="5">
        <v>1457</v>
      </c>
      <c r="B1518" s="138">
        <f>'Expenditures 15-22'!K296</f>
        <v>21259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2942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2942</v>
      </c>
      <c r="C1535" s="2" t="s">
        <v>594</v>
      </c>
      <c r="D1535" s="2" t="str">
        <f t="shared" ref="D1535:D1598" si="23">IF(ISBLANK(B1535),"OK",IF(A1535-B1535=0,"OK","Error?"))</f>
        <v>Error?</v>
      </c>
    </row>
    <row r="1536" spans="1:4" x14ac:dyDescent="0.2">
      <c r="A1536" s="5">
        <v>1475</v>
      </c>
      <c r="B1536" s="138">
        <f>'Expenditures 15-22'!E312</f>
        <v>2942</v>
      </c>
      <c r="C1536" s="2" t="s">
        <v>594</v>
      </c>
      <c r="D1536" s="2" t="str">
        <f t="shared" si="23"/>
        <v>Error?</v>
      </c>
    </row>
    <row r="1537" spans="1:4" x14ac:dyDescent="0.2">
      <c r="A1537" s="5">
        <v>1476</v>
      </c>
      <c r="B1537" s="138">
        <f>'Expenditures 15-22'!F301</f>
        <v>845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845</v>
      </c>
      <c r="C1541" s="2" t="s">
        <v>594</v>
      </c>
      <c r="D1541" s="2" t="str">
        <f t="shared" si="23"/>
        <v>Error?</v>
      </c>
    </row>
    <row r="1542" spans="1:4" x14ac:dyDescent="0.2">
      <c r="A1542" s="5">
        <v>1481</v>
      </c>
      <c r="B1542" s="138">
        <f>'Expenditures 15-22'!F312</f>
        <v>845</v>
      </c>
      <c r="C1542" s="2" t="s">
        <v>594</v>
      </c>
      <c r="D1542" s="2" t="str">
        <f t="shared" si="23"/>
        <v>Error?</v>
      </c>
    </row>
    <row r="1543" spans="1:4" x14ac:dyDescent="0.2">
      <c r="A1543" s="5">
        <v>1482</v>
      </c>
      <c r="B1543" s="138">
        <f>'Expenditures 15-22'!G301</f>
        <v>20850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20850</v>
      </c>
      <c r="C1547" s="2" t="s">
        <v>594</v>
      </c>
      <c r="D1547" s="2" t="str">
        <f t="shared" si="23"/>
        <v>Error?</v>
      </c>
    </row>
    <row r="1548" spans="1:4" x14ac:dyDescent="0.2">
      <c r="A1548" s="5">
        <v>1487</v>
      </c>
      <c r="B1548" s="138">
        <f>'Expenditures 15-22'!G312</f>
        <v>20850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24637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24637</v>
      </c>
      <c r="C1559" s="2" t="s">
        <v>594</v>
      </c>
      <c r="D1559" s="2" t="str">
        <f t="shared" si="23"/>
        <v>Error?</v>
      </c>
    </row>
    <row r="1560" spans="1:4" x14ac:dyDescent="0.2">
      <c r="A1560" s="5">
        <v>1499</v>
      </c>
      <c r="B1560" s="138">
        <f>'Expenditures 15-22'!K312</f>
        <v>24637</v>
      </c>
      <c r="C1560" s="2" t="s">
        <v>594</v>
      </c>
      <c r="D1560" s="2" t="str">
        <f t="shared" si="23"/>
        <v>Error?</v>
      </c>
    </row>
    <row r="1561" spans="1:4" x14ac:dyDescent="0.2">
      <c r="A1561" s="5">
        <v>1500</v>
      </c>
      <c r="B1561" s="138">
        <f>'Expenditures 15-22'!K313</f>
        <v>67937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495820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661642</v>
      </c>
      <c r="C1630" s="2" t="s">
        <v>594</v>
      </c>
      <c r="D1630" s="2" t="str">
        <f t="shared" si="24"/>
        <v>Error?</v>
      </c>
    </row>
    <row r="1631" spans="1:4" x14ac:dyDescent="0.2">
      <c r="A1631" s="5">
        <v>1570</v>
      </c>
      <c r="B1631" s="138">
        <f>'Acct Summary 7-8'!D79</f>
        <v>202613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202220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356148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364803</v>
      </c>
      <c r="C1672" s="2" t="s">
        <v>594</v>
      </c>
      <c r="D1672" s="2" t="str">
        <f t="shared" si="25"/>
        <v>Error?</v>
      </c>
    </row>
    <row r="1673" spans="1:4" x14ac:dyDescent="0.2">
      <c r="A1673" s="5">
        <v>1612</v>
      </c>
      <c r="B1673" s="138">
        <f>'Acct Summary 7-8'!G79</f>
        <v>79802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101061</v>
      </c>
      <c r="C1686" s="2" t="s">
        <v>594</v>
      </c>
      <c r="D1686" s="2" t="str">
        <f t="shared" si="25"/>
        <v>Error?</v>
      </c>
    </row>
    <row r="1687" spans="1:4" x14ac:dyDescent="0.2">
      <c r="A1687" s="5">
        <v>1626</v>
      </c>
      <c r="B1687" s="138">
        <f>'Acct Summary 7-8'!H79</f>
        <v>353942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421879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1524672</v>
      </c>
      <c r="C1744" s="2" t="s">
        <v>594</v>
      </c>
      <c r="D1744" s="2" t="str">
        <f t="shared" si="26"/>
        <v>Error?</v>
      </c>
    </row>
    <row r="1745" spans="1:5" x14ac:dyDescent="0.2">
      <c r="A1745" s="5">
        <v>1684</v>
      </c>
      <c r="B1745" s="138">
        <f>'Tax Sched 23'!B5</f>
        <v>259243</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145817</v>
      </c>
      <c r="C1747" s="2" t="s">
        <v>594</v>
      </c>
      <c r="D1747" s="2" t="str">
        <f t="shared" si="26"/>
        <v>Error?</v>
      </c>
    </row>
    <row r="1748" spans="1:5" x14ac:dyDescent="0.2">
      <c r="A1748" s="5">
        <v>1687</v>
      </c>
      <c r="B1748" s="138">
        <f>'Tax Sched 23'!B8</f>
        <v>38570</v>
      </c>
      <c r="C1748" s="2" t="s">
        <v>594</v>
      </c>
      <c r="D1748" s="2" t="str">
        <f t="shared" si="26"/>
        <v>Error?</v>
      </c>
    </row>
    <row r="1749" spans="1:5" x14ac:dyDescent="0.2">
      <c r="A1749" s="5">
        <v>1688</v>
      </c>
      <c r="B1749" s="138">
        <f>'Tax Sched 23'!B10</f>
        <v>14591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6554</v>
      </c>
      <c r="C1753" s="2" t="s">
        <v>594</v>
      </c>
      <c r="D1753" s="2" t="str">
        <f t="shared" si="26"/>
        <v>Error?</v>
      </c>
    </row>
    <row r="1754" spans="1:5" x14ac:dyDescent="0.2">
      <c r="A1754" s="5">
        <v>1693</v>
      </c>
      <c r="B1754" s="138">
        <f>'Tax Sched 23'!B14</f>
        <v>30211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2078911</v>
      </c>
      <c r="C1759" s="2" t="s">
        <v>594</v>
      </c>
      <c r="D1759" s="2" t="str">
        <f t="shared" si="26"/>
        <v>Error?</v>
      </c>
    </row>
    <row r="1760" spans="1:5" x14ac:dyDescent="0.2">
      <c r="A1760" s="5">
        <v>1699</v>
      </c>
      <c r="B1760" s="138">
        <f>'Tax Sched 23'!D4</f>
        <v>1524672</v>
      </c>
      <c r="C1760" s="2" t="s">
        <v>594</v>
      </c>
      <c r="D1760" s="2" t="str">
        <f t="shared" si="26"/>
        <v>Error?</v>
      </c>
    </row>
    <row r="1761" spans="1:5" x14ac:dyDescent="0.2">
      <c r="A1761" s="5">
        <v>1700</v>
      </c>
      <c r="B1761" s="138">
        <f>'Tax Sched 23'!D5</f>
        <v>259243</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145817</v>
      </c>
      <c r="C1763" s="2" t="s">
        <v>594</v>
      </c>
      <c r="D1763" s="2" t="str">
        <f t="shared" si="26"/>
        <v>Error?</v>
      </c>
    </row>
    <row r="1764" spans="1:5" x14ac:dyDescent="0.2">
      <c r="A1764" s="5">
        <v>1703</v>
      </c>
      <c r="B1764" s="138">
        <f>'Tax Sched 23'!D8</f>
        <v>38570</v>
      </c>
      <c r="C1764" s="2" t="s">
        <v>594</v>
      </c>
      <c r="D1764" s="2" t="str">
        <f t="shared" si="26"/>
        <v>Error?</v>
      </c>
    </row>
    <row r="1765" spans="1:5" x14ac:dyDescent="0.2">
      <c r="A1765" s="5">
        <v>1704</v>
      </c>
      <c r="B1765" s="138">
        <f>'Tax Sched 23'!D10</f>
        <v>14591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6554</v>
      </c>
      <c r="C1769" s="2" t="s">
        <v>594</v>
      </c>
      <c r="D1769" s="2" t="str">
        <f t="shared" si="26"/>
        <v>Error?</v>
      </c>
    </row>
    <row r="1770" spans="1:5" x14ac:dyDescent="0.2">
      <c r="A1770" s="5">
        <v>1709</v>
      </c>
      <c r="B1770" s="138">
        <f>'Tax Sched 23'!D14</f>
        <v>30211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2078911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1579945</v>
      </c>
      <c r="C1792" s="2" t="s">
        <v>594</v>
      </c>
      <c r="D1792" s="2" t="str">
        <f t="shared" si="27"/>
        <v>Error?</v>
      </c>
    </row>
    <row r="1793" spans="1:4" x14ac:dyDescent="0.2">
      <c r="A1793" s="5">
        <v>1732</v>
      </c>
      <c r="B1793" s="138">
        <f>'Tax Sched 23'!F5</f>
        <v>260486</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146012</v>
      </c>
      <c r="C1795" s="2" t="s">
        <v>594</v>
      </c>
      <c r="D1795" s="2" t="str">
        <f t="shared" si="27"/>
        <v>Error?</v>
      </c>
    </row>
    <row r="1796" spans="1:4" x14ac:dyDescent="0.2">
      <c r="A1796" s="5">
        <v>1735</v>
      </c>
      <c r="B1796" s="138">
        <f>'Tax Sched 23'!F8</f>
        <v>38614</v>
      </c>
      <c r="C1796" s="2" t="s">
        <v>594</v>
      </c>
      <c r="D1796" s="2" t="str">
        <f t="shared" si="27"/>
        <v>Error?</v>
      </c>
    </row>
    <row r="1797" spans="1:4" x14ac:dyDescent="0.2">
      <c r="A1797" s="5">
        <v>1736</v>
      </c>
      <c r="B1797" s="138">
        <f>'Tax Sched 23'!F10</f>
        <v>14177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5871</v>
      </c>
      <c r="C1801" s="2" t="s">
        <v>594</v>
      </c>
      <c r="D1801" s="2" t="str">
        <f t="shared" si="27"/>
        <v>Error?</v>
      </c>
    </row>
    <row r="1802" spans="1:4" x14ac:dyDescent="0.2">
      <c r="A1802" s="5">
        <v>1741</v>
      </c>
      <c r="B1802" s="138">
        <f>'Tax Sched 23'!F14</f>
        <v>30243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2134673</v>
      </c>
      <c r="C1807" s="2" t="s">
        <v>594</v>
      </c>
      <c r="D1807" s="2" t="str">
        <f t="shared" si="27"/>
        <v>Error?</v>
      </c>
    </row>
    <row r="1808" spans="1:4" x14ac:dyDescent="0.2">
      <c r="A1808" s="5">
        <v>1747</v>
      </c>
      <c r="B1808" s="138">
        <f>'Tax Sched 23'!E4</f>
        <v>1579945</v>
      </c>
      <c r="D1808" s="2" t="str">
        <f t="shared" si="27"/>
        <v>Error?</v>
      </c>
    </row>
    <row r="1809" spans="1:4" x14ac:dyDescent="0.2">
      <c r="A1809" s="5">
        <v>1748</v>
      </c>
      <c r="B1809" s="138">
        <f>'Tax Sched 23'!E5</f>
        <v>260486</v>
      </c>
      <c r="D1809" s="2" t="str">
        <f t="shared" si="27"/>
        <v>Error?</v>
      </c>
    </row>
    <row r="1810" spans="1:4" x14ac:dyDescent="0.2">
      <c r="A1810" s="5">
        <v>1749</v>
      </c>
      <c r="B1810" s="138">
        <f>'Tax Sched 23'!E6</f>
        <v>0</v>
      </c>
      <c r="D1810" s="2" t="str">
        <f t="shared" si="27"/>
        <v>Error?</v>
      </c>
    </row>
    <row r="1811" spans="1:4" x14ac:dyDescent="0.2">
      <c r="A1811" s="5">
        <v>1750</v>
      </c>
      <c r="B1811" s="138">
        <f>'Tax Sched 23'!E7</f>
        <v>146012</v>
      </c>
      <c r="D1811" s="2" t="str">
        <f t="shared" si="27"/>
        <v>Error?</v>
      </c>
    </row>
    <row r="1812" spans="1:4" x14ac:dyDescent="0.2">
      <c r="A1812" s="5">
        <v>1751</v>
      </c>
      <c r="B1812" s="138">
        <f>'Tax Sched 23'!E8</f>
        <v>38614</v>
      </c>
      <c r="D1812" s="2" t="str">
        <f t="shared" si="27"/>
        <v>Error?</v>
      </c>
    </row>
    <row r="1813" spans="1:4" x14ac:dyDescent="0.2">
      <c r="A1813" s="5">
        <v>1752</v>
      </c>
      <c r="B1813" s="138">
        <f>'Tax Sched 23'!E10</f>
        <v>14177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5871</v>
      </c>
      <c r="D1817" s="2" t="str">
        <f t="shared" si="27"/>
        <v>Error?</v>
      </c>
    </row>
    <row r="1818" spans="1:4" x14ac:dyDescent="0.2">
      <c r="A1818" s="5">
        <v>1757</v>
      </c>
      <c r="B1818" s="138">
        <f>'Tax Sched 23'!E14</f>
        <v>30243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2134673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254263</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29230</v>
      </c>
      <c r="D1971" s="2" t="str">
        <f t="shared" si="29"/>
        <v>Error?</v>
      </c>
    </row>
    <row r="1972" spans="1:5" x14ac:dyDescent="0.2">
      <c r="A1972" s="5">
        <v>1911</v>
      </c>
      <c r="B1972" s="138">
        <f>'Rest Tax Levies-Tort Im 25'!H5</f>
        <v>30211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30211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59441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10588</v>
      </c>
      <c r="D2008" s="2" t="str">
        <f t="shared" si="30"/>
        <v>Error?</v>
      </c>
    </row>
    <row r="2009" spans="1:4" x14ac:dyDescent="0.2">
      <c r="A2009" s="5">
        <v>1948</v>
      </c>
      <c r="B2009" s="138">
        <f>'Cap Outlay Deprec 26'!C8</f>
        <v>2358933</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1062000</v>
      </c>
      <c r="D2011" s="2" t="str">
        <f t="shared" si="30"/>
        <v>Error?</v>
      </c>
    </row>
    <row r="2012" spans="1:4" x14ac:dyDescent="0.2">
      <c r="A2012" s="5">
        <v>1951</v>
      </c>
      <c r="B2012" s="138">
        <f>'Cap Outlay Deprec 26'!C13</f>
        <v>500515</v>
      </c>
      <c r="D2012" s="2" t="str">
        <f t="shared" si="30"/>
        <v>Error?</v>
      </c>
    </row>
    <row r="2013" spans="1:4" x14ac:dyDescent="0.2">
      <c r="A2013" s="5">
        <v>1952</v>
      </c>
      <c r="B2013" s="138">
        <f>'Cap Outlay Deprec 26'!C16</f>
        <v>3932036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49929</v>
      </c>
      <c r="D2017" s="2" t="str">
        <f t="shared" si="30"/>
        <v>Error?</v>
      </c>
    </row>
    <row r="2018" spans="1:4" x14ac:dyDescent="0.2">
      <c r="A2018" s="5">
        <v>1957</v>
      </c>
      <c r="B2018" s="138">
        <f>'Cap Outlay Deprec 26'!D13</f>
        <v>85179</v>
      </c>
      <c r="D2018" s="2" t="str">
        <f t="shared" si="30"/>
        <v>Error?</v>
      </c>
    </row>
    <row r="2019" spans="1:4" x14ac:dyDescent="0.2">
      <c r="A2019" s="5">
        <v>1958</v>
      </c>
      <c r="B2019" s="138">
        <f>'Cap Outlay Deprec 26'!D16</f>
        <v>135108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10588</v>
      </c>
      <c r="C2026" s="2" t="s">
        <v>594</v>
      </c>
      <c r="D2026" s="2" t="str">
        <f t="shared" si="30"/>
        <v>Error?</v>
      </c>
    </row>
    <row r="2027" spans="1:4" x14ac:dyDescent="0.2">
      <c r="A2027" s="5">
        <v>1966</v>
      </c>
      <c r="B2027" s="138">
        <f>'Cap Outlay Deprec 26'!F8</f>
        <v>2358933</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1111929</v>
      </c>
      <c r="C2029" s="2" t="s">
        <v>594</v>
      </c>
      <c r="D2029" s="2" t="str">
        <f t="shared" si="30"/>
        <v>Error?</v>
      </c>
    </row>
    <row r="2030" spans="1:4" x14ac:dyDescent="0.2">
      <c r="A2030" s="5">
        <v>1969</v>
      </c>
      <c r="B2030" s="138">
        <f>'Cap Outlay Deprec 26'!F13</f>
        <v>585694</v>
      </c>
      <c r="C2030" s="2" t="s">
        <v>594</v>
      </c>
      <c r="D2030" s="2" t="str">
        <f t="shared" si="30"/>
        <v>Error?</v>
      </c>
    </row>
    <row r="2031" spans="1:4" x14ac:dyDescent="0.2">
      <c r="A2031" s="5">
        <v>1970</v>
      </c>
      <c r="B2031" s="138">
        <f>'Cap Outlay Deprec 26'!F16</f>
        <v>4067144</v>
      </c>
      <c r="C2031" s="2" t="s">
        <v>594</v>
      </c>
      <c r="D2031" s="2" t="str">
        <f t="shared" si="30"/>
        <v>Error?</v>
      </c>
    </row>
    <row r="2032" spans="1:4" x14ac:dyDescent="0.2">
      <c r="A2032" s="10">
        <v>1971</v>
      </c>
      <c r="D2032" s="2" t="str">
        <f t="shared" si="30"/>
        <v>OK</v>
      </c>
    </row>
    <row r="2033" spans="1:4" x14ac:dyDescent="0.2">
      <c r="A2033" s="5">
        <v>1972</v>
      </c>
      <c r="B2033" s="138">
        <f>'Cap Outlay Deprec 26'!H8</f>
        <v>1568232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916477</v>
      </c>
      <c r="D2035" s="2" t="str">
        <f t="shared" si="30"/>
        <v>Error?</v>
      </c>
    </row>
    <row r="2036" spans="1:4" x14ac:dyDescent="0.2">
      <c r="A2036" s="5">
        <v>1975</v>
      </c>
      <c r="B2036" s="138">
        <f>'Cap Outlay Deprec 26'!H13</f>
        <v>416942</v>
      </c>
      <c r="D2036" s="2" t="str">
        <f t="shared" si="30"/>
        <v>Error?</v>
      </c>
    </row>
    <row r="2037" spans="1:4" x14ac:dyDescent="0.2">
      <c r="A2037" s="5">
        <v>1976</v>
      </c>
      <c r="B2037" s="138">
        <f>'Cap Outlay Deprec 26'!H16</f>
        <v>2901651</v>
      </c>
      <c r="C2037" s="2" t="s">
        <v>594</v>
      </c>
      <c r="D2037" s="2" t="str">
        <f t="shared" si="30"/>
        <v>Error?</v>
      </c>
    </row>
    <row r="2038" spans="1:4" x14ac:dyDescent="0.2">
      <c r="A2038" s="10">
        <v>1977</v>
      </c>
      <c r="D2038" s="2" t="str">
        <f t="shared" si="30"/>
        <v>OK</v>
      </c>
    </row>
    <row r="2039" spans="1:4" x14ac:dyDescent="0.2">
      <c r="A2039" s="5">
        <v>1978</v>
      </c>
      <c r="B2039" s="138">
        <f>'Cap Outlay Deprec 26'!I8</f>
        <v>34459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33514</v>
      </c>
      <c r="D2041" s="2" t="str">
        <f t="shared" si="30"/>
        <v>Error?</v>
      </c>
    </row>
    <row r="2042" spans="1:4" x14ac:dyDescent="0.2">
      <c r="A2042" s="5">
        <v>1981</v>
      </c>
      <c r="B2042" s="138">
        <f>'Cap Outlay Deprec 26'!I13</f>
        <v>38220</v>
      </c>
      <c r="D2042" s="2" t="str">
        <f t="shared" si="30"/>
        <v>Error?</v>
      </c>
    </row>
    <row r="2043" spans="1:4" x14ac:dyDescent="0.2">
      <c r="A2043" s="5">
        <v>1982</v>
      </c>
      <c r="B2043" s="138">
        <f>'Cap Outlay Deprec 26'!I16</f>
        <v>106193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1602691</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949991</v>
      </c>
      <c r="C2053" s="2" t="s">
        <v>594</v>
      </c>
      <c r="D2053" s="2" t="str">
        <f t="shared" si="31"/>
        <v>Error?</v>
      </c>
    </row>
    <row r="2054" spans="1:4" x14ac:dyDescent="0.2">
      <c r="A2054" s="5">
        <v>1993</v>
      </c>
      <c r="B2054" s="138">
        <f>'Cap Outlay Deprec 26'!K13</f>
        <v>455162</v>
      </c>
      <c r="C2054" s="2" t="s">
        <v>594</v>
      </c>
      <c r="D2054" s="2" t="str">
        <f t="shared" si="31"/>
        <v>Error?</v>
      </c>
    </row>
    <row r="2055" spans="1:4" x14ac:dyDescent="0.2">
      <c r="A2055" s="5">
        <v>1994</v>
      </c>
      <c r="B2055" s="138">
        <f>'Cap Outlay Deprec 26'!K16</f>
        <v>3007844</v>
      </c>
      <c r="C2055" s="2" t="s">
        <v>594</v>
      </c>
      <c r="D2055" s="2" t="str">
        <f t="shared" si="31"/>
        <v>Error?</v>
      </c>
    </row>
    <row r="2056" spans="1:4" x14ac:dyDescent="0.2">
      <c r="A2056" s="5">
        <v>1995</v>
      </c>
      <c r="B2056" s="138">
        <f>'Cap Outlay Deprec 26'!L5</f>
        <v>10588</v>
      </c>
      <c r="C2056" s="2" t="s">
        <v>594</v>
      </c>
      <c r="D2056" s="2" t="str">
        <f t="shared" si="31"/>
        <v>Error?</v>
      </c>
    </row>
    <row r="2057" spans="1:4" x14ac:dyDescent="0.2">
      <c r="A2057" s="5">
        <v>1996</v>
      </c>
      <c r="B2057" s="138">
        <f>'Cap Outlay Deprec 26'!L8</f>
        <v>756242</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161938</v>
      </c>
      <c r="C2059" s="2" t="s">
        <v>594</v>
      </c>
      <c r="D2059" s="2" t="str">
        <f t="shared" si="31"/>
        <v>Error?</v>
      </c>
    </row>
    <row r="2060" spans="1:4" x14ac:dyDescent="0.2">
      <c r="A2060" s="5">
        <v>1999</v>
      </c>
      <c r="B2060" s="138">
        <f>'Cap Outlay Deprec 26'!L13</f>
        <v>130532</v>
      </c>
      <c r="C2060" s="2" t="s">
        <v>594</v>
      </c>
      <c r="D2060" s="2" t="str">
        <f t="shared" si="31"/>
        <v>Error?</v>
      </c>
    </row>
    <row r="2061" spans="1:4" x14ac:dyDescent="0.2">
      <c r="A2061" s="5">
        <v>2000</v>
      </c>
      <c r="B2061" s="138">
        <f>'Cap Outlay Deprec 26'!L16</f>
        <v>1059300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1500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43004</v>
      </c>
      <c r="C2088" s="2" t="s">
        <v>594</v>
      </c>
      <c r="D2088" s="2" t="str">
        <f t="shared" si="31"/>
        <v>Error?</v>
      </c>
    </row>
    <row r="2089" spans="1:4" x14ac:dyDescent="0.2">
      <c r="A2089" s="5">
        <v>2028</v>
      </c>
      <c r="B2089" s="138">
        <f>'Expenditures 15-22'!K92</f>
        <v>28602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2750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3314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33397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421879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1735741</v>
      </c>
      <c r="C2551" s="2" t="s">
        <v>594</v>
      </c>
      <c r="D2551" s="2" t="str">
        <f t="shared" si="38"/>
        <v>Error?</v>
      </c>
    </row>
    <row r="2552" spans="1:4" x14ac:dyDescent="0.2">
      <c r="A2552" s="10">
        <v>2491</v>
      </c>
      <c r="D2552" s="2" t="str">
        <f t="shared" si="38"/>
        <v>OK</v>
      </c>
    </row>
    <row r="2553" spans="1:4" x14ac:dyDescent="0.2">
      <c r="A2553" s="5">
        <v>2492</v>
      </c>
      <c r="B2553" s="138">
        <f>'Acct Summary 7-8'!C6</f>
        <v>358926</v>
      </c>
      <c r="C2553" s="2" t="s">
        <v>594</v>
      </c>
      <c r="D2553" s="2" t="str">
        <f t="shared" si="38"/>
        <v>Error?</v>
      </c>
    </row>
    <row r="2554" spans="1:4" x14ac:dyDescent="0.2">
      <c r="A2554" s="5">
        <v>2493</v>
      </c>
      <c r="B2554" s="138">
        <f>'Acct Summary 7-8'!C7</f>
        <v>166496</v>
      </c>
      <c r="C2554" s="2" t="s">
        <v>594</v>
      </c>
      <c r="D2554" s="2" t="str">
        <f t="shared" si="38"/>
        <v>Error?</v>
      </c>
    </row>
    <row r="2555" spans="1:4" x14ac:dyDescent="0.2">
      <c r="A2555" s="5">
        <v>2494</v>
      </c>
      <c r="B2555" s="138">
        <f>'Acct Summary 7-8'!C8</f>
        <v>2261163</v>
      </c>
      <c r="C2555" s="2" t="s">
        <v>594</v>
      </c>
      <c r="D2555" s="2" t="str">
        <f t="shared" si="38"/>
        <v>Error?</v>
      </c>
    </row>
    <row r="2556" spans="1:4" x14ac:dyDescent="0.2">
      <c r="A2556" s="5">
        <v>2495</v>
      </c>
      <c r="B2556" s="138">
        <f>'Acct Summary 7-8'!C12</f>
        <v>1386131</v>
      </c>
      <c r="C2556" s="2" t="s">
        <v>594</v>
      </c>
      <c r="D2556" s="2" t="str">
        <f t="shared" si="38"/>
        <v>Error?</v>
      </c>
    </row>
    <row r="2557" spans="1:4" x14ac:dyDescent="0.2">
      <c r="A2557" s="5">
        <v>2496</v>
      </c>
      <c r="B2557" s="138">
        <f>'Acct Summary 7-8'!C13</f>
        <v>637604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71606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2095341</v>
      </c>
      <c r="C2561" s="2" t="s">
        <v>594</v>
      </c>
      <c r="D2561" s="2" t="str">
        <f t="shared" si="39"/>
        <v>Error?</v>
      </c>
    </row>
    <row r="2562" spans="1:4" x14ac:dyDescent="0.2">
      <c r="A2562" s="5">
        <v>2501</v>
      </c>
      <c r="B2562" s="138">
        <f>'Acct Summary 7-8'!C20</f>
        <v>165822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284843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284843</v>
      </c>
      <c r="C2568" s="2" t="s">
        <v>594</v>
      </c>
      <c r="D2568" s="2" t="str">
        <f t="shared" si="39"/>
        <v>Error?</v>
      </c>
    </row>
    <row r="2569" spans="1:4" x14ac:dyDescent="0.2">
      <c r="A2569" s="5">
        <v>2508</v>
      </c>
      <c r="B2569" s="138">
        <f>'Acct Summary 7-8'!D13</f>
        <v>287986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287986</v>
      </c>
      <c r="C2573" s="2" t="s">
        <v>594</v>
      </c>
      <c r="D2573" s="2" t="str">
        <f t="shared" si="39"/>
        <v>Error?</v>
      </c>
    </row>
    <row r="2574" spans="1:4" x14ac:dyDescent="0.2">
      <c r="A2574" s="5">
        <v>2513</v>
      </c>
      <c r="B2574" s="138">
        <f>'Acct Summary 7-8'!D20</f>
        <v>-3143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147243</v>
      </c>
      <c r="C2591" s="2" t="s">
        <v>594</v>
      </c>
      <c r="D2591" s="2" t="str">
        <f t="shared" si="39"/>
        <v>Error?</v>
      </c>
    </row>
    <row r="2592" spans="1:4" x14ac:dyDescent="0.2">
      <c r="A2592" s="10">
        <v>2531</v>
      </c>
      <c r="D2592" s="2" t="str">
        <f t="shared" si="39"/>
        <v>OK</v>
      </c>
    </row>
    <row r="2593" spans="1:4" x14ac:dyDescent="0.2">
      <c r="A2593" s="5">
        <v>2532</v>
      </c>
      <c r="B2593" s="138">
        <f>'Acct Summary 7-8'!F6</f>
        <v>56905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204148</v>
      </c>
      <c r="C2595" s="2" t="s">
        <v>594</v>
      </c>
      <c r="D2595" s="2" t="str">
        <f t="shared" si="39"/>
        <v>Error?</v>
      </c>
    </row>
    <row r="2596" spans="1:4" x14ac:dyDescent="0.2">
      <c r="A2596" s="5">
        <v>2535</v>
      </c>
      <c r="B2596" s="138">
        <f>'Acct Summary 7-8'!F13</f>
        <v>189038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9455</v>
      </c>
      <c r="C2599" s="2" t="s">
        <v>594</v>
      </c>
      <c r="D2599" s="2" t="str">
        <f t="shared" si="39"/>
        <v>Error?</v>
      </c>
    </row>
    <row r="2600" spans="1:4" x14ac:dyDescent="0.2">
      <c r="A2600" s="5">
        <v>2539</v>
      </c>
      <c r="B2600" s="138">
        <f>'Acct Summary 7-8'!F17</f>
        <v>198493</v>
      </c>
      <c r="C2600" s="2" t="s">
        <v>594</v>
      </c>
      <c r="D2600" s="2" t="str">
        <f t="shared" si="39"/>
        <v>Error?</v>
      </c>
    </row>
    <row r="2601" spans="1:4" x14ac:dyDescent="0.2">
      <c r="A2601" s="5">
        <v>2540</v>
      </c>
      <c r="B2601" s="138">
        <f>'Acct Summary 7-8'!F20</f>
        <v>5655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89250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89250</v>
      </c>
      <c r="C2606" s="2" t="s">
        <v>594</v>
      </c>
      <c r="D2606" s="2" t="str">
        <f t="shared" si="39"/>
        <v>Error?</v>
      </c>
    </row>
    <row r="2607" spans="1:4" x14ac:dyDescent="0.2">
      <c r="A2607" s="5">
        <v>2546</v>
      </c>
      <c r="B2607" s="138">
        <f>'Acct Summary 7-8'!G12</f>
        <v>18535</v>
      </c>
      <c r="C2607" s="2" t="s">
        <v>594</v>
      </c>
      <c r="D2607" s="2" t="str">
        <f t="shared" si="39"/>
        <v>Error?</v>
      </c>
    </row>
    <row r="2608" spans="1:4" x14ac:dyDescent="0.2">
      <c r="A2608" s="5">
        <v>2547</v>
      </c>
      <c r="B2608" s="138">
        <f>'Acct Summary 7-8'!G13</f>
        <v>49456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67991</v>
      </c>
      <c r="C2612" s="2" t="s">
        <v>594</v>
      </c>
      <c r="D2612" s="2" t="str">
        <f t="shared" si="39"/>
        <v>Error?</v>
      </c>
    </row>
    <row r="2613" spans="1:4" x14ac:dyDescent="0.2">
      <c r="A2613" s="5">
        <v>2552</v>
      </c>
      <c r="B2613" s="138">
        <f>'Acct Summary 7-8'!G20</f>
        <v>21259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92574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92574</v>
      </c>
      <c r="C2658" s="2" t="s">
        <v>594</v>
      </c>
      <c r="D2658" s="2" t="str">
        <f t="shared" si="40"/>
        <v>Error?</v>
      </c>
    </row>
    <row r="2659" spans="1:4" x14ac:dyDescent="0.2">
      <c r="A2659" s="5">
        <v>2598</v>
      </c>
      <c r="B2659" s="138">
        <f>'Acct Summary 7-8'!H13</f>
        <v>24637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24637</v>
      </c>
      <c r="C2661" s="2" t="s">
        <v>594</v>
      </c>
      <c r="D2661" s="2" t="str">
        <f t="shared" si="40"/>
        <v>Error?</v>
      </c>
    </row>
    <row r="2662" spans="1:4" x14ac:dyDescent="0.2">
      <c r="A2662" s="5">
        <v>2601</v>
      </c>
      <c r="B2662" s="138">
        <f>'Acct Summary 7-8'!H20</f>
        <v>67937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41504</v>
      </c>
      <c r="C2789" s="2" t="s">
        <v>594</v>
      </c>
      <c r="D2789" s="2" t="str">
        <f t="shared" si="42"/>
        <v>Error?</v>
      </c>
    </row>
    <row r="2790" spans="1:4" x14ac:dyDescent="0.2">
      <c r="A2790" s="5">
        <v>2729</v>
      </c>
      <c r="B2790" s="138">
        <f>'Expenditures 15-22'!E102</f>
        <v>41504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523679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624788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84473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624788</v>
      </c>
      <c r="D2912" s="2" t="str">
        <f t="shared" si="44"/>
        <v>Error?</v>
      </c>
    </row>
    <row r="2913" spans="1:4" x14ac:dyDescent="0.2">
      <c r="A2913" s="5">
        <v>2852</v>
      </c>
      <c r="B2913" s="138">
        <f>'Assets-Liab 5-6'!I41</f>
        <v>624788</v>
      </c>
      <c r="C2913" s="2" t="s">
        <v>594</v>
      </c>
      <c r="D2913" s="2" t="str">
        <f t="shared" si="44"/>
        <v>Error?</v>
      </c>
    </row>
    <row r="2914" spans="1:4" x14ac:dyDescent="0.2">
      <c r="A2914" s="5">
        <v>2853</v>
      </c>
      <c r="B2914" s="138">
        <f>'Assets-Liab 5-6'!L33</f>
        <v>84473</v>
      </c>
      <c r="D2914" s="2" t="str">
        <f t="shared" si="44"/>
        <v>Error?</v>
      </c>
    </row>
    <row r="2915" spans="1:4" x14ac:dyDescent="0.2">
      <c r="A2915" s="10">
        <v>2854</v>
      </c>
      <c r="D2915" s="2" t="str">
        <f t="shared" si="44"/>
        <v>OK</v>
      </c>
    </row>
    <row r="2916" spans="1:4" x14ac:dyDescent="0.2">
      <c r="A2916" s="5">
        <v>2855</v>
      </c>
      <c r="B2916" s="138">
        <f>'Assets-Liab 5-6'!L34</f>
        <v>84473</v>
      </c>
      <c r="C2916" s="2" t="s">
        <v>594</v>
      </c>
      <c r="D2916" s="2" t="str">
        <f t="shared" si="44"/>
        <v>Error?</v>
      </c>
    </row>
    <row r="2917" spans="1:4" x14ac:dyDescent="0.2">
      <c r="A2917" s="5">
        <v>2856</v>
      </c>
      <c r="B2917" s="138">
        <f>'Assets-Liab 5-6'!L41</f>
        <v>84473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41504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1500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41504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1500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23004</v>
      </c>
      <c r="D3055" s="2" t="str">
        <f t="shared" si="46"/>
        <v>Error?</v>
      </c>
    </row>
    <row r="3056" spans="1:4" x14ac:dyDescent="0.2">
      <c r="A3056" s="5">
        <v>2995</v>
      </c>
      <c r="B3056" s="138">
        <f>'Expenditures 15-22'!D10</f>
        <v>5197</v>
      </c>
      <c r="D3056" s="2" t="str">
        <f t="shared" si="46"/>
        <v>Error?</v>
      </c>
    </row>
    <row r="3057" spans="1:4" x14ac:dyDescent="0.2">
      <c r="A3057" s="5">
        <v>2996</v>
      </c>
      <c r="B3057" s="138">
        <f>'Expenditures 15-22'!E10</f>
        <v>2102</v>
      </c>
      <c r="D3057" s="2" t="str">
        <f t="shared" si="46"/>
        <v>Error?</v>
      </c>
    </row>
    <row r="3058" spans="1:4" x14ac:dyDescent="0.2">
      <c r="A3058" s="5">
        <v>2997</v>
      </c>
      <c r="B3058" s="138">
        <f>'Expenditures 15-22'!F10</f>
        <v>7355</v>
      </c>
      <c r="D3058" s="2" t="str">
        <f t="shared" si="46"/>
        <v>Error?</v>
      </c>
    </row>
    <row r="3059" spans="1:4" x14ac:dyDescent="0.2">
      <c r="A3059" s="5">
        <v>2998</v>
      </c>
      <c r="B3059" s="138">
        <f>'Expenditures 15-22'!G10</f>
        <v>1200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38858</v>
      </c>
      <c r="C3062" s="2" t="s">
        <v>594</v>
      </c>
      <c r="D3062" s="2" t="str">
        <f t="shared" si="46"/>
        <v>Error?</v>
      </c>
    </row>
    <row r="3063" spans="1:4" x14ac:dyDescent="0.2">
      <c r="A3063" s="10">
        <v>3002</v>
      </c>
      <c r="D3063" s="2" t="str">
        <f t="shared" si="46"/>
        <v>OK</v>
      </c>
    </row>
    <row r="3064" spans="1:4" x14ac:dyDescent="0.2">
      <c r="A3064" s="5">
        <v>3003</v>
      </c>
      <c r="B3064" s="138">
        <f>'Expenditures 15-22'!D219</f>
        <v>334</v>
      </c>
      <c r="D3064" s="2" t="str">
        <f t="shared" si="46"/>
        <v>Error?</v>
      </c>
    </row>
    <row r="3065" spans="1:4" x14ac:dyDescent="0.2">
      <c r="A3065" s="5">
        <v>3004</v>
      </c>
      <c r="B3065" s="138">
        <f>'Expenditures 15-22'!K219</f>
        <v>334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17341</v>
      </c>
      <c r="C3225" s="2" t="s">
        <v>594</v>
      </c>
      <c r="D3225" s="2" t="str">
        <f t="shared" si="49"/>
        <v>Error?</v>
      </c>
    </row>
    <row r="3226" spans="1:4" x14ac:dyDescent="0.2">
      <c r="A3226" s="5">
        <v>3165</v>
      </c>
      <c r="B3226" s="138">
        <f>'Acct Summary 7-8'!I8</f>
        <v>17341</v>
      </c>
      <c r="C3226" s="2" t="s">
        <v>594</v>
      </c>
      <c r="D3226" s="2" t="str">
        <f t="shared" si="49"/>
        <v>Error?</v>
      </c>
    </row>
    <row r="3227" spans="1:4" x14ac:dyDescent="0.2">
      <c r="A3227" s="5">
        <v>3166</v>
      </c>
      <c r="B3227" s="138">
        <f>'Acct Summary 7-8'!I20</f>
        <v>17341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165822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2750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2750</v>
      </c>
      <c r="C3238" s="2" t="s">
        <v>594</v>
      </c>
      <c r="D3238" s="2" t="str">
        <f t="shared" si="49"/>
        <v>Error?</v>
      </c>
    </row>
    <row r="3239" spans="1:4" x14ac:dyDescent="0.2">
      <c r="A3239" s="5">
        <v>3178</v>
      </c>
      <c r="B3239" s="138">
        <f>'Acct Summary 7-8'!D78</f>
        <v>-393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3000</v>
      </c>
      <c r="C3255" s="2" t="s">
        <v>594</v>
      </c>
      <c r="D3255" s="2" t="str">
        <f t="shared" si="49"/>
        <v>Error?</v>
      </c>
    </row>
    <row r="3256" spans="1:4" x14ac:dyDescent="0.2">
      <c r="A3256" s="5">
        <v>3195</v>
      </c>
      <c r="B3256" s="138">
        <f>'Acct Summary 7-8'!F78</f>
        <v>8655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21259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67937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2750</v>
      </c>
      <c r="C3318" s="2" t="s">
        <v>594</v>
      </c>
      <c r="D3318" s="2" t="str">
        <f t="shared" si="50"/>
        <v>Error?</v>
      </c>
    </row>
    <row r="3319" spans="1:4" x14ac:dyDescent="0.2">
      <c r="A3319" s="5">
        <v>3258</v>
      </c>
      <c r="B3319" s="138">
        <f>'Acct Summary 7-8'!I77</f>
        <v>-2750</v>
      </c>
      <c r="C3319" s="2" t="s">
        <v>594</v>
      </c>
      <c r="D3319" s="2" t="str">
        <f t="shared" si="50"/>
        <v>Error?</v>
      </c>
    </row>
    <row r="3320" spans="1:4" x14ac:dyDescent="0.2">
      <c r="A3320" s="5">
        <v>3259</v>
      </c>
      <c r="B3320" s="138">
        <f>'Acct Summary 7-8'!I78</f>
        <v>14591</v>
      </c>
      <c r="C3320" s="2" t="s">
        <v>594</v>
      </c>
      <c r="D3320" s="2" t="str">
        <f t="shared" si="50"/>
        <v>Error?</v>
      </c>
    </row>
    <row r="3321" spans="1:4" x14ac:dyDescent="0.2">
      <c r="A3321" s="5">
        <v>3260</v>
      </c>
      <c r="B3321" s="138">
        <f>'Acct Summary 7-8'!I79</f>
        <v>610197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624788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91353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19819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111330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11981</v>
      </c>
      <c r="D3387" s="2" t="str">
        <f t="shared" si="51"/>
        <v>Error?</v>
      </c>
    </row>
    <row r="3388" spans="1:4" x14ac:dyDescent="0.2">
      <c r="A3388" s="5">
        <v>3327</v>
      </c>
      <c r="B3388" s="138">
        <f>'Expenditures 15-22'!D217</f>
        <v>3917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11981</v>
      </c>
      <c r="C3390" s="2" t="s">
        <v>594</v>
      </c>
      <c r="D3390" s="2" t="str">
        <f t="shared" si="51"/>
        <v>Error?</v>
      </c>
    </row>
    <row r="3391" spans="1:4" x14ac:dyDescent="0.2">
      <c r="A3391" s="5">
        <v>3330</v>
      </c>
      <c r="B3391" s="138">
        <f>'Expenditures 15-22'!K217</f>
        <v>3917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461443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202220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264803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101061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421879</v>
      </c>
      <c r="D3425" s="2" t="str">
        <f t="shared" si="52"/>
        <v>Error?</v>
      </c>
    </row>
    <row r="3426" spans="1:4" x14ac:dyDescent="0.2">
      <c r="A3426" s="10">
        <v>3365</v>
      </c>
      <c r="D3426" s="2" t="str">
        <f t="shared" si="52"/>
        <v>OK</v>
      </c>
    </row>
    <row r="3427" spans="1:4" x14ac:dyDescent="0.2">
      <c r="A3427" s="5">
        <v>3366</v>
      </c>
      <c r="B3427" s="138">
        <f>'Assets-Liab 5-6'!I4</f>
        <v>101109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84473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49172</v>
      </c>
      <c r="C3446" s="2" t="s">
        <v>594</v>
      </c>
      <c r="D3446" s="2" t="str">
        <f t="shared" si="52"/>
        <v>Error?</v>
      </c>
    </row>
    <row r="3447" spans="1:4" x14ac:dyDescent="0.2">
      <c r="A3447" s="5">
        <v>3386</v>
      </c>
      <c r="B3447" s="138">
        <f>'Tax Sched 23'!D16</f>
        <v>49172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49228</v>
      </c>
      <c r="C3449" s="2" t="s">
        <v>594</v>
      </c>
      <c r="D3449" s="2" t="str">
        <f t="shared" si="52"/>
        <v>Error?</v>
      </c>
    </row>
    <row r="3450" spans="1:4" x14ac:dyDescent="0.2">
      <c r="A3450" s="5">
        <v>3389</v>
      </c>
      <c r="B3450" s="138">
        <f>'Tax Sched 23'!E16</f>
        <v>49228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3000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24687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70525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95212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95212</v>
      </c>
      <c r="D3567" s="2" t="str">
        <f t="shared" si="54"/>
        <v>Error?</v>
      </c>
    </row>
    <row r="3568" spans="1:4" x14ac:dyDescent="0.2">
      <c r="A3568" s="5">
        <v>3507</v>
      </c>
      <c r="B3568" s="138">
        <f>'Assets-Liab 5-6'!K41</f>
        <v>95212</v>
      </c>
      <c r="C3568" s="2" t="s">
        <v>594</v>
      </c>
      <c r="D3568" s="2" t="str">
        <f t="shared" si="54"/>
        <v>Error?</v>
      </c>
    </row>
    <row r="3569" spans="1:4" x14ac:dyDescent="0.2">
      <c r="A3569" s="5">
        <v>3508</v>
      </c>
      <c r="B3569" s="138">
        <f>'Acct Summary 7-8'!K4</f>
        <v>6730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6730</v>
      </c>
      <c r="C3571" s="2" t="s">
        <v>594</v>
      </c>
      <c r="D3571" s="2" t="str">
        <f t="shared" si="54"/>
        <v>Error?</v>
      </c>
    </row>
    <row r="3572" spans="1:4" x14ac:dyDescent="0.2">
      <c r="A3572" s="5">
        <v>3511</v>
      </c>
      <c r="B3572" s="138">
        <f>'Acct Summary 7-8'!K13</f>
        <v>3899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3899</v>
      </c>
      <c r="C3575" s="2" t="s">
        <v>594</v>
      </c>
      <c r="D3575" s="2" t="str">
        <f t="shared" si="54"/>
        <v>Error?</v>
      </c>
    </row>
    <row r="3576" spans="1:4" x14ac:dyDescent="0.2">
      <c r="A3576" s="5">
        <v>3515</v>
      </c>
      <c r="B3576" s="138">
        <f>'Acct Summary 7-8'!K20</f>
        <v>2831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2831</v>
      </c>
      <c r="C3588" s="2" t="s">
        <v>594</v>
      </c>
      <c r="D3588" s="2" t="str">
        <f t="shared" si="55"/>
        <v>Error?</v>
      </c>
    </row>
    <row r="3589" spans="1:4" x14ac:dyDescent="0.2">
      <c r="A3589" s="5">
        <v>3528</v>
      </c>
      <c r="B3589" s="138">
        <f>'Acct Summary 7-8'!K79</f>
        <v>92381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95212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3899</v>
      </c>
      <c r="D3632" s="2" t="str">
        <f t="shared" si="55"/>
        <v>Error?</v>
      </c>
    </row>
    <row r="3633" spans="1:4" x14ac:dyDescent="0.2">
      <c r="A3633" s="5">
        <v>3572</v>
      </c>
      <c r="B3633" s="138">
        <f>'Expenditures 15-22'!E350</f>
        <v>3899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3899</v>
      </c>
      <c r="C3635" s="2" t="s">
        <v>594</v>
      </c>
      <c r="D3635" s="2" t="str">
        <f t="shared" si="55"/>
        <v>Error?</v>
      </c>
    </row>
    <row r="3636" spans="1:4" x14ac:dyDescent="0.2">
      <c r="A3636" s="5">
        <v>3575</v>
      </c>
      <c r="B3636" s="138">
        <f>'Expenditures 15-22'!E367</f>
        <v>3899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3899</v>
      </c>
      <c r="C3669" s="2" t="s">
        <v>594</v>
      </c>
      <c r="D3669" s="2" t="str">
        <f t="shared" si="56"/>
        <v>Error?</v>
      </c>
    </row>
    <row r="3670" spans="1:4" x14ac:dyDescent="0.2">
      <c r="A3670" s="5">
        <v>3609</v>
      </c>
      <c r="B3670" s="138">
        <f>'Expenditures 15-22'!K350</f>
        <v>3899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3899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3899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2831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10081</v>
      </c>
      <c r="C3725" s="2" t="s">
        <v>594</v>
      </c>
      <c r="D3725" s="2" t="str">
        <f t="shared" si="57"/>
        <v>Error?</v>
      </c>
    </row>
    <row r="3726" spans="1:4" x14ac:dyDescent="0.2">
      <c r="A3726" s="5">
        <v>3665</v>
      </c>
      <c r="B3726" s="138">
        <f>'Tax Sched 23'!D13</f>
        <v>10081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10097</v>
      </c>
      <c r="C3728" s="2" t="s">
        <v>594</v>
      </c>
      <c r="D3728" s="2" t="str">
        <f t="shared" si="57"/>
        <v>Error?</v>
      </c>
    </row>
    <row r="3729" spans="1:4" x14ac:dyDescent="0.2">
      <c r="A3729" s="5">
        <v>3668</v>
      </c>
      <c r="B3729" s="138">
        <f>'Tax Sched 23'!E13</f>
        <v>10097</v>
      </c>
      <c r="D3729" s="2" t="str">
        <f t="shared" si="57"/>
        <v>Error?</v>
      </c>
    </row>
    <row r="3730" spans="1:4" x14ac:dyDescent="0.2">
      <c r="A3730" s="5">
        <v>3669</v>
      </c>
      <c r="B3730" s="138">
        <f>'ICR Computation 30'!E10</f>
        <v>59555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954113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3215276</v>
      </c>
      <c r="C4122" s="2" t="s">
        <v>594</v>
      </c>
      <c r="D4122" s="2" t="str">
        <f t="shared" si="63"/>
        <v>Error?</v>
      </c>
    </row>
    <row r="4123" spans="1:4" x14ac:dyDescent="0.2">
      <c r="A4123" s="5">
        <v>4062</v>
      </c>
      <c r="B4123" s="138">
        <f>'Acct Summary 7-8'!D10</f>
        <v>284843</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204148</v>
      </c>
      <c r="C4125" s="2" t="s">
        <v>594</v>
      </c>
      <c r="D4125" s="2" t="str">
        <f t="shared" si="63"/>
        <v>Error?</v>
      </c>
    </row>
    <row r="4126" spans="1:4" x14ac:dyDescent="0.2">
      <c r="A4126" s="5">
        <v>4065</v>
      </c>
      <c r="B4126" s="138">
        <f>'Acct Summary 7-8'!G10</f>
        <v>89250</v>
      </c>
      <c r="C4126" s="2" t="s">
        <v>594</v>
      </c>
      <c r="D4126" s="2" t="str">
        <f t="shared" si="63"/>
        <v>Error?</v>
      </c>
    </row>
    <row r="4127" spans="1:4" x14ac:dyDescent="0.2">
      <c r="A4127" s="5">
        <v>4066</v>
      </c>
      <c r="B4127" s="138">
        <f>'Acct Summary 7-8'!H10</f>
        <v>92574</v>
      </c>
      <c r="C4127" s="2" t="s">
        <v>594</v>
      </c>
      <c r="D4127" s="2" t="str">
        <f t="shared" si="63"/>
        <v>Error?</v>
      </c>
    </row>
    <row r="4128" spans="1:4" x14ac:dyDescent="0.2">
      <c r="A4128" s="5">
        <v>4067</v>
      </c>
      <c r="B4128" s="138">
        <f>'Acct Summary 7-8'!I10</f>
        <v>17341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6730</v>
      </c>
      <c r="C4130" s="2" t="s">
        <v>594</v>
      </c>
      <c r="D4130" s="2" t="str">
        <f t="shared" si="63"/>
        <v>Error?</v>
      </c>
    </row>
    <row r="4131" spans="1:4" x14ac:dyDescent="0.2">
      <c r="A4131" s="5">
        <v>4070</v>
      </c>
      <c r="B4131" s="138">
        <f>'Acct Summary 7-8'!C18</f>
        <v>954113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3049454</v>
      </c>
      <c r="C4136" s="2" t="s">
        <v>594</v>
      </c>
      <c r="D4136" s="2" t="str">
        <f t="shared" si="63"/>
        <v>Error?</v>
      </c>
    </row>
    <row r="4137" spans="1:4" x14ac:dyDescent="0.2">
      <c r="A4137" s="5">
        <v>4076</v>
      </c>
      <c r="B4137" s="138">
        <f>'Acct Summary 7-8'!D19</f>
        <v>287986</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198493</v>
      </c>
      <c r="C4139" s="2" t="s">
        <v>594</v>
      </c>
      <c r="D4139" s="2" t="str">
        <f t="shared" si="63"/>
        <v>Error?</v>
      </c>
    </row>
    <row r="4140" spans="1:4" x14ac:dyDescent="0.2">
      <c r="A4140" s="5">
        <v>4079</v>
      </c>
      <c r="B4140" s="138">
        <f>'Acct Summary 7-8'!G19</f>
        <v>67991</v>
      </c>
      <c r="C4140" s="2" t="s">
        <v>594</v>
      </c>
      <c r="D4140" s="2" t="str">
        <f t="shared" si="63"/>
        <v>Error?</v>
      </c>
    </row>
    <row r="4141" spans="1:4" x14ac:dyDescent="0.2">
      <c r="A4141" s="5">
        <v>4080</v>
      </c>
      <c r="B4141" s="138">
        <f>'Acct Summary 7-8'!H19</f>
        <v>24637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3899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208784</v>
      </c>
      <c r="C4171" s="2" t="s">
        <v>594</v>
      </c>
      <c r="D4171" s="2" t="str">
        <f t="shared" si="64"/>
        <v>Error?</v>
      </c>
    </row>
    <row r="4172" spans="1:4" x14ac:dyDescent="0.2">
      <c r="A4172" s="5">
        <v>4111</v>
      </c>
      <c r="B4172" s="138">
        <f>'Short-Term Long-Term Debt 24'!J49</f>
        <v>208784</v>
      </c>
      <c r="C4172" s="2" t="s">
        <v>594</v>
      </c>
      <c r="D4172" s="2" t="str">
        <f t="shared" si="64"/>
        <v>Error?</v>
      </c>
    </row>
    <row r="4173" spans="1:4" x14ac:dyDescent="0.2">
      <c r="A4173" s="5">
        <v>4112</v>
      </c>
      <c r="B4173" s="138">
        <f>'Short-Term Long-Term Debt 24'!H49</f>
        <v>45479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3697.6299999999997</v>
      </c>
      <c r="C4265" s="2" t="s">
        <v>594</v>
      </c>
      <c r="D4265" s="2" t="str">
        <f t="shared" si="65"/>
        <v>Error?</v>
      </c>
      <c r="E4265" s="128"/>
    </row>
    <row r="4266" spans="1:5" x14ac:dyDescent="0.2">
      <c r="A4266" s="12">
        <v>4205</v>
      </c>
      <c r="B4266" s="138">
        <f>('FP Info 3'!F10)*100000</f>
        <v>609.63</v>
      </c>
      <c r="C4266" s="2" t="s">
        <v>594</v>
      </c>
      <c r="D4266" s="2" t="str">
        <f t="shared" si="65"/>
        <v>Error?</v>
      </c>
      <c r="E4266" s="128"/>
    </row>
    <row r="4267" spans="1:5" x14ac:dyDescent="0.2">
      <c r="A4267" s="12">
        <v>4206</v>
      </c>
      <c r="B4267" s="138">
        <f>('FP Info 3'!H10)*100000</f>
        <v>341.72</v>
      </c>
      <c r="C4267" s="2" t="s">
        <v>594</v>
      </c>
      <c r="D4267" s="2" t="str">
        <f t="shared" si="65"/>
        <v>Error?</v>
      </c>
      <c r="E4267" s="128"/>
    </row>
    <row r="4268" spans="1:5" x14ac:dyDescent="0.2">
      <c r="A4268" s="12">
        <v>4207</v>
      </c>
      <c r="B4268" s="138">
        <f>('FP Info 3'!J10)*100000</f>
        <v>4649</v>
      </c>
      <c r="C4268" s="2" t="s">
        <v>594</v>
      </c>
      <c r="D4268" s="2" t="str">
        <f t="shared" si="65"/>
        <v>Error?</v>
      </c>
    </row>
    <row r="4269" spans="1:5" x14ac:dyDescent="0.2">
      <c r="A4269" s="12">
        <v>4208</v>
      </c>
      <c r="B4269" s="138">
        <f>'FP Info 3'!J16</f>
        <v>1853453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11820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33.18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4999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1500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9094</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42728591</v>
      </c>
      <c r="D4995" s="2" t="str">
        <f t="shared" si="77"/>
        <v>Error?</v>
      </c>
    </row>
    <row r="4996" spans="1:4" x14ac:dyDescent="0.2">
      <c r="A4996" s="12">
        <v>4935</v>
      </c>
      <c r="B4996" s="138">
        <f>'FP Info 3'!H31</f>
        <v>5896545.5580000002</v>
      </c>
      <c r="D4996" s="2" t="str">
        <f t="shared" si="77"/>
        <v>Error?</v>
      </c>
    </row>
    <row r="4997" spans="1:4" x14ac:dyDescent="0.2">
      <c r="A4997" s="12">
        <v>4936</v>
      </c>
      <c r="B4997" s="138">
        <f>'FP Info 3'!H37</f>
        <v>208784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10081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1524672</v>
      </c>
      <c r="D5061" s="2" t="str">
        <f t="shared" si="78"/>
        <v>Error?</v>
      </c>
    </row>
    <row r="5062" spans="1:4" x14ac:dyDescent="0.2">
      <c r="A5062" s="10">
        <v>5001</v>
      </c>
      <c r="D5062" s="2" t="str">
        <f t="shared" si="78"/>
        <v>OK</v>
      </c>
    </row>
    <row r="5063" spans="1:4" x14ac:dyDescent="0.2">
      <c r="A5063" s="5">
        <v>5002</v>
      </c>
      <c r="B5063" s="138">
        <f>'Revenues 9-14'!C7</f>
        <v>30211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1564964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63809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63809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1854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1854</v>
      </c>
      <c r="C5090" s="2" t="s">
        <v>594</v>
      </c>
      <c r="D5090" s="2" t="str">
        <f t="shared" si="78"/>
        <v>Error?</v>
      </c>
    </row>
    <row r="5091" spans="1:4" x14ac:dyDescent="0.2">
      <c r="A5091" s="5">
        <v>5030</v>
      </c>
      <c r="B5091" s="138">
        <f>'Revenues 9-14'!C70</f>
        <v>15655</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5616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59799</v>
      </c>
      <c r="C5096" s="2" t="s">
        <v>594</v>
      </c>
      <c r="D5096" s="2" t="str">
        <f t="shared" si="78"/>
        <v>Error?</v>
      </c>
    </row>
    <row r="5097" spans="1:4" x14ac:dyDescent="0.2">
      <c r="A5097" s="5">
        <v>5036</v>
      </c>
      <c r="B5097" s="138">
        <f>'Revenues 9-14'!C77</f>
        <v>10485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2469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12954</v>
      </c>
      <c r="C5102" s="2" t="s">
        <v>594</v>
      </c>
      <c r="D5102" s="2" t="str">
        <f t="shared" si="78"/>
        <v>Error?</v>
      </c>
    </row>
    <row r="5103" spans="1:4" x14ac:dyDescent="0.2">
      <c r="A5103" s="5">
        <v>5042</v>
      </c>
      <c r="B5103" s="138">
        <f>'Revenues 9-14'!C84</f>
        <v>14326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14326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10075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2463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4709</v>
      </c>
      <c r="D5119" s="2" t="str">
        <f t="shared" ref="D5119:D5182" si="79">IF(ISBLANK(B5119),"OK",IF(A5119-B5119=0,"OK","Error?"))</f>
        <v>Error?</v>
      </c>
    </row>
    <row r="5120" spans="1:4" x14ac:dyDescent="0.2">
      <c r="A5120" s="5">
        <v>5059</v>
      </c>
      <c r="B5120" s="138">
        <f>'Revenues 9-14'!C108</f>
        <v>18035</v>
      </c>
      <c r="C5120" s="2" t="s">
        <v>594</v>
      </c>
      <c r="D5120" s="2" t="str">
        <f t="shared" si="79"/>
        <v>Error?</v>
      </c>
    </row>
    <row r="5121" spans="1:4" x14ac:dyDescent="0.2">
      <c r="A5121" s="5">
        <v>5060</v>
      </c>
      <c r="B5121" s="138">
        <f>'Revenues 9-14'!C109</f>
        <v>1735741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313301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314801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14423</v>
      </c>
      <c r="D5134" s="2" t="str">
        <f t="shared" si="79"/>
        <v>Error?</v>
      </c>
    </row>
    <row r="5135" spans="1:4" x14ac:dyDescent="0.2">
      <c r="A5135" s="5">
        <v>5074</v>
      </c>
      <c r="B5135" s="138">
        <f>'Revenues 9-14'!C126</f>
        <v>10908</v>
      </c>
      <c r="D5135" s="2" t="str">
        <f t="shared" si="79"/>
        <v>Error?</v>
      </c>
    </row>
    <row r="5136" spans="1:4" x14ac:dyDescent="0.2">
      <c r="A5136" s="10">
        <v>5075</v>
      </c>
      <c r="D5136" s="2" t="str">
        <f t="shared" si="79"/>
        <v>OK</v>
      </c>
    </row>
    <row r="5137" spans="1:4" x14ac:dyDescent="0.2">
      <c r="A5137" s="5">
        <v>5076</v>
      </c>
      <c r="B5137" s="138">
        <f>'Revenues 9-14'!C127</f>
        <v>6033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31364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8744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935</v>
      </c>
      <c r="D5167" s="2" t="str">
        <f t="shared" si="79"/>
        <v>Error?</v>
      </c>
    </row>
    <row r="5168" spans="1:4" x14ac:dyDescent="0.2">
      <c r="A5168" s="5">
        <v>5107</v>
      </c>
      <c r="B5168" s="138">
        <f>'Revenues 9-14'!C147</f>
        <v>3082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44125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358926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9094</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52157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17320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69477</v>
      </c>
      <c r="C5246" s="2" t="s">
        <v>594</v>
      </c>
      <c r="D5246" s="2" t="str">
        <f t="shared" si="80"/>
        <v>Error?</v>
      </c>
    </row>
    <row r="5247" spans="1:4" x14ac:dyDescent="0.2">
      <c r="A5247" s="5">
        <v>5186</v>
      </c>
      <c r="B5247" s="138">
        <f>'Revenues 9-14'!C203</f>
        <v>26193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26193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3966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40947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44913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157402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166496</v>
      </c>
      <c r="C5326" s="2" t="s">
        <v>594</v>
      </c>
      <c r="D5326" s="2" t="str">
        <f t="shared" si="82"/>
        <v>Error?</v>
      </c>
    </row>
    <row r="5327" spans="1:4" x14ac:dyDescent="0.2">
      <c r="A5327" s="5">
        <v>5266</v>
      </c>
      <c r="B5327" s="138">
        <f>'Revenues 9-14'!C275</f>
        <v>2261163</v>
      </c>
      <c r="C5327" s="2" t="s">
        <v>594</v>
      </c>
      <c r="D5327" s="2" t="str">
        <f t="shared" si="82"/>
        <v>Error?</v>
      </c>
    </row>
    <row r="5328" spans="1:4" x14ac:dyDescent="0.2">
      <c r="A5328" s="5">
        <v>5267</v>
      </c>
      <c r="B5328" s="138">
        <f>'Revenues 9-14'!D5</f>
        <v>259243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259243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337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124</v>
      </c>
      <c r="D5349" s="2" t="str">
        <f t="shared" si="82"/>
        <v>Error?</v>
      </c>
    </row>
    <row r="5350" spans="1:4" x14ac:dyDescent="0.2">
      <c r="A5350" s="5">
        <v>5289</v>
      </c>
      <c r="B5350" s="138">
        <f>'Revenues 9-14'!D96</f>
        <v>19255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5884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25263</v>
      </c>
      <c r="C5355" s="2" t="s">
        <v>594</v>
      </c>
      <c r="D5355" s="2" t="str">
        <f t="shared" si="82"/>
        <v>Error?</v>
      </c>
    </row>
    <row r="5356" spans="1:4" x14ac:dyDescent="0.2">
      <c r="A5356" s="5">
        <v>5295</v>
      </c>
      <c r="B5356" s="138">
        <f>'Revenues 9-14'!D109</f>
        <v>284843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284843</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145817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145817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1006</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1006</v>
      </c>
      <c r="C5579" s="2" t="s">
        <v>594</v>
      </c>
      <c r="D5579" s="2" t="str">
        <f t="shared" si="86"/>
        <v>Error?</v>
      </c>
    </row>
    <row r="5580" spans="1:4" x14ac:dyDescent="0.2">
      <c r="A5580" s="5">
        <v>5519</v>
      </c>
      <c r="B5580" s="138">
        <f>'Revenues 9-14'!F65</f>
        <v>420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147243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47560</v>
      </c>
      <c r="D5615" s="2" t="str">
        <f t="shared" si="86"/>
        <v>Error?</v>
      </c>
    </row>
    <row r="5616" spans="1:4" x14ac:dyDescent="0.2">
      <c r="A5616" s="10">
        <v>5555</v>
      </c>
      <c r="D5616" s="2" t="str">
        <f t="shared" si="86"/>
        <v>OK</v>
      </c>
    </row>
    <row r="5617" spans="1:4" x14ac:dyDescent="0.2">
      <c r="A5617" s="5">
        <v>5556</v>
      </c>
      <c r="B5617" s="138">
        <f>'Revenues 9-14'!F152</f>
        <v>9345</v>
      </c>
      <c r="D5617" s="2" t="str">
        <f t="shared" si="86"/>
        <v>Error?</v>
      </c>
    </row>
    <row r="5618" spans="1:4" x14ac:dyDescent="0.2">
      <c r="A5618" s="5">
        <v>5557</v>
      </c>
      <c r="B5618" s="138">
        <f>'Revenues 9-14'!F154</f>
        <v>56905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56905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56905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204148</v>
      </c>
      <c r="C5720" s="2" t="s">
        <v>594</v>
      </c>
      <c r="D5720" s="2" t="str">
        <f t="shared" si="88"/>
        <v>Error?</v>
      </c>
    </row>
    <row r="5721" spans="1:4" x14ac:dyDescent="0.2">
      <c r="A5721" s="5">
        <v>5660</v>
      </c>
      <c r="B5721" s="138">
        <f>'Revenues 9-14'!G5</f>
        <v>38570</v>
      </c>
      <c r="D5721" s="2" t="str">
        <f t="shared" si="88"/>
        <v>Error?</v>
      </c>
    </row>
    <row r="5722" spans="1:4" x14ac:dyDescent="0.2">
      <c r="A5722" s="5">
        <v>5661</v>
      </c>
      <c r="B5722" s="138">
        <f>'Revenues 9-14'!G7</f>
        <v>0</v>
      </c>
      <c r="D5722" s="2" t="str">
        <f t="shared" si="88"/>
        <v>Error?</v>
      </c>
    </row>
    <row r="5723" spans="1:4" x14ac:dyDescent="0.2">
      <c r="A5723" s="5">
        <v>5662</v>
      </c>
      <c r="B5723" s="138">
        <f>'Revenues 9-14'!G8</f>
        <v>49172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87742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1410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1410</v>
      </c>
      <c r="C5730" s="2" t="s">
        <v>594</v>
      </c>
      <c r="D5730" s="2" t="str">
        <f t="shared" si="88"/>
        <v>Error?</v>
      </c>
    </row>
    <row r="5731" spans="1:4" x14ac:dyDescent="0.2">
      <c r="A5731" s="5">
        <v>5670</v>
      </c>
      <c r="B5731" s="138">
        <f>'Revenues 9-14'!G65</f>
        <v>98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89250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220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92354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92574</v>
      </c>
      <c r="C5915" s="2" t="s">
        <v>594</v>
      </c>
      <c r="D5915" s="2" t="str">
        <f t="shared" si="91"/>
        <v>Error?</v>
      </c>
    </row>
    <row r="5916" spans="1:4" x14ac:dyDescent="0.2">
      <c r="A5916" s="5">
        <v>5855</v>
      </c>
      <c r="B5916" s="138">
        <f>'Revenues 9-14'!I5</f>
        <v>14591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14591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2750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2750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17341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6554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6554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6730</v>
      </c>
      <c r="C6023" s="2" t="s">
        <v>594</v>
      </c>
      <c r="D6023" s="2" t="str">
        <f t="shared" si="93"/>
        <v>Error?</v>
      </c>
    </row>
    <row r="6024" spans="1:5" x14ac:dyDescent="0.2">
      <c r="A6024" s="5">
        <v>5963</v>
      </c>
      <c r="B6024" s="138">
        <f>'Revenues 9-14'!G109</f>
        <v>89250</v>
      </c>
      <c r="C6024" s="2" t="s">
        <v>594</v>
      </c>
      <c r="D6024" s="2" t="str">
        <f t="shared" si="93"/>
        <v>Error?</v>
      </c>
    </row>
    <row r="6025" spans="1:5" x14ac:dyDescent="0.2">
      <c r="A6025" s="5">
        <v>5964</v>
      </c>
      <c r="B6025" s="138">
        <f>'Revenues 9-14'!H109</f>
        <v>92574</v>
      </c>
      <c r="C6025" s="2" t="s">
        <v>594</v>
      </c>
      <c r="D6025" s="2" t="str">
        <f t="shared" si="93"/>
        <v>Error?</v>
      </c>
    </row>
    <row r="6026" spans="1:5" x14ac:dyDescent="0.2">
      <c r="A6026" s="5">
        <v>5965</v>
      </c>
      <c r="B6026" s="138">
        <f>'Revenues 9-14'!I109</f>
        <v>17341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6730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38528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198.65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165822</v>
      </c>
      <c r="D6267" s="2" t="str">
        <f t="shared" si="96"/>
        <v>Error?</v>
      </c>
      <c r="E6267" s="2" t="s">
        <v>199</v>
      </c>
    </row>
    <row r="6268" spans="1:5" x14ac:dyDescent="0.2">
      <c r="A6268">
        <v>6207</v>
      </c>
      <c r="B6268" s="138">
        <f>'Acct Summary 7-8'!D82</f>
        <v>-393</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8655</v>
      </c>
      <c r="D6270" s="2" t="str">
        <f t="shared" si="96"/>
        <v>Error?</v>
      </c>
      <c r="E6270" s="2" t="s">
        <v>199</v>
      </c>
    </row>
    <row r="6271" spans="1:5" x14ac:dyDescent="0.2">
      <c r="A6271">
        <v>6210</v>
      </c>
      <c r="B6271" s="138">
        <f>'Acct Summary 7-8'!G82</f>
        <v>21259</v>
      </c>
      <c r="D6271" s="2" t="str">
        <f t="shared" ref="D6271:D6334" si="97">IF(ISBLANK(B6271),"OK",IF(A6271-B6271=0,"OK","Error?"))</f>
        <v>Error?</v>
      </c>
      <c r="E6271" s="2" t="s">
        <v>199</v>
      </c>
    </row>
    <row r="6272" spans="1:5" x14ac:dyDescent="0.2">
      <c r="A6272">
        <v>6211</v>
      </c>
      <c r="B6272" s="138">
        <f>'Acct Summary 7-8'!H82</f>
        <v>67937</v>
      </c>
      <c r="D6272" s="2" t="str">
        <f t="shared" si="97"/>
        <v>Error?</v>
      </c>
      <c r="E6272" s="2" t="s">
        <v>199</v>
      </c>
    </row>
    <row r="6273" spans="1:5" x14ac:dyDescent="0.2">
      <c r="A6273">
        <v>6212</v>
      </c>
      <c r="B6273" s="138">
        <f>'Acct Summary 7-8'!I82</f>
        <v>14591</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2831</v>
      </c>
      <c r="D6275" s="2" t="str">
        <f t="shared" si="97"/>
        <v>Error?</v>
      </c>
      <c r="E6275" s="2" t="s">
        <v>199</v>
      </c>
    </row>
    <row r="6276" spans="1:5" x14ac:dyDescent="0.2">
      <c r="A6276">
        <v>6215</v>
      </c>
      <c r="B6276" s="138">
        <f>'Acct Summary 7-8'!C83</f>
        <v>0.25062193754326356</v>
      </c>
      <c r="D6276" s="2" t="str">
        <f t="shared" si="97"/>
        <v>Error?</v>
      </c>
      <c r="E6276" s="2" t="s">
        <v>199</v>
      </c>
    </row>
    <row r="6277" spans="1:5" x14ac:dyDescent="0.2">
      <c r="A6277">
        <v>6216</v>
      </c>
      <c r="B6277" s="138">
        <f>'Acct Summary 7-8'!D83</f>
        <v>-1.9434279497576896E-3</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2.3725133839359872E-2</v>
      </c>
      <c r="D6279" s="2" t="str">
        <f t="shared" si="97"/>
        <v>Error?</v>
      </c>
      <c r="E6279" s="2" t="s">
        <v>199</v>
      </c>
    </row>
    <row r="6280" spans="1:5" x14ac:dyDescent="0.2">
      <c r="A6280">
        <v>6219</v>
      </c>
      <c r="B6280" s="138">
        <f>'Acct Summary 7-8'!G83</f>
        <v>0.21035810055313128</v>
      </c>
      <c r="D6280" s="2" t="str">
        <f t="shared" si="97"/>
        <v>Error?</v>
      </c>
      <c r="E6280" s="2" t="s">
        <v>199</v>
      </c>
    </row>
    <row r="6281" spans="1:5" x14ac:dyDescent="0.2">
      <c r="A6281">
        <v>6220</v>
      </c>
      <c r="B6281" s="138">
        <f>'Acct Summary 7-8'!H83</f>
        <v>0.1610343250078814</v>
      </c>
      <c r="D6281" s="2" t="str">
        <f t="shared" si="97"/>
        <v>Error?</v>
      </c>
      <c r="E6281" s="2" t="s">
        <v>199</v>
      </c>
    </row>
    <row r="6282" spans="1:5" x14ac:dyDescent="0.2">
      <c r="A6282">
        <v>6221</v>
      </c>
      <c r="B6282" s="138">
        <f>'Acct Summary 7-8'!I83</f>
        <v>2.3353521514497717E-2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2.9733647019283285E-2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788</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92354</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8744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11500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25918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25918</v>
      </c>
      <c r="D6940" s="2" t="str">
        <f t="shared" si="107"/>
        <v>Error?</v>
      </c>
    </row>
    <row r="6941" spans="1:4" x14ac:dyDescent="0.2">
      <c r="A6941">
        <v>6880</v>
      </c>
      <c r="B6941" s="138">
        <f>'Expenditures 15-22'!L52</f>
        <v>28000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2730</v>
      </c>
      <c r="D6981" s="2" t="str">
        <f t="shared" si="108"/>
        <v>Error?</v>
      </c>
    </row>
    <row r="6982" spans="1:4" x14ac:dyDescent="0.2">
      <c r="A6982">
        <v>6921</v>
      </c>
      <c r="B6982" s="138">
        <f>'Expenditures 15-22'!K85</f>
        <v>2730</v>
      </c>
      <c r="D6982" s="2" t="str">
        <f t="shared" si="108"/>
        <v>Error?</v>
      </c>
    </row>
    <row r="6983" spans="1:4" x14ac:dyDescent="0.2">
      <c r="A6983">
        <v>6922</v>
      </c>
      <c r="B6983" s="138">
        <f>'Expenditures 15-22'!H86</f>
        <v>18272</v>
      </c>
      <c r="D6983" s="2" t="str">
        <f t="shared" si="108"/>
        <v>Error?</v>
      </c>
    </row>
    <row r="6984" spans="1:4" x14ac:dyDescent="0.2">
      <c r="A6984">
        <v>6923</v>
      </c>
      <c r="B6984" s="138">
        <f>'Expenditures 15-22'!K86</f>
        <v>18272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7600</v>
      </c>
      <c r="D6987" s="2" t="str">
        <f t="shared" si="108"/>
        <v>Error?</v>
      </c>
    </row>
    <row r="6988" spans="1:4" x14ac:dyDescent="0.2">
      <c r="A6988">
        <v>6927</v>
      </c>
      <c r="B6988" s="138">
        <f>'Expenditures 15-22'!K88</f>
        <v>7600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28602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9455</v>
      </c>
      <c r="D7067" s="2" t="str">
        <f t="shared" si="109"/>
        <v>Error?</v>
      </c>
    </row>
    <row r="7068" spans="1:4" x14ac:dyDescent="0.2">
      <c r="A7068">
        <v>7007</v>
      </c>
      <c r="B7068" s="138">
        <f>'Expenditures 15-22'!K205</f>
        <v>9455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115</v>
      </c>
      <c r="D7079" s="2" t="str">
        <f t="shared" si="109"/>
        <v>Error?</v>
      </c>
    </row>
    <row r="7080" spans="1:4" x14ac:dyDescent="0.2">
      <c r="A7080">
        <v>7019</v>
      </c>
      <c r="B7080" s="138">
        <f>'Expenditures 15-22'!K226</f>
        <v>115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7953</v>
      </c>
      <c r="D7263" s="2" t="str">
        <f t="shared" si="112"/>
        <v>Error?</v>
      </c>
    </row>
    <row r="7264" spans="1:4" x14ac:dyDescent="0.2">
      <c r="A7264">
        <f t="shared" si="113"/>
        <v>7203</v>
      </c>
      <c r="B7264" s="138">
        <f>'Expenditures 15-22'!D17</f>
        <v>1513</v>
      </c>
      <c r="D7264" s="2" t="str">
        <f t="shared" si="112"/>
        <v>Error?</v>
      </c>
    </row>
    <row r="7265" spans="1:5" x14ac:dyDescent="0.2">
      <c r="A7265">
        <f t="shared" si="113"/>
        <v>7204</v>
      </c>
      <c r="B7265" s="138">
        <f>'Expenditures 15-22'!E17</f>
        <v>2029</v>
      </c>
      <c r="D7265" s="2" t="str">
        <f t="shared" si="112"/>
        <v>Error?</v>
      </c>
    </row>
    <row r="7266" spans="1:5" x14ac:dyDescent="0.2">
      <c r="A7266">
        <f t="shared" si="113"/>
        <v>7205</v>
      </c>
      <c r="B7266" s="138">
        <f>'Expenditures 15-22'!F17</f>
        <v>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106193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353942</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220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788</v>
      </c>
      <c r="D7712" s="2" t="str">
        <f t="shared" si="126"/>
        <v>Error?</v>
      </c>
      <c r="E7712" s="2" t="s">
        <v>881</v>
      </c>
    </row>
    <row r="7713" spans="1:6" x14ac:dyDescent="0.2">
      <c r="A7713">
        <v>7652</v>
      </c>
      <c r="B7713" s="138">
        <f>'Rest Tax Levies-Tort Im 25'!J8</f>
        <v>92354</v>
      </c>
      <c r="D7713" s="2" t="str">
        <f t="shared" si="126"/>
        <v>Error?</v>
      </c>
      <c r="E7713" s="2" t="s">
        <v>881</v>
      </c>
    </row>
    <row r="7714" spans="1:6" x14ac:dyDescent="0.2">
      <c r="A7714">
        <v>7653</v>
      </c>
      <c r="B7714" s="138">
        <f>'Rest Tax Levies-Tort Im 25'!K9</f>
        <v>3082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92574</v>
      </c>
      <c r="D7718" s="2" t="str">
        <f t="shared" si="126"/>
        <v>Error?</v>
      </c>
      <c r="E7718" s="2" t="s">
        <v>881</v>
      </c>
    </row>
    <row r="7719" spans="1:6" x14ac:dyDescent="0.2">
      <c r="A7719">
        <v>7658</v>
      </c>
      <c r="B7719" s="138">
        <f>'Rest Tax Levies-Tort Im 25'!K12</f>
        <v>3870</v>
      </c>
      <c r="D7719" s="2" t="str">
        <f t="shared" si="126"/>
        <v>Error?</v>
      </c>
      <c r="E7719" s="2" t="s">
        <v>881</v>
      </c>
    </row>
    <row r="7720" spans="1:6" x14ac:dyDescent="0.2">
      <c r="A7720">
        <v>7659</v>
      </c>
      <c r="B7720" s="138">
        <f>'Rest Tax Levies-Tort Im 25'!H14</f>
        <v>59441</v>
      </c>
      <c r="D7720" s="2" t="str">
        <f t="shared" si="126"/>
        <v>Error?</v>
      </c>
      <c r="E7720" s="2" t="s">
        <v>881</v>
      </c>
    </row>
    <row r="7721" spans="1:6" x14ac:dyDescent="0.2">
      <c r="A7721">
        <v>7660</v>
      </c>
      <c r="B7721" s="138">
        <f>'Rest Tax Levies-Tort Im 25'!K14</f>
        <v>3870</v>
      </c>
      <c r="D7721" s="2" t="str">
        <f t="shared" si="126"/>
        <v>Error?</v>
      </c>
      <c r="E7721" s="2" t="s">
        <v>881</v>
      </c>
    </row>
    <row r="7722" spans="1:6" x14ac:dyDescent="0.2">
      <c r="A7722">
        <v>7661</v>
      </c>
      <c r="B7722" s="138">
        <f>'Rest Tax Levies-Tort Im 25'!J15</f>
        <v>24637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24637</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421879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421879</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29'!D21</f>
        <v>28800</v>
      </c>
      <c r="D7797" s="2" t="str">
        <f t="shared" si="127"/>
        <v>Error?</v>
      </c>
      <c r="E7797" s="4" t="s">
        <v>2016</v>
      </c>
    </row>
    <row r="7798" spans="1:5" x14ac:dyDescent="0.2">
      <c r="A7798">
        <v>7737</v>
      </c>
      <c r="B7798" s="138">
        <f>'Contracts Paid in CY 29'!F21</f>
        <v>25000</v>
      </c>
      <c r="D7798" s="2" t="str">
        <f t="shared" si="127"/>
        <v>Error?</v>
      </c>
      <c r="E7798" s="4" t="s">
        <v>2016</v>
      </c>
    </row>
    <row r="7799" spans="1:5" x14ac:dyDescent="0.2">
      <c r="A7799">
        <v>7738</v>
      </c>
      <c r="B7799" s="138">
        <f>'Contracts Paid in CY 29'!G21</f>
        <v>3800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2" zoomScale="110" zoomScaleNormal="110" workbookViewId="0">
      <selection activeCell="B48" sqref="B4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04" t="s">
        <v>1252</v>
      </c>
      <c r="B3" s="2404"/>
      <c r="C3" s="2404"/>
      <c r="D3" s="2404"/>
      <c r="E3" s="2404"/>
      <c r="F3" s="2404"/>
      <c r="G3" s="2404"/>
      <c r="H3" s="2404"/>
      <c r="I3" s="2404"/>
      <c r="J3" s="2404"/>
      <c r="K3" s="2404"/>
      <c r="L3" s="2404"/>
    </row>
    <row r="4" spans="1:29" ht="13.5" customHeight="1" x14ac:dyDescent="0.2">
      <c r="A4" s="2418" t="s">
        <v>1799</v>
      </c>
      <c r="B4" s="2435"/>
      <c r="C4" s="2435"/>
      <c r="D4" s="2435"/>
      <c r="E4" s="2435"/>
      <c r="F4" s="2435"/>
      <c r="G4" s="2435"/>
      <c r="H4" s="2435"/>
      <c r="I4" s="2435"/>
      <c r="J4" s="2435"/>
      <c r="K4" s="2435"/>
      <c r="L4" s="243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8" t="str">
        <f>COVER!A17</f>
        <v>Hartsburg Emden CUSD 21</v>
      </c>
      <c r="B7" s="2399"/>
      <c r="C7" s="2399"/>
      <c r="D7" s="2436"/>
      <c r="E7" s="2437">
        <f>COVER!A13</f>
        <v>17054021026</v>
      </c>
      <c r="F7" s="2438"/>
      <c r="G7" s="2405" t="str">
        <f>COVER!T23</f>
        <v>066-005243</v>
      </c>
      <c r="H7" s="2406"/>
      <c r="I7" s="2406"/>
      <c r="J7" s="2406"/>
      <c r="K7" s="2406"/>
      <c r="L7" s="2407"/>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8"/>
      <c r="B9" s="2409"/>
      <c r="C9" s="2409"/>
      <c r="D9" s="2409"/>
      <c r="E9" s="2409"/>
      <c r="F9" s="2410"/>
      <c r="G9" s="2411" t="str">
        <f>COVER!T13</f>
        <v>J.M. ABBOTT &amp; ASSOCIATES, LTD.</v>
      </c>
      <c r="H9" s="2412"/>
      <c r="I9" s="2412"/>
      <c r="J9" s="2412"/>
      <c r="K9" s="2412"/>
      <c r="L9" s="2413"/>
    </row>
    <row r="10" spans="1:29" ht="13.5" customHeight="1" x14ac:dyDescent="0.2">
      <c r="A10" s="2395" t="str">
        <f>COVER!A38</f>
        <v>TERRY WISNIEWSKI</v>
      </c>
      <c r="B10" s="2396"/>
      <c r="C10" s="2396"/>
      <c r="D10" s="2396"/>
      <c r="E10" s="2396"/>
      <c r="F10" s="2397"/>
      <c r="G10" s="2411" t="str">
        <f>COVER!T17</f>
        <v>207 S. MCLEAN ST.</v>
      </c>
      <c r="H10" s="2424"/>
      <c r="I10" s="2424"/>
      <c r="J10" s="2424"/>
      <c r="K10" s="2424"/>
      <c r="L10" s="2425"/>
    </row>
    <row r="11" spans="1:29" ht="13.5" customHeight="1" x14ac:dyDescent="0.2">
      <c r="A11" s="1185" t="s">
        <v>1599</v>
      </c>
      <c r="B11" s="1186"/>
      <c r="C11" s="1187"/>
      <c r="D11" s="1192"/>
      <c r="E11" s="1187"/>
      <c r="F11" s="1191"/>
      <c r="G11" s="2411" t="str">
        <f>COVER!T19</f>
        <v>LINCOLN</v>
      </c>
      <c r="H11" s="2424"/>
      <c r="I11" s="2424"/>
      <c r="J11" s="2424"/>
      <c r="K11" s="2424"/>
      <c r="L11" s="2425"/>
    </row>
    <row r="12" spans="1:29" ht="13.5" customHeight="1" x14ac:dyDescent="0.2">
      <c r="A12" s="2429" t="s">
        <v>1598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1600</v>
      </c>
      <c r="H13" s="2420"/>
      <c r="I13" s="2432" t="str">
        <f>COVER!T25</f>
        <v>DEB@JMABBOTT.COM</v>
      </c>
      <c r="J13" s="2433"/>
      <c r="K13" s="2433"/>
      <c r="L13" s="2434"/>
    </row>
    <row r="14" spans="1:29" ht="13.5" customHeight="1" x14ac:dyDescent="0.2">
      <c r="A14" s="2411" t="str">
        <f>COVER!A19</f>
        <v>400 WEST FRONT STREET</v>
      </c>
      <c r="B14" s="2424"/>
      <c r="C14" s="2424"/>
      <c r="D14" s="2424"/>
      <c r="E14" s="2424"/>
      <c r="F14" s="2425"/>
      <c r="G14" s="1196" t="s">
        <v>1247</v>
      </c>
      <c r="H14" s="1194"/>
      <c r="I14" s="1194"/>
      <c r="J14" s="1194"/>
      <c r="K14" s="1194"/>
      <c r="L14" s="1195"/>
    </row>
    <row r="15" spans="1:29" ht="13.5" customHeight="1" x14ac:dyDescent="0.2">
      <c r="A15" s="2411" t="str">
        <f>COVER!A21</f>
        <v>HARTSBURG</v>
      </c>
      <c r="B15" s="2424"/>
      <c r="C15" s="2424"/>
      <c r="D15" s="2424"/>
      <c r="E15" s="2424"/>
      <c r="F15" s="2425"/>
      <c r="G15" s="2421" t="str">
        <f>COVER!T15</f>
        <v>DEBRA CURRY</v>
      </c>
      <c r="H15" s="2422"/>
      <c r="I15" s="2422"/>
      <c r="J15" s="2422"/>
      <c r="K15" s="2422"/>
      <c r="L15" s="2423"/>
    </row>
    <row r="16" spans="1:29" ht="12.2" customHeight="1" x14ac:dyDescent="0.2">
      <c r="A16" s="2401">
        <f>COVER!A25</f>
        <v>62643</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6" t="s">
        <v>1246</v>
      </c>
      <c r="H17" s="1194"/>
      <c r="I17" s="1194"/>
      <c r="J17" s="1194"/>
      <c r="K17" s="1198" t="s">
        <v>1245</v>
      </c>
      <c r="L17" s="1191"/>
      <c r="M17" s="1184"/>
    </row>
    <row r="18" spans="1:13" ht="12.2" customHeight="1" x14ac:dyDescent="0.2">
      <c r="A18" s="2395"/>
      <c r="B18" s="2396"/>
      <c r="C18" s="2396"/>
      <c r="D18" s="2396"/>
      <c r="E18" s="2396"/>
      <c r="F18" s="2397"/>
      <c r="G18" s="2398" t="str">
        <f>COVER!T21</f>
        <v>217-735-1576</v>
      </c>
      <c r="H18" s="2399"/>
      <c r="I18" s="2399"/>
      <c r="J18" s="2399"/>
      <c r="K18" s="2398" t="str">
        <f>COVER!X21</f>
        <v>217-735-5866</v>
      </c>
      <c r="L18" s="240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2073</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2073</v>
      </c>
      <c r="C26" s="1203" t="s">
        <v>1801</v>
      </c>
    </row>
    <row r="27" spans="1:13" s="1199" customFormat="1" ht="9" customHeight="1" x14ac:dyDescent="0.2">
      <c r="B27" s="1204"/>
      <c r="C27" s="1203"/>
    </row>
    <row r="28" spans="1:13" s="1199" customFormat="1" ht="12.2" customHeight="1" x14ac:dyDescent="0.2">
      <c r="A28" s="1206"/>
      <c r="B28" s="1202" t="s">
        <v>2073</v>
      </c>
      <c r="C28" s="1203" t="s">
        <v>1802</v>
      </c>
    </row>
    <row r="29" spans="1:13" s="1199" customFormat="1" ht="9" customHeight="1" x14ac:dyDescent="0.2">
      <c r="A29" s="1206"/>
      <c r="B29" s="1204"/>
      <c r="C29" s="1203"/>
    </row>
    <row r="30" spans="1:13" s="1199" customFormat="1" ht="12.2" customHeight="1" x14ac:dyDescent="0.2">
      <c r="B30" s="1202" t="s">
        <v>2073</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2073</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2073</v>
      </c>
      <c r="C38" s="1203" t="s">
        <v>1647</v>
      </c>
    </row>
    <row r="39" spans="1:8" ht="9" customHeight="1" x14ac:dyDescent="0.2">
      <c r="B39" s="1204"/>
      <c r="C39" s="1207"/>
    </row>
    <row r="40" spans="1:8" s="1199" customFormat="1" ht="13.5" customHeight="1" x14ac:dyDescent="0.2">
      <c r="B40" s="1202" t="s">
        <v>2073</v>
      </c>
      <c r="C40" s="1203" t="s">
        <v>1648</v>
      </c>
    </row>
    <row r="41" spans="1:8" ht="9" customHeight="1" x14ac:dyDescent="0.2">
      <c r="A41" s="1208"/>
      <c r="B41" s="1204"/>
      <c r="C41" s="1207"/>
    </row>
    <row r="42" spans="1:8" s="1199" customFormat="1" ht="13.5" customHeight="1" x14ac:dyDescent="0.2">
      <c r="B42" s="1202" t="s">
        <v>2073</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2073</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2" zoomScale="125" zoomScaleNormal="125" workbookViewId="0">
      <selection activeCell="B123" sqref="B12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9" t="str">
        <f>'Single Audit Cover'!A7</f>
        <v>Hartsburg Emden CUSD 21</v>
      </c>
      <c r="B1" s="2435"/>
      <c r="C1" s="2435"/>
      <c r="D1" s="2435"/>
    </row>
    <row r="2" spans="1:11" s="1215" customFormat="1" ht="12.75" x14ac:dyDescent="0.2">
      <c r="A2" s="2440">
        <f>'Single Audit Cover'!E7</f>
        <v>17054021026</v>
      </c>
      <c r="B2" s="2441"/>
      <c r="C2" s="2441"/>
      <c r="D2" s="2441"/>
    </row>
    <row r="3" spans="1:11" s="1215" customFormat="1" ht="12.75" x14ac:dyDescent="0.2">
      <c r="A3" s="2439" t="s">
        <v>1593</v>
      </c>
      <c r="B3" s="2435"/>
      <c r="C3" s="2435"/>
      <c r="D3" s="2435"/>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2073</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2073</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2073</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2073</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2073</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2073</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2073</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2073</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2073</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2073</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2073</v>
      </c>
      <c r="C42" s="1232">
        <v>11</v>
      </c>
      <c r="D42" s="1243" t="s">
        <v>1655</v>
      </c>
      <c r="E42" s="312"/>
    </row>
    <row r="43" spans="1:5" ht="3" customHeight="1" x14ac:dyDescent="0.2">
      <c r="A43" s="1222"/>
      <c r="B43" s="1239"/>
      <c r="C43" s="1240"/>
      <c r="D43" s="1221"/>
    </row>
    <row r="44" spans="1:5" x14ac:dyDescent="0.2">
      <c r="A44" s="1222"/>
      <c r="B44" s="1225" t="s">
        <v>2073</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2073</v>
      </c>
      <c r="C48" s="1226">
        <f>C44+1</f>
        <v>13</v>
      </c>
      <c r="D48" s="1237" t="s">
        <v>1656</v>
      </c>
    </row>
    <row r="49" spans="1:4" ht="3" customHeight="1" x14ac:dyDescent="0.2">
      <c r="A49" s="1222"/>
      <c r="B49" s="1229"/>
      <c r="C49" s="1226"/>
      <c r="D49" s="1237"/>
    </row>
    <row r="50" spans="1:4" x14ac:dyDescent="0.2">
      <c r="A50" s="1222"/>
      <c r="B50" s="1225" t="s">
        <v>2073</v>
      </c>
      <c r="C50" s="1226">
        <f>C48+1</f>
        <v>14</v>
      </c>
      <c r="D50" s="1237" t="s">
        <v>1274</v>
      </c>
    </row>
    <row r="51" spans="1:4" ht="3" customHeight="1" x14ac:dyDescent="0.2">
      <c r="A51" s="1222"/>
      <c r="B51" s="1229"/>
      <c r="C51" s="1226"/>
      <c r="D51" s="1237"/>
    </row>
    <row r="52" spans="1:4" x14ac:dyDescent="0.2">
      <c r="A52" s="1222"/>
      <c r="B52" s="1225" t="s">
        <v>2073</v>
      </c>
      <c r="C52" s="1226">
        <f>C50+1</f>
        <v>15</v>
      </c>
      <c r="D52" s="1237" t="s">
        <v>1273</v>
      </c>
    </row>
    <row r="53" spans="1:4" ht="3" customHeight="1" x14ac:dyDescent="0.2">
      <c r="A53" s="1222"/>
      <c r="B53" s="1229"/>
      <c r="C53" s="1226"/>
      <c r="D53" s="1237"/>
    </row>
    <row r="54" spans="1:4" x14ac:dyDescent="0.2">
      <c r="A54" s="1222"/>
      <c r="B54" s="1225" t="s">
        <v>2073</v>
      </c>
      <c r="C54" s="1226">
        <f>C52+1</f>
        <v>16</v>
      </c>
      <c r="D54" s="1237" t="s">
        <v>1272</v>
      </c>
    </row>
    <row r="55" spans="1:4" ht="3" customHeight="1" x14ac:dyDescent="0.2">
      <c r="A55" s="1222"/>
      <c r="B55" s="1229"/>
      <c r="C55" s="1226"/>
      <c r="D55" s="1237"/>
    </row>
    <row r="56" spans="1:4" x14ac:dyDescent="0.2">
      <c r="A56" s="1222"/>
      <c r="B56" s="1225" t="s">
        <v>2073</v>
      </c>
      <c r="C56" s="1226">
        <f>C54+1</f>
        <v>17</v>
      </c>
      <c r="D56" s="1221" t="s">
        <v>1811</v>
      </c>
    </row>
    <row r="57" spans="1:4" ht="10.5" customHeight="1" x14ac:dyDescent="0.2">
      <c r="A57" s="1222"/>
      <c r="D57" s="1237" t="s">
        <v>1812</v>
      </c>
    </row>
    <row r="58" spans="1:4" x14ac:dyDescent="0.2">
      <c r="A58" s="1222"/>
      <c r="C58" s="1244" t="s">
        <v>2073</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2073</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2073</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2073</v>
      </c>
      <c r="D69" s="1237" t="s">
        <v>1816</v>
      </c>
    </row>
    <row r="70" spans="1:4" x14ac:dyDescent="0.2">
      <c r="A70" s="1222"/>
      <c r="D70" s="1246" t="s">
        <v>1268</v>
      </c>
    </row>
    <row r="71" spans="1:4" ht="3" customHeight="1" x14ac:dyDescent="0.2">
      <c r="A71" s="1222"/>
      <c r="D71" s="1221"/>
    </row>
    <row r="72" spans="1:4" x14ac:dyDescent="0.2">
      <c r="A72" s="1222"/>
      <c r="B72" s="1225" t="s">
        <v>2073</v>
      </c>
      <c r="C72" s="1226">
        <f>C56+1</f>
        <v>18</v>
      </c>
      <c r="D72" s="1247" t="s">
        <v>1817</v>
      </c>
    </row>
    <row r="73" spans="1:4" ht="3" customHeight="1" x14ac:dyDescent="0.2">
      <c r="A73" s="1222"/>
      <c r="B73" s="1229"/>
      <c r="C73" s="1226"/>
      <c r="D73" s="1247"/>
    </row>
    <row r="74" spans="1:4" x14ac:dyDescent="0.2">
      <c r="A74" s="1222"/>
      <c r="B74" s="1225" t="s">
        <v>2073</v>
      </c>
      <c r="C74" s="1226">
        <f>C72+1</f>
        <v>19</v>
      </c>
      <c r="D74" s="1237" t="s">
        <v>1267</v>
      </c>
    </row>
    <row r="75" spans="1:4" ht="3" customHeight="1" x14ac:dyDescent="0.2">
      <c r="A75" s="1222"/>
      <c r="B75" s="1229"/>
      <c r="C75" s="1226"/>
      <c r="D75" s="1237"/>
    </row>
    <row r="76" spans="1:4" x14ac:dyDescent="0.2">
      <c r="A76" s="1222"/>
      <c r="B76" s="1225" t="s">
        <v>2073</v>
      </c>
      <c r="C76" s="1226">
        <f>C74+1</f>
        <v>20</v>
      </c>
      <c r="D76" s="1248" t="s">
        <v>1818</v>
      </c>
    </row>
    <row r="77" spans="1:4" ht="3" customHeight="1" x14ac:dyDescent="0.2">
      <c r="A77" s="1222"/>
      <c r="B77" s="1229"/>
      <c r="C77" s="1226"/>
      <c r="D77" s="1248"/>
    </row>
    <row r="78" spans="1:4" x14ac:dyDescent="0.2">
      <c r="A78" s="1222"/>
      <c r="B78" s="1225" t="s">
        <v>2073</v>
      </c>
      <c r="C78" s="1226">
        <f>C76+1</f>
        <v>21</v>
      </c>
      <c r="D78" s="1221" t="s">
        <v>1819</v>
      </c>
    </row>
    <row r="79" spans="1:4" ht="3" customHeight="1" x14ac:dyDescent="0.2">
      <c r="A79" s="1222"/>
      <c r="B79" s="1229"/>
      <c r="C79" s="1226"/>
      <c r="D79" s="1221"/>
    </row>
    <row r="80" spans="1:4" x14ac:dyDescent="0.2">
      <c r="A80" s="1222"/>
      <c r="B80" s="1225" t="s">
        <v>2073</v>
      </c>
      <c r="C80" s="1226">
        <f>C78+1</f>
        <v>22</v>
      </c>
      <c r="D80" s="1249" t="s">
        <v>1820</v>
      </c>
    </row>
    <row r="81" spans="1:4" ht="3" customHeight="1" x14ac:dyDescent="0.2">
      <c r="A81" s="1222"/>
      <c r="B81" s="1229"/>
      <c r="C81" s="1226"/>
      <c r="D81" s="1249"/>
    </row>
    <row r="82" spans="1:4" x14ac:dyDescent="0.2">
      <c r="A82" s="1222"/>
      <c r="B82" s="1225" t="s">
        <v>2073</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2073</v>
      </c>
      <c r="C85" s="1226">
        <f>C82+1</f>
        <v>24</v>
      </c>
      <c r="D85" s="1237" t="s">
        <v>1265</v>
      </c>
    </row>
    <row r="86" spans="1:4" ht="3" customHeight="1" x14ac:dyDescent="0.2">
      <c r="A86" s="1222"/>
      <c r="B86" s="1229"/>
      <c r="C86" s="1226"/>
      <c r="D86" s="1237"/>
    </row>
    <row r="87" spans="1:4" x14ac:dyDescent="0.2">
      <c r="A87" s="1222"/>
      <c r="B87" s="1225" t="s">
        <v>2073</v>
      </c>
      <c r="C87" s="1226">
        <f>C85+1</f>
        <v>25</v>
      </c>
      <c r="D87" s="1237" t="s">
        <v>1264</v>
      </c>
    </row>
    <row r="88" spans="1:4" ht="3" customHeight="1" x14ac:dyDescent="0.2">
      <c r="A88" s="1222"/>
      <c r="B88" s="1229"/>
      <c r="C88" s="1226"/>
      <c r="D88" s="1237"/>
    </row>
    <row r="89" spans="1:4" x14ac:dyDescent="0.2">
      <c r="A89" s="1222"/>
      <c r="B89" s="1225" t="s">
        <v>2073</v>
      </c>
      <c r="C89" s="1226">
        <f>C87+1</f>
        <v>26</v>
      </c>
      <c r="D89" s="1237" t="s">
        <v>1263</v>
      </c>
    </row>
    <row r="90" spans="1:4" ht="3" customHeight="1" x14ac:dyDescent="0.2">
      <c r="A90" s="1222"/>
      <c r="B90" s="1229"/>
      <c r="C90" s="1226"/>
      <c r="D90" s="1237"/>
    </row>
    <row r="91" spans="1:4" x14ac:dyDescent="0.2">
      <c r="A91" s="1222"/>
      <c r="B91" s="1225" t="s">
        <v>2082</v>
      </c>
      <c r="C91" s="1226">
        <f>C89+1</f>
        <v>27</v>
      </c>
      <c r="D91" s="1237" t="s">
        <v>1822</v>
      </c>
    </row>
    <row r="92" spans="1:4" x14ac:dyDescent="0.2">
      <c r="A92" s="1222"/>
      <c r="B92" s="1250"/>
      <c r="C92" s="1244" t="s">
        <v>2082</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2073</v>
      </c>
      <c r="C96" s="1226">
        <f>C91+1</f>
        <v>28</v>
      </c>
      <c r="D96" s="1237" t="s">
        <v>1823</v>
      </c>
    </row>
    <row r="97" spans="1:4" ht="3" customHeight="1" x14ac:dyDescent="0.2">
      <c r="A97" s="1222"/>
      <c r="B97" s="1229"/>
      <c r="C97" s="1226"/>
      <c r="D97" s="1237"/>
    </row>
    <row r="98" spans="1:4" x14ac:dyDescent="0.2">
      <c r="A98" s="1222"/>
      <c r="B98" s="1225" t="s">
        <v>2073</v>
      </c>
      <c r="C98" s="1226">
        <f>C96+1</f>
        <v>29</v>
      </c>
      <c r="D98" s="1251" t="s">
        <v>1824</v>
      </c>
    </row>
    <row r="99" spans="1:4" ht="3" customHeight="1" x14ac:dyDescent="0.2">
      <c r="A99" s="1222"/>
      <c r="B99" s="1229"/>
      <c r="C99" s="1226"/>
      <c r="D99" s="1251"/>
    </row>
    <row r="100" spans="1:4" x14ac:dyDescent="0.2">
      <c r="A100" s="1222"/>
      <c r="B100" s="1225" t="s">
        <v>2073</v>
      </c>
      <c r="C100" s="1226">
        <f>C98+1</f>
        <v>30</v>
      </c>
      <c r="D100" s="1237" t="s">
        <v>1825</v>
      </c>
    </row>
    <row r="101" spans="1:4" ht="3" customHeight="1" x14ac:dyDescent="0.2">
      <c r="A101" s="1222"/>
      <c r="B101" s="1229"/>
      <c r="C101" s="1226"/>
      <c r="D101" s="1252"/>
    </row>
    <row r="102" spans="1:4" x14ac:dyDescent="0.2">
      <c r="A102" s="1222"/>
      <c r="B102" s="1225" t="s">
        <v>2073</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2073</v>
      </c>
      <c r="C106" s="1226">
        <f>C102+1</f>
        <v>32</v>
      </c>
      <c r="D106" s="1221" t="s">
        <v>1661</v>
      </c>
    </row>
    <row r="107" spans="1:4" ht="3" customHeight="1" x14ac:dyDescent="0.2">
      <c r="A107" s="1222"/>
      <c r="B107" s="1229"/>
      <c r="C107" s="1226"/>
      <c r="D107" s="1221"/>
    </row>
    <row r="108" spans="1:4" x14ac:dyDescent="0.2">
      <c r="A108" s="1222"/>
      <c r="B108" s="1225" t="s">
        <v>2073</v>
      </c>
      <c r="C108" s="1226">
        <v>33</v>
      </c>
      <c r="D108" s="1221" t="s">
        <v>1826</v>
      </c>
    </row>
    <row r="109" spans="1:4" ht="3" customHeight="1" x14ac:dyDescent="0.2">
      <c r="A109" s="1222"/>
      <c r="B109" s="1229"/>
      <c r="C109" s="1226"/>
      <c r="D109" s="1221"/>
    </row>
    <row r="110" spans="1:4" x14ac:dyDescent="0.2">
      <c r="A110" s="1222"/>
      <c r="B110" s="1225" t="s">
        <v>2073</v>
      </c>
      <c r="C110" s="1226">
        <f>C108+1</f>
        <v>34</v>
      </c>
      <c r="D110" s="1221" t="s">
        <v>1260</v>
      </c>
    </row>
    <row r="111" spans="1:4" ht="3" customHeight="1" x14ac:dyDescent="0.2">
      <c r="A111" s="1222"/>
      <c r="B111" s="1229"/>
      <c r="C111" s="1226"/>
      <c r="D111" s="1221"/>
    </row>
    <row r="112" spans="1:4" x14ac:dyDescent="0.2">
      <c r="A112" s="1222"/>
      <c r="B112" s="1225" t="s">
        <v>2073</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2082</v>
      </c>
      <c r="C115" s="1226">
        <f>C112+1</f>
        <v>36</v>
      </c>
      <c r="D115" s="1237" t="s">
        <v>1257</v>
      </c>
    </row>
    <row r="116" spans="1:4" ht="3" customHeight="1" x14ac:dyDescent="0.2">
      <c r="A116" s="1222"/>
      <c r="B116" s="1229"/>
      <c r="C116" s="1226"/>
      <c r="D116" s="1237"/>
    </row>
    <row r="117" spans="1:4" x14ac:dyDescent="0.2">
      <c r="A117" s="1222"/>
      <c r="B117" s="1225" t="s">
        <v>2082</v>
      </c>
      <c r="C117" s="1226">
        <f>C115+1</f>
        <v>37</v>
      </c>
      <c r="D117" s="1237" t="s">
        <v>1827</v>
      </c>
    </row>
    <row r="118" spans="1:4" ht="3" customHeight="1" x14ac:dyDescent="0.2">
      <c r="A118" s="1222"/>
      <c r="B118" s="1229"/>
      <c r="C118" s="1226"/>
      <c r="D118" s="1237"/>
    </row>
    <row r="119" spans="1:4" x14ac:dyDescent="0.2">
      <c r="A119" s="1222"/>
      <c r="B119" s="1225" t="s">
        <v>2082</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2073</v>
      </c>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 right="0.25" top="0.41" bottom="0.37" header="0.28000000000000003" footer="0.25"/>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3" t="str">
        <f>'Single Audit Cover'!A7</f>
        <v>Hartsburg Emden CUSD 21</v>
      </c>
      <c r="B1" s="2443"/>
      <c r="C1" s="2443"/>
      <c r="D1" s="2443"/>
      <c r="E1" s="2443"/>
    </row>
    <row r="2" spans="1:5" x14ac:dyDescent="0.2">
      <c r="A2" s="2444">
        <f>'Single Audit Cover'!E7</f>
        <v>17054021026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60" t="s">
        <v>1305</v>
      </c>
    </row>
    <row r="10" spans="1:5" x14ac:dyDescent="0.2">
      <c r="A10" s="1261" t="s">
        <v>1304</v>
      </c>
      <c r="B10" s="1262" t="s">
        <v>1303</v>
      </c>
      <c r="C10" s="1262"/>
      <c r="D10" s="1263">
        <f>SUM('Acct Summary 7-8'!C7:K7)</f>
        <v>166496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166496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5"/>
      <c r="B24" s="2445"/>
      <c r="D24" s="1268"/>
    </row>
    <row r="25" spans="1:4" x14ac:dyDescent="0.2">
      <c r="A25" s="2442"/>
      <c r="B25" s="2442"/>
      <c r="D25" s="1268"/>
    </row>
    <row r="26" spans="1:4" x14ac:dyDescent="0.2">
      <c r="A26" s="2442"/>
      <c r="B26" s="2442"/>
      <c r="D26" s="1268"/>
    </row>
    <row r="27" spans="1:4" x14ac:dyDescent="0.2">
      <c r="A27" s="2442"/>
      <c r="B27" s="2442"/>
      <c r="D27" s="1268"/>
    </row>
    <row r="28" spans="1:4" x14ac:dyDescent="0.2">
      <c r="A28" s="2442"/>
      <c r="B28" s="2442"/>
      <c r="D28" s="1268"/>
    </row>
    <row r="29" spans="1:4" x14ac:dyDescent="0.2">
      <c r="A29" s="2442"/>
      <c r="B29" s="2442"/>
      <c r="D29" s="1268"/>
    </row>
    <row r="30" spans="1:4" x14ac:dyDescent="0.2">
      <c r="A30" s="2442"/>
      <c r="B30" s="2442"/>
      <c r="D30" s="1268"/>
    </row>
    <row r="32" spans="1:4" x14ac:dyDescent="0.2">
      <c r="A32" s="1260" t="s">
        <v>1295</v>
      </c>
      <c r="D32" s="1263">
        <f>SUM(D19:D30)</f>
        <v>166496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2"/>
      <c r="B40" s="2442"/>
      <c r="D40" s="1268"/>
    </row>
    <row r="41" spans="1:4" x14ac:dyDescent="0.2">
      <c r="A41" s="2442"/>
      <c r="B41" s="2442"/>
      <c r="D41" s="1271"/>
    </row>
    <row r="42" spans="1:4" x14ac:dyDescent="0.2">
      <c r="A42" s="2442"/>
      <c r="B42" s="2442"/>
      <c r="D42" s="1271"/>
    </row>
    <row r="43" spans="1:4" x14ac:dyDescent="0.2">
      <c r="A43" s="2442"/>
      <c r="B43" s="2442"/>
      <c r="D43" s="1271"/>
    </row>
    <row r="44" spans="1:4" x14ac:dyDescent="0.2">
      <c r="A44" s="2442"/>
      <c r="B44" s="2442"/>
      <c r="D44" s="1271"/>
    </row>
    <row r="45" spans="1:4" x14ac:dyDescent="0.2">
      <c r="A45" s="2442"/>
      <c r="B45" s="2442"/>
      <c r="D45" s="1271"/>
    </row>
    <row r="47" spans="1:4" x14ac:dyDescent="0.2">
      <c r="B47" s="1272" t="s">
        <v>1289</v>
      </c>
      <c r="C47" s="1272"/>
      <c r="D47" s="1273">
        <f>SUM(D35:D45)</f>
        <v>0</v>
      </c>
    </row>
    <row r="49" spans="2:4" x14ac:dyDescent="0.2">
      <c r="B49" s="1272" t="s">
        <v>1288</v>
      </c>
      <c r="C49" s="1272"/>
      <c r="D49" s="1273">
        <f>D32-D47</f>
        <v>166496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Hartsburg Emden CUSD 21</v>
      </c>
      <c r="B1" s="2448"/>
      <c r="C1" s="2448"/>
      <c r="D1" s="2448"/>
      <c r="E1" s="2448"/>
      <c r="F1" s="2448"/>
    </row>
    <row r="2" spans="1:7" ht="13.5" customHeight="1" x14ac:dyDescent="0.2">
      <c r="A2" s="2449">
        <f>'Single Audit Cover'!E7</f>
        <v>17054021026</v>
      </c>
      <c r="B2" s="2449"/>
      <c r="C2" s="2449"/>
      <c r="D2" s="2449"/>
      <c r="E2" s="2449"/>
      <c r="F2" s="2449"/>
      <c r="G2" s="1275"/>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76" t="s">
        <v>1831</v>
      </c>
      <c r="C6" s="317"/>
      <c r="D6" s="317"/>
    </row>
    <row r="7" spans="1:7" ht="60.95" customHeight="1" x14ac:dyDescent="0.2">
      <c r="A7" s="2447" t="s">
        <v>2083</v>
      </c>
      <c r="B7" s="2447"/>
      <c r="C7" s="2447"/>
      <c r="D7" s="2447"/>
      <c r="E7" s="2447"/>
      <c r="F7" s="2447"/>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2084</v>
      </c>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47" t="s">
        <v>1833</v>
      </c>
      <c r="B13" s="2447"/>
      <c r="C13" s="2447"/>
      <c r="D13" s="2447"/>
      <c r="E13" s="2447"/>
      <c r="F13" s="2447"/>
    </row>
    <row r="14" spans="1:7" ht="9.75" customHeight="1" x14ac:dyDescent="0.2">
      <c r="C14" s="1260"/>
      <c r="D14" s="1260"/>
    </row>
    <row r="15" spans="1:7" ht="13.5" customHeight="1" x14ac:dyDescent="0.2">
      <c r="C15" s="1865" t="s">
        <v>1332</v>
      </c>
      <c r="D15" s="2453" t="s">
        <v>1331</v>
      </c>
      <c r="E15" s="2453"/>
      <c r="F15" s="2453"/>
    </row>
    <row r="16" spans="1:7" ht="13.5" customHeight="1" x14ac:dyDescent="0.2">
      <c r="A16" s="1282"/>
      <c r="B16" s="1276" t="s">
        <v>1330</v>
      </c>
      <c r="C16" s="1865" t="s">
        <v>1329</v>
      </c>
      <c r="D16" s="2454" t="s">
        <v>1670</v>
      </c>
      <c r="E16" s="2454"/>
      <c r="F16" s="2454"/>
    </row>
    <row r="17" spans="1:6" ht="20.45" customHeight="1" x14ac:dyDescent="0.2">
      <c r="A17" s="1283"/>
      <c r="B17" s="1284" t="s">
        <v>2082</v>
      </c>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2"/>
      <c r="E30" s="1286"/>
    </row>
    <row r="31" spans="1:6" ht="12" customHeight="1" x14ac:dyDescent="0.2">
      <c r="A31" s="1287" t="s">
        <v>1630</v>
      </c>
      <c r="B31" s="328"/>
      <c r="C31" s="1478"/>
      <c r="D31" s="1922"/>
      <c r="E31" s="1286"/>
    </row>
    <row r="32" spans="1:6" ht="30" customHeight="1" x14ac:dyDescent="0.2">
      <c r="A32" s="2456" t="s">
        <v>1834</v>
      </c>
      <c r="B32" s="2456"/>
      <c r="C32" s="2456"/>
      <c r="D32" s="2456"/>
      <c r="E32" s="2456"/>
      <c r="F32" s="2456"/>
    </row>
    <row r="33" spans="1:6" ht="13.5" customHeight="1" x14ac:dyDescent="0.2">
      <c r="A33" s="328" t="s">
        <v>1509</v>
      </c>
      <c r="B33" s="328"/>
      <c r="C33" s="1288">
        <v>0</v>
      </c>
      <c r="D33" s="1922"/>
      <c r="E33" s="1286"/>
    </row>
    <row r="34" spans="1:6" ht="13.5" customHeight="1" x14ac:dyDescent="0.2">
      <c r="A34" s="328" t="s">
        <v>1945</v>
      </c>
      <c r="B34" s="328"/>
      <c r="C34" s="1289">
        <v>0</v>
      </c>
      <c r="D34" s="1922" t="s">
        <v>1671</v>
      </c>
      <c r="E34" s="2457">
        <f>+C33+C34</f>
        <v>0</v>
      </c>
      <c r="F34" s="2458"/>
    </row>
    <row r="35" spans="1:6" ht="12" customHeight="1" x14ac:dyDescent="0.2">
      <c r="A35" s="328"/>
      <c r="B35" s="328"/>
      <c r="C35" s="1923"/>
      <c r="D35" s="1922"/>
      <c r="E35" s="1290"/>
      <c r="F35" s="1291"/>
    </row>
    <row r="36" spans="1:6" ht="13.5" customHeight="1" x14ac:dyDescent="0.2">
      <c r="A36" s="1287" t="s">
        <v>1631</v>
      </c>
      <c r="B36" s="328"/>
      <c r="C36" s="1478"/>
      <c r="D36" s="1922"/>
      <c r="E36" s="1286"/>
    </row>
    <row r="37" spans="1:6" ht="14.25" customHeight="1" x14ac:dyDescent="0.2">
      <c r="A37" s="328" t="s">
        <v>1563</v>
      </c>
      <c r="B37" s="328"/>
      <c r="C37" s="1924"/>
      <c r="D37" s="1922"/>
      <c r="E37" s="1286"/>
    </row>
    <row r="38" spans="1:6" ht="14.25" customHeight="1" x14ac:dyDescent="0.2">
      <c r="A38" s="328"/>
      <c r="B38" s="328" t="s">
        <v>1510</v>
      </c>
      <c r="C38" s="1292">
        <v>0</v>
      </c>
      <c r="D38" s="1922"/>
      <c r="E38" s="1286"/>
    </row>
    <row r="39" spans="1:6" ht="14.25" customHeight="1" x14ac:dyDescent="0.2">
      <c r="A39" s="328"/>
      <c r="B39" s="328" t="s">
        <v>1511</v>
      </c>
      <c r="C39" s="1292">
        <v>0</v>
      </c>
      <c r="D39" s="1922"/>
      <c r="E39" s="1286"/>
    </row>
    <row r="40" spans="1:6" ht="14.25" customHeight="1" x14ac:dyDescent="0.2">
      <c r="A40" s="328"/>
      <c r="B40" s="328" t="s">
        <v>1512</v>
      </c>
      <c r="C40" s="1292">
        <v>0</v>
      </c>
      <c r="D40" s="1922"/>
      <c r="E40" s="1286"/>
    </row>
    <row r="41" spans="1:6" ht="14.25" customHeight="1" x14ac:dyDescent="0.2">
      <c r="A41" s="328"/>
      <c r="B41" s="328" t="s">
        <v>1513</v>
      </c>
      <c r="C41" s="1292">
        <v>0</v>
      </c>
      <c r="D41" s="1922"/>
      <c r="E41" s="1286"/>
    </row>
    <row r="42" spans="1:6" ht="14.25" customHeight="1" x14ac:dyDescent="0.2">
      <c r="A42" s="328" t="s">
        <v>1514</v>
      </c>
      <c r="B42" s="328"/>
      <c r="C42" s="1920">
        <v>0</v>
      </c>
      <c r="D42" s="1922"/>
      <c r="E42" s="1286"/>
    </row>
    <row r="43" spans="1:6" ht="14.25" customHeight="1" x14ac:dyDescent="0.2">
      <c r="A43" s="328" t="s">
        <v>1515</v>
      </c>
      <c r="B43" s="328"/>
      <c r="C43" s="1293" t="s">
        <v>101</v>
      </c>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9" t="s">
        <v>1672</v>
      </c>
      <c r="C49" s="2459"/>
      <c r="D49" s="2459"/>
      <c r="E49" s="1399"/>
    </row>
    <row r="50" spans="1:5" s="1300" customFormat="1" ht="3.75" customHeight="1" x14ac:dyDescent="0.2">
      <c r="A50" s="1299"/>
      <c r="B50" s="1864"/>
      <c r="C50" s="1864"/>
      <c r="D50" s="1864"/>
      <c r="E50" s="1399"/>
    </row>
    <row r="51" spans="1:5" s="1300" customFormat="1" ht="20.25" customHeight="1" x14ac:dyDescent="0.2">
      <c r="A51" s="1301">
        <v>6</v>
      </c>
      <c r="B51" s="2455" t="s">
        <v>1632</v>
      </c>
      <c r="C51" s="2455"/>
      <c r="D51" s="2455"/>
    </row>
    <row r="52" spans="1:5" ht="14.25" customHeight="1" x14ac:dyDescent="0.2">
      <c r="A52" s="1301"/>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 right="0.27" top="0.68" bottom="1" header="0.26" footer="0.5"/>
  <pageSetup scale="8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4" t="str">
        <f>'Single Audit Cover'!A7</f>
        <v>Hartsburg Emden CUSD 21</v>
      </c>
      <c r="C1" s="2460"/>
      <c r="D1" s="2460"/>
      <c r="E1" s="2460"/>
      <c r="F1" s="2460"/>
      <c r="G1" s="2460"/>
      <c r="H1" s="2460"/>
      <c r="I1" s="2460"/>
      <c r="J1" s="2460"/>
      <c r="K1" s="2460"/>
      <c r="L1" s="2460"/>
      <c r="M1" s="2460"/>
    </row>
    <row r="2" spans="2:14" ht="15" x14ac:dyDescent="0.2">
      <c r="B2" s="2449">
        <f>'Single Audit Cover'!E7</f>
        <v>17054021026</v>
      </c>
      <c r="C2" s="2449"/>
      <c r="D2" s="2449"/>
      <c r="E2" s="2449"/>
      <c r="F2" s="2449"/>
      <c r="G2" s="2449"/>
      <c r="H2" s="2449"/>
      <c r="I2" s="2449"/>
      <c r="J2" s="2449"/>
      <c r="K2" s="2449"/>
      <c r="L2" s="2449"/>
      <c r="M2" s="2449"/>
      <c r="N2" s="1302"/>
    </row>
    <row r="3" spans="2:14" ht="15" x14ac:dyDescent="0.2">
      <c r="B3" s="2461" t="s">
        <v>1281</v>
      </c>
      <c r="C3" s="2461"/>
      <c r="D3" s="2461"/>
      <c r="E3" s="2461"/>
      <c r="F3" s="2461"/>
      <c r="G3" s="2461"/>
      <c r="H3" s="2461"/>
      <c r="I3" s="2461"/>
      <c r="J3" s="2461"/>
      <c r="K3" s="2461"/>
      <c r="L3" s="2461"/>
      <c r="M3" s="2461"/>
      <c r="N3" s="1302"/>
    </row>
    <row r="4" spans="2:14" ht="15" x14ac:dyDescent="0.2">
      <c r="B4" s="2462" t="str">
        <f>'Single Audit Cover'!A4</f>
        <v>Year Ending June 30, 2018</v>
      </c>
      <c r="C4" s="2462"/>
      <c r="D4" s="2462"/>
      <c r="E4" s="2462"/>
      <c r="F4" s="2462"/>
      <c r="G4" s="2462"/>
      <c r="H4" s="2462"/>
      <c r="I4" s="2462"/>
      <c r="J4" s="2462"/>
      <c r="K4" s="2462"/>
      <c r="L4" s="2462"/>
      <c r="M4" s="2462"/>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1837</v>
      </c>
      <c r="D9" s="1314" t="s">
        <v>1838</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23" sqref="O2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4" t="str">
        <f>'Single Audit Cover'!A7</f>
        <v>Hartsburg Emden CUSD 21</v>
      </c>
      <c r="C1" s="2460"/>
      <c r="D1" s="2460"/>
      <c r="E1" s="2460"/>
      <c r="F1" s="2460"/>
      <c r="G1" s="2460"/>
      <c r="H1" s="2460"/>
      <c r="I1" s="2460"/>
      <c r="J1" s="2460"/>
      <c r="K1" s="2460"/>
      <c r="L1" s="2460"/>
      <c r="M1" s="2460"/>
    </row>
    <row r="2" spans="2:14" ht="15" x14ac:dyDescent="0.2">
      <c r="B2" s="2449">
        <f>'Single Audit Cover'!E7</f>
        <v>17054021026</v>
      </c>
      <c r="C2" s="2449"/>
      <c r="D2" s="2449"/>
      <c r="E2" s="2449"/>
      <c r="F2" s="2449"/>
      <c r="G2" s="2449"/>
      <c r="H2" s="2449"/>
      <c r="I2" s="2449"/>
      <c r="J2" s="2449"/>
      <c r="K2" s="2449"/>
      <c r="L2" s="2449"/>
      <c r="M2" s="2449"/>
      <c r="N2" s="1302"/>
    </row>
    <row r="3" spans="2:14" ht="15" x14ac:dyDescent="0.2">
      <c r="B3" s="2461" t="s">
        <v>1281</v>
      </c>
      <c r="C3" s="2461"/>
      <c r="D3" s="2461"/>
      <c r="E3" s="2461"/>
      <c r="F3" s="2461"/>
      <c r="G3" s="2461"/>
      <c r="H3" s="2461"/>
      <c r="I3" s="2461"/>
      <c r="J3" s="2461"/>
      <c r="K3" s="2461"/>
      <c r="L3" s="2461"/>
      <c r="M3" s="2461"/>
      <c r="N3" s="1302"/>
    </row>
    <row r="4" spans="2:14" ht="15" x14ac:dyDescent="0.2">
      <c r="B4" s="2462" t="str">
        <f>'Single Audit Cover'!A4</f>
        <v>Year Ending June 30, 2018</v>
      </c>
      <c r="C4" s="2462"/>
      <c r="D4" s="2462"/>
      <c r="E4" s="2462"/>
      <c r="F4" s="2462"/>
      <c r="G4" s="2462"/>
      <c r="H4" s="2462"/>
      <c r="I4" s="2462"/>
      <c r="J4" s="2462"/>
      <c r="K4" s="2462"/>
      <c r="L4" s="2462"/>
      <c r="M4" s="2462"/>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1837</v>
      </c>
      <c r="D9" s="1314" t="s">
        <v>1838</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40A&amp;R&amp;8Page 40A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19" sqref="O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4" t="str">
        <f>'Single Audit Cover'!A7</f>
        <v>Hartsburg Emden CUSD 21</v>
      </c>
      <c r="C1" s="2460"/>
      <c r="D1" s="2460"/>
      <c r="E1" s="2460"/>
      <c r="F1" s="2460"/>
      <c r="G1" s="2460"/>
      <c r="H1" s="2460"/>
      <c r="I1" s="2460"/>
      <c r="J1" s="2460"/>
      <c r="K1" s="2460"/>
      <c r="L1" s="2460"/>
      <c r="M1" s="2460"/>
    </row>
    <row r="2" spans="2:14" ht="15" x14ac:dyDescent="0.2">
      <c r="B2" s="2449">
        <f>'Single Audit Cover'!E7</f>
        <v>17054021026</v>
      </c>
      <c r="C2" s="2449"/>
      <c r="D2" s="2449"/>
      <c r="E2" s="2449"/>
      <c r="F2" s="2449"/>
      <c r="G2" s="2449"/>
      <c r="H2" s="2449"/>
      <c r="I2" s="2449"/>
      <c r="J2" s="2449"/>
      <c r="K2" s="2449"/>
      <c r="L2" s="2449"/>
      <c r="M2" s="2449"/>
      <c r="N2" s="1302"/>
    </row>
    <row r="3" spans="2:14" ht="15" x14ac:dyDescent="0.2">
      <c r="B3" s="2461" t="s">
        <v>1281</v>
      </c>
      <c r="C3" s="2461"/>
      <c r="D3" s="2461"/>
      <c r="E3" s="2461"/>
      <c r="F3" s="2461"/>
      <c r="G3" s="2461"/>
      <c r="H3" s="2461"/>
      <c r="I3" s="2461"/>
      <c r="J3" s="2461"/>
      <c r="K3" s="2461"/>
      <c r="L3" s="2461"/>
      <c r="M3" s="2461"/>
      <c r="N3" s="1302"/>
    </row>
    <row r="4" spans="2:14" ht="15" x14ac:dyDescent="0.2">
      <c r="B4" s="2462" t="str">
        <f>'Single Audit Cover'!A4</f>
        <v>Year Ending June 30, 2018</v>
      </c>
      <c r="C4" s="2462"/>
      <c r="D4" s="2462"/>
      <c r="E4" s="2462"/>
      <c r="F4" s="2462"/>
      <c r="G4" s="2462"/>
      <c r="H4" s="2462"/>
      <c r="I4" s="2462"/>
      <c r="J4" s="2462"/>
      <c r="K4" s="2462"/>
      <c r="L4" s="2462"/>
      <c r="M4" s="2462"/>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4"/>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1837</v>
      </c>
      <c r="D9" s="1314" t="s">
        <v>1838</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40B&amp;R&amp;8Page 40B</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Hartsburg Emden CUSD 21</v>
      </c>
      <c r="C1" s="2468"/>
      <c r="D1" s="2468"/>
      <c r="E1" s="2468"/>
      <c r="F1" s="2468"/>
      <c r="G1" s="2468"/>
      <c r="H1" s="2468"/>
      <c r="I1" s="2468"/>
      <c r="J1" s="1422"/>
    </row>
    <row r="2" spans="2:10" s="317" customFormat="1" ht="12.75" customHeight="1" x14ac:dyDescent="0.2">
      <c r="B2" s="2469">
        <f>'Single Audit Cover'!E7</f>
        <v>17054021026</v>
      </c>
      <c r="C2" s="2470"/>
      <c r="D2" s="2470"/>
      <c r="E2" s="2470"/>
      <c r="F2" s="2470"/>
      <c r="G2" s="2470"/>
      <c r="H2" s="2470"/>
      <c r="I2" s="2470"/>
      <c r="J2" s="1422"/>
    </row>
    <row r="3" spans="2:10" s="317" customFormat="1" ht="12.75" customHeight="1" x14ac:dyDescent="0.2">
      <c r="B3" s="2471" t="s">
        <v>1347</v>
      </c>
      <c r="C3" s="2472"/>
      <c r="D3" s="2472"/>
      <c r="E3" s="2472"/>
      <c r="F3" s="2472"/>
      <c r="G3" s="2472"/>
      <c r="H3" s="2472"/>
      <c r="I3" s="2472"/>
      <c r="J3" s="1423"/>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1" t="s">
        <v>1346</v>
      </c>
      <c r="C7" s="2472"/>
      <c r="D7" s="2472"/>
      <c r="E7" s="2472"/>
      <c r="F7" s="2472"/>
      <c r="G7" s="2472"/>
      <c r="H7" s="2472"/>
      <c r="I7" s="247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3"/>
      <c r="D11" s="247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4"/>
      <c r="E29" s="2474"/>
      <c r="F29" s="2474"/>
      <c r="G29" s="2474"/>
      <c r="H29" s="2474"/>
      <c r="I29" s="2474"/>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75" t="s">
        <v>1853</v>
      </c>
      <c r="D37" s="2476"/>
      <c r="E37" s="2476"/>
      <c r="F37" s="2477"/>
      <c r="G37" s="2475" t="s">
        <v>1674</v>
      </c>
      <c r="H37" s="2476"/>
      <c r="I37" s="2477"/>
    </row>
    <row r="38" spans="2:9" ht="16.5" customHeight="1" x14ac:dyDescent="0.2">
      <c r="B38" s="1444"/>
      <c r="C38" s="2463"/>
      <c r="D38" s="2464"/>
      <c r="E38" s="2464"/>
      <c r="F38" s="2465"/>
      <c r="G38" s="2478"/>
      <c r="H38" s="2479"/>
      <c r="I38" s="2480"/>
    </row>
    <row r="39" spans="2:9" ht="16.5" customHeight="1" x14ac:dyDescent="0.2">
      <c r="B39" s="1444"/>
      <c r="C39" s="2463"/>
      <c r="D39" s="2464"/>
      <c r="E39" s="2464"/>
      <c r="F39" s="2465"/>
      <c r="G39" s="2466"/>
      <c r="H39" s="2466"/>
      <c r="I39" s="2466"/>
    </row>
    <row r="40" spans="2:9" ht="16.5" customHeight="1" x14ac:dyDescent="0.2">
      <c r="B40" s="1444"/>
      <c r="C40" s="2463"/>
      <c r="D40" s="2464"/>
      <c r="E40" s="2464"/>
      <c r="F40" s="2465"/>
      <c r="G40" s="2466"/>
      <c r="H40" s="2466"/>
      <c r="I40" s="2466"/>
    </row>
    <row r="41" spans="2:9" ht="16.5" customHeight="1" x14ac:dyDescent="0.2">
      <c r="B41" s="1444"/>
      <c r="C41" s="2463"/>
      <c r="D41" s="2464"/>
      <c r="E41" s="2464"/>
      <c r="F41" s="2465"/>
      <c r="G41" s="2466"/>
      <c r="H41" s="2466"/>
      <c r="I41" s="2466"/>
    </row>
    <row r="42" spans="2:9" ht="16.5" customHeight="1" x14ac:dyDescent="0.2">
      <c r="B42" s="1444"/>
      <c r="C42" s="2463"/>
      <c r="D42" s="2464"/>
      <c r="E42" s="2464"/>
      <c r="F42" s="2465"/>
      <c r="G42" s="2466"/>
      <c r="H42" s="2466"/>
      <c r="I42" s="2466"/>
    </row>
    <row r="43" spans="2:9" ht="16.5" customHeight="1" x14ac:dyDescent="0.2">
      <c r="B43" s="1444"/>
      <c r="C43" s="2481" t="s">
        <v>1675</v>
      </c>
      <c r="D43" s="2482"/>
      <c r="E43" s="2482"/>
      <c r="F43" s="2483"/>
      <c r="G43" s="2484">
        <f>SUM(G38:I42)</f>
        <v>0</v>
      </c>
      <c r="H43" s="2484"/>
      <c r="I43" s="2484"/>
    </row>
    <row r="44" spans="2:9" ht="12.75" customHeight="1" x14ac:dyDescent="0.2"/>
    <row r="45" spans="2:9" ht="12.75" customHeight="1" x14ac:dyDescent="0.2">
      <c r="B45" s="1435" t="s">
        <v>1948</v>
      </c>
      <c r="D45" s="2485">
        <v>0</v>
      </c>
      <c r="E45" s="2486"/>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7"/>
      <c r="F49" s="2487"/>
      <c r="G49" s="2487"/>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4" right="0.26" top="0.46" bottom="0.49" header="0.25"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Hartsburg Emden CUSD 21</v>
      </c>
      <c r="C1" s="2467"/>
      <c r="D1" s="2467"/>
      <c r="E1" s="2467"/>
      <c r="F1" s="2467"/>
      <c r="G1" s="2467"/>
      <c r="H1" s="2467"/>
      <c r="I1" s="2467"/>
      <c r="J1" s="2467"/>
      <c r="K1" s="2467"/>
      <c r="L1" s="1374"/>
      <c r="M1" s="1374"/>
    </row>
    <row r="2" spans="1:13" ht="12" customHeight="1" x14ac:dyDescent="0.2">
      <c r="B2" s="2469">
        <f>'Single Audit Cover'!E7</f>
        <v>17054021026</v>
      </c>
      <c r="C2" s="2469"/>
      <c r="D2" s="2469"/>
      <c r="E2" s="2469"/>
      <c r="F2" s="2469"/>
      <c r="G2" s="2469"/>
      <c r="H2" s="2469"/>
      <c r="I2" s="2469"/>
      <c r="J2" s="2469"/>
      <c r="K2" s="2469"/>
      <c r="L2" s="1375"/>
      <c r="M2" s="1376"/>
    </row>
    <row r="3" spans="1:13" ht="10.35" customHeight="1" x14ac:dyDescent="0.2">
      <c r="B3" s="2490" t="s">
        <v>1347</v>
      </c>
      <c r="C3" s="2490"/>
      <c r="D3" s="2490"/>
      <c r="E3" s="2490"/>
      <c r="F3" s="2490"/>
      <c r="G3" s="2490"/>
      <c r="H3" s="2490"/>
      <c r="I3" s="2490"/>
      <c r="J3" s="2490"/>
      <c r="K3" s="2490"/>
      <c r="L3" s="1377"/>
      <c r="M3" s="1377"/>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1" t="s">
        <v>1363</v>
      </c>
      <c r="C7" s="2491"/>
      <c r="D7" s="2492"/>
      <c r="E7" s="2492"/>
      <c r="F7" s="2492"/>
      <c r="G7" s="2492"/>
      <c r="H7" s="2492"/>
      <c r="I7" s="2492"/>
      <c r="J7" s="2492"/>
      <c r="K7" s="2492"/>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1949</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9"/>
      <c r="C14" s="2489"/>
      <c r="D14" s="2489"/>
      <c r="E14" s="2489"/>
      <c r="F14" s="2489"/>
      <c r="G14" s="2489"/>
      <c r="H14" s="2489"/>
      <c r="I14" s="2489"/>
      <c r="J14" s="2489"/>
      <c r="K14" s="2489"/>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9"/>
      <c r="C17" s="2489"/>
      <c r="D17" s="2489"/>
      <c r="E17" s="2489"/>
      <c r="F17" s="2489"/>
      <c r="G17" s="2489"/>
      <c r="H17" s="2489"/>
      <c r="I17" s="2489"/>
      <c r="J17" s="2489"/>
      <c r="K17" s="2489"/>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3"/>
      <c r="C20" s="2493"/>
      <c r="D20" s="2489"/>
      <c r="E20" s="2489"/>
      <c r="F20" s="2489"/>
      <c r="G20" s="2489"/>
      <c r="H20" s="2489"/>
      <c r="I20" s="2489"/>
      <c r="J20" s="2489"/>
      <c r="K20" s="2489"/>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9"/>
      <c r="C23" s="2489"/>
      <c r="D23" s="2489"/>
      <c r="E23" s="2489"/>
      <c r="F23" s="2489"/>
      <c r="G23" s="2489"/>
      <c r="H23" s="2489"/>
      <c r="I23" s="2489"/>
      <c r="J23" s="2489"/>
      <c r="K23" s="2489"/>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9"/>
      <c r="C26" s="2489"/>
      <c r="D26" s="2489"/>
      <c r="E26" s="2489"/>
      <c r="F26" s="2489"/>
      <c r="G26" s="2489"/>
      <c r="H26" s="2489"/>
      <c r="I26" s="2489"/>
      <c r="J26" s="2489"/>
      <c r="K26" s="2489"/>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8"/>
      <c r="C29" s="2488"/>
      <c r="D29" s="2489"/>
      <c r="E29" s="2489"/>
      <c r="F29" s="2489"/>
      <c r="G29" s="2489"/>
      <c r="H29" s="2489"/>
      <c r="I29" s="2489"/>
      <c r="J29" s="2489"/>
      <c r="K29" s="2489"/>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88"/>
      <c r="C32" s="2488"/>
      <c r="D32" s="2489"/>
      <c r="E32" s="2489"/>
      <c r="F32" s="2489"/>
      <c r="G32" s="2489"/>
      <c r="H32" s="2489"/>
      <c r="I32" s="2489"/>
      <c r="J32" s="2489"/>
      <c r="K32" s="2489"/>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6"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Hartsburg Emden CUSD 21</v>
      </c>
      <c r="C1" s="2494"/>
      <c r="D1" s="2494"/>
      <c r="E1" s="2494"/>
      <c r="F1" s="2494"/>
      <c r="G1" s="2494"/>
      <c r="H1" s="2494"/>
      <c r="I1" s="2494"/>
      <c r="J1" s="2494"/>
      <c r="K1" s="2494"/>
      <c r="L1" s="1465"/>
    </row>
    <row r="2" spans="1:12" ht="12.75" customHeight="1" x14ac:dyDescent="0.2">
      <c r="B2" s="2495">
        <f>'Single Audit Cover'!E7</f>
        <v>17054021026</v>
      </c>
      <c r="C2" s="2495"/>
      <c r="D2" s="2495"/>
      <c r="E2" s="2495"/>
      <c r="F2" s="2495"/>
      <c r="G2" s="2495"/>
      <c r="H2" s="2495"/>
      <c r="I2" s="2495"/>
      <c r="J2" s="2495"/>
      <c r="K2" s="2495"/>
      <c r="L2" s="1466"/>
    </row>
    <row r="3" spans="1:12" ht="12.75" customHeight="1" x14ac:dyDescent="0.2">
      <c r="B3" s="2490" t="s">
        <v>1347</v>
      </c>
      <c r="C3" s="2490"/>
      <c r="D3" s="2490"/>
      <c r="E3" s="2490"/>
      <c r="F3" s="2490"/>
      <c r="G3" s="2490"/>
      <c r="H3" s="2490"/>
      <c r="I3" s="2490"/>
      <c r="J3" s="2490"/>
      <c r="K3" s="2490"/>
      <c r="L3" s="1377"/>
    </row>
    <row r="4" spans="1:12" ht="12.75" customHeight="1" x14ac:dyDescent="0.2">
      <c r="B4" s="2490" t="str">
        <f>'Single Audit Cover'!A4</f>
        <v>Year Ending June 30, 2018</v>
      </c>
      <c r="C4" s="2490"/>
      <c r="D4" s="2490"/>
      <c r="E4" s="2490"/>
      <c r="F4" s="2490"/>
      <c r="G4" s="2490"/>
      <c r="H4" s="2490"/>
      <c r="I4" s="2490"/>
      <c r="J4" s="2490"/>
      <c r="K4" s="2490"/>
      <c r="L4" s="1377"/>
    </row>
    <row r="5" spans="1:12" ht="5.25" customHeight="1" x14ac:dyDescent="0.2">
      <c r="B5" s="1260" t="s">
        <v>1231</v>
      </c>
      <c r="C5" s="1260"/>
      <c r="L5" s="322"/>
    </row>
    <row r="6" spans="1:12" ht="30.75" customHeight="1" x14ac:dyDescent="0.2">
      <c r="A6" s="322"/>
      <c r="B6" s="2496" t="s">
        <v>1375</v>
      </c>
      <c r="C6" s="2496"/>
      <c r="D6" s="2496"/>
      <c r="E6" s="2496"/>
      <c r="F6" s="2496"/>
      <c r="G6" s="2496"/>
      <c r="H6" s="2496"/>
      <c r="I6" s="2496"/>
      <c r="J6" s="2496"/>
      <c r="K6" s="2496"/>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1949</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4"/>
      <c r="G12" s="2474"/>
      <c r="H12" s="2474"/>
      <c r="I12" s="2474"/>
      <c r="J12" s="2474"/>
      <c r="K12" s="247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9"/>
      <c r="C20" s="2489"/>
      <c r="D20" s="2489"/>
      <c r="E20" s="2489"/>
      <c r="F20" s="2489"/>
      <c r="G20" s="2489"/>
      <c r="H20" s="2489"/>
      <c r="I20" s="2489"/>
      <c r="J20" s="2489"/>
      <c r="K20" s="248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6"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7" t="str">
        <f>'Single Audit Cover'!A7</f>
        <v>Hartsburg Emden CUSD 21</v>
      </c>
      <c r="C1" s="2467"/>
      <c r="D1" s="2467"/>
      <c r="E1" s="1491"/>
    </row>
    <row r="2" spans="2:5" s="1282" customFormat="1" ht="12.75" customHeight="1" x14ac:dyDescent="0.2">
      <c r="B2" s="2469">
        <f>'Single Audit Cover'!E7</f>
        <v>17054021026</v>
      </c>
      <c r="C2" s="2469"/>
      <c r="D2" s="2469"/>
      <c r="E2" s="1492"/>
    </row>
    <row r="3" spans="2:5" ht="12.75" customHeight="1" x14ac:dyDescent="0.2">
      <c r="B3" s="2490" t="s">
        <v>1868</v>
      </c>
      <c r="C3" s="2490"/>
      <c r="D3" s="2490"/>
      <c r="E3" s="1274"/>
    </row>
    <row r="4" spans="2:5" s="1282" customFormat="1" ht="12.75" customHeight="1" x14ac:dyDescent="0.2">
      <c r="B4" s="2500" t="str">
        <f>'Single Audit Cover'!A4</f>
        <v>Year Ending June 30, 2018</v>
      </c>
      <c r="C4" s="2500"/>
      <c r="D4" s="2500"/>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4F8B6-F742-48D8-9F13-1076A7DC5E6F}">
  <ds:schemaRefs>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4d435f69-8686-490b-bd6d-b153bf22ab50"/>
    <ds:schemaRef ds:uri="http://purl.org/dc/elements/1.1/"/>
    <ds:schemaRef ds:uri="http://schemas.microsoft.com/office/2006/metadata/properties"/>
    <ds:schemaRef ds:uri="http://schemas.microsoft.com/office/infopath/2007/PartnerControls"/>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SEFA-A</vt:lpstr>
      <vt:lpstr> SEFA-B</vt:lpstr>
      <vt:lpstr>SF&amp;QC Sec-1</vt:lpstr>
      <vt:lpstr>SF&amp;QC Sec-2</vt:lpstr>
      <vt:lpstr>SF&amp;QC Sec-3</vt:lpstr>
      <vt:lpstr>SSPAF</vt:lpstr>
      <vt:lpstr>' SEFA'!Print_Area</vt:lpstr>
      <vt:lpstr>' SEFA-A'!Print_Area</vt:lpstr>
      <vt:lpstr>' SEFA-B'!Print_Area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2018-10-23T20:24:03Z</cp:lastPrinted>
  <dcterms:created xsi:type="dcterms:W3CDTF">2003-10-29T19:06:34Z</dcterms:created>
  <dcterms:modified xsi:type="dcterms:W3CDTF">2018-10-30T16:16:03Z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